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09652F71-8A69-479E-8F4E-E6F21607CDD8}" xr6:coauthVersionLast="47" xr6:coauthVersionMax="47" xr10:uidLastSave="{00000000-0000-0000-0000-000000000000}"/>
  <workbookProtection workbookAlgorithmName="SHA-512" workbookHashValue="QuEmwlFvJY8I13PPXYRwj/NUfYdu4dUSDCsVb4bX5apaDSLF/QjWLiKNzXL4DhnTxLjs8r+CjmMwy1g86/fHNw==" workbookSaltValue="2UN2Nt4kVzl3HiLK1ipPxQ==" workbookSpinCount="100000" lockStructure="1"/>
  <bookViews>
    <workbookView xWindow="780" yWindow="780" windowWidth="22155" windowHeight="14445" tabRatio="344"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CTURE10">INDIRECT('Schematic Management'!$A$2)</definedName>
    <definedName name="PICTURE2" localSheetId="6">INDIRECT('Schematic Management'!$A$2)</definedName>
    <definedName name="Pi">'Variable Management'!$B$154</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_MAX_RATING">'Variable Management'!$U$13</definedName>
    <definedName name="VIN_MIN_RATING">'Variable Management'!$U$14</definedName>
    <definedName name="VINuvlo_off">'Variable Management'!$B$96</definedName>
    <definedName name="VINuvlo_on">'Variable Management'!$B$95</definedName>
    <definedName name="Vin">'Variable Management'!$B$7</definedName>
    <definedName name="Vinmax">'Variable Management'!$B$9</definedName>
    <definedName name="Vinmin">'Variable Management'!$B$8</definedName>
    <definedName name="Vinripple1">'Variable Management'!$B$78</definedName>
    <definedName name="Vinripple2">'Variable Management'!$B$84</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 name="_xlnm.Print_Area" localSheetId="0">'Design Regulator'!$A$1:$Q$111</definedName>
    <definedName name="_xlnm.Print_Area" localSheetId="1">'Schematic &amp; BOM'!$A$1:$J$68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c r="D63" i="16"/>
  <c r="U15" i="2"/>
  <c r="C63" i="16"/>
  <c r="I63" i="16"/>
  <c r="U14" i="2"/>
  <c r="U13" i="2"/>
  <c r="U12" i="2"/>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c r="F70" i="1"/>
  <c r="F69" i="1"/>
  <c r="F68" i="1"/>
  <c r="F67" i="1"/>
  <c r="A68" i="1"/>
  <c r="B190" i="2"/>
  <c r="B202" i="2"/>
  <c r="B201" i="2"/>
  <c r="L42" i="16"/>
  <c r="L59" i="16"/>
  <c r="A50" i="16"/>
  <c r="A49" i="16"/>
  <c r="L50" i="16"/>
  <c r="L49" i="16"/>
  <c r="A43" i="16"/>
  <c r="L43" i="16" s="1"/>
  <c r="C43" i="16"/>
  <c r="B13" i="2"/>
  <c r="B15" i="2" s="1"/>
  <c r="R4" i="8" s="1"/>
  <c r="S4" i="8" s="1"/>
  <c r="A269" i="2"/>
  <c r="B12" i="2"/>
  <c r="E70" i="1" s="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c r="C56" i="16"/>
  <c r="D56" i="16" s="1"/>
  <c r="B49" i="2"/>
  <c r="B58" i="2"/>
  <c r="B8" i="2"/>
  <c r="B9" i="2"/>
  <c r="S66" i="2" s="1"/>
  <c r="A2" i="17"/>
  <c r="B269" i="2"/>
  <c r="D49" i="16"/>
  <c r="I50" i="16"/>
  <c r="I49" i="16"/>
  <c r="B239" i="2"/>
  <c r="A239" i="2"/>
  <c r="D50" i="16"/>
  <c r="D58" i="16"/>
  <c r="D62" i="16"/>
  <c r="C48" i="16"/>
  <c r="D47" i="16"/>
  <c r="D46" i="16"/>
  <c r="D38" i="16"/>
  <c r="B258" i="2"/>
  <c r="B95" i="2"/>
  <c r="B106" i="2"/>
  <c r="B109" i="2"/>
  <c r="B96" i="2"/>
  <c r="D73" i="1"/>
  <c r="B689" i="3"/>
  <c r="N688" i="3"/>
  <c r="B114" i="2"/>
  <c r="B73" i="2"/>
  <c r="E145" i="2" s="1"/>
  <c r="B124" i="2"/>
  <c r="B10" i="2"/>
  <c r="B11" i="2"/>
  <c r="B71" i="2"/>
  <c r="B31" i="2"/>
  <c r="B10" i="3"/>
  <c r="B11" i="3"/>
  <c r="B12" i="3"/>
  <c r="B13" i="3"/>
  <c r="B14" i="3"/>
  <c r="B15" i="3"/>
  <c r="B16" i="3"/>
  <c r="B17" i="3"/>
  <c r="B18" i="3"/>
  <c r="B9" i="3"/>
  <c r="B78" i="2"/>
  <c r="B59" i="4"/>
  <c r="B191" i="2"/>
  <c r="J200" i="2"/>
  <c r="B238" i="2"/>
  <c r="B243" i="2"/>
  <c r="B32" i="2"/>
  <c r="B7" i="2"/>
  <c r="B81" i="2"/>
  <c r="B248" i="2" s="1"/>
  <c r="B185" i="2"/>
  <c r="B37" i="4" s="1"/>
  <c r="B198" i="2"/>
  <c r="B49" i="4" s="1"/>
  <c r="B126" i="2"/>
  <c r="AJ350" i="3"/>
  <c r="B207" i="2"/>
  <c r="B56" i="4" s="1"/>
  <c r="B209" i="2"/>
  <c r="B204" i="2"/>
  <c r="AG3" i="4" s="1"/>
  <c r="B88" i="2"/>
  <c r="B90" i="2" s="1"/>
  <c r="B3" i="8" s="1"/>
  <c r="B187" i="2"/>
  <c r="B200" i="2"/>
  <c r="B51" i="4"/>
  <c r="B205" i="2"/>
  <c r="B195" i="2"/>
  <c r="B46" i="4" s="1"/>
  <c r="B60" i="4"/>
  <c r="B188" i="2"/>
  <c r="B40" i="4"/>
  <c r="B189" i="2"/>
  <c r="B41" i="4"/>
  <c r="B193" i="2"/>
  <c r="B192" i="2"/>
  <c r="B43" i="4" s="1"/>
  <c r="B279" i="2"/>
  <c r="B196" i="2"/>
  <c r="B47" i="4" s="1"/>
  <c r="B169" i="2"/>
  <c r="B83" i="2"/>
  <c r="B186" i="2"/>
  <c r="B199" i="2"/>
  <c r="D6" i="6"/>
  <c r="D7" i="6"/>
  <c r="D9" i="6"/>
  <c r="D10" i="6"/>
  <c r="D2" i="11"/>
  <c r="B4" i="11" s="1"/>
  <c r="D4" i="11" s="1"/>
  <c r="B6" i="11" s="1"/>
  <c r="D6" i="11" s="1"/>
  <c r="D3" i="11"/>
  <c r="B5" i="11"/>
  <c r="D5" i="11"/>
  <c r="B15" i="4"/>
  <c r="B20" i="4"/>
  <c r="B21" i="4"/>
  <c r="B52" i="4"/>
  <c r="B55" i="4"/>
  <c r="AR9" i="3"/>
  <c r="A34" i="8"/>
  <c r="A46" i="8"/>
  <c r="A58" i="8"/>
  <c r="A70" i="8" s="1"/>
  <c r="A35" i="8"/>
  <c r="A47" i="8"/>
  <c r="A59" i="8" s="1"/>
  <c r="A71" i="8"/>
  <c r="A36" i="8"/>
  <c r="A37" i="8"/>
  <c r="A49" i="8"/>
  <c r="A61" i="8" s="1"/>
  <c r="A38" i="8"/>
  <c r="A50" i="8" s="1"/>
  <c r="A39" i="8"/>
  <c r="A40" i="8"/>
  <c r="A41" i="8"/>
  <c r="A42" i="8"/>
  <c r="A54" i="8"/>
  <c r="A66" i="8"/>
  <c r="A78" i="8" s="1"/>
  <c r="A43" i="8"/>
  <c r="A55" i="8" s="1"/>
  <c r="A44" i="8"/>
  <c r="A56" i="8" s="1"/>
  <c r="A68" i="8"/>
  <c r="A45" i="8"/>
  <c r="A51" i="8"/>
  <c r="A63" i="8" s="1"/>
  <c r="A53" i="8"/>
  <c r="A65" i="8"/>
  <c r="AQ9" i="3"/>
  <c r="AR10" i="3"/>
  <c r="AQ10" i="3"/>
  <c r="AR11" i="3"/>
  <c r="AQ11" i="3"/>
  <c r="AR12" i="3"/>
  <c r="AQ12" i="3"/>
  <c r="AR13" i="3"/>
  <c r="AQ13" i="3"/>
  <c r="AR14" i="3"/>
  <c r="AQ14" i="3"/>
  <c r="AR15" i="3"/>
  <c r="AQ15" i="3"/>
  <c r="AR16" i="3"/>
  <c r="AQ16" i="3"/>
  <c r="AR17" i="3"/>
  <c r="AQ17" i="3"/>
  <c r="AR18" i="3"/>
  <c r="AQ18" i="3"/>
  <c r="A19" i="3"/>
  <c r="B19" i="3"/>
  <c r="A20" i="3"/>
  <c r="B20" i="3" s="1"/>
  <c r="A21" i="3"/>
  <c r="A22" i="3"/>
  <c r="A31" i="3"/>
  <c r="A23" i="3"/>
  <c r="AQ23" i="3" s="1"/>
  <c r="A24" i="3"/>
  <c r="B24" i="3"/>
  <c r="A25" i="3"/>
  <c r="A34" i="3"/>
  <c r="A26" i="3"/>
  <c r="AQ26" i="3"/>
  <c r="A27" i="3"/>
  <c r="A36"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c r="B41" i="2"/>
  <c r="A238" i="2"/>
  <c r="A241" i="2"/>
  <c r="B241" i="2"/>
  <c r="A243" i="2"/>
  <c r="A258" i="2"/>
  <c r="AQ27" i="3"/>
  <c r="AQ19" i="3"/>
  <c r="B278" i="2"/>
  <c r="B31" i="3"/>
  <c r="B25" i="3"/>
  <c r="A32" i="3"/>
  <c r="AQ32" i="3" s="1"/>
  <c r="AR22" i="3"/>
  <c r="AQ20" i="3"/>
  <c r="B22" i="3"/>
  <c r="AR27" i="3"/>
  <c r="AQ22" i="3"/>
  <c r="AR19" i="3"/>
  <c r="AR32" i="3"/>
  <c r="B23" i="3"/>
  <c r="AR23" i="3"/>
  <c r="AL106" i="4"/>
  <c r="AL195" i="4"/>
  <c r="AL99" i="4"/>
  <c r="AL36" i="4"/>
  <c r="AL164" i="4"/>
  <c r="AL37" i="4"/>
  <c r="AL165" i="4"/>
  <c r="AL46" i="4"/>
  <c r="AL174" i="4"/>
  <c r="AL95" i="4"/>
  <c r="AL24" i="4"/>
  <c r="AL152" i="4"/>
  <c r="A35" i="3"/>
  <c r="AR24" i="3"/>
  <c r="AR25" i="3"/>
  <c r="A33" i="3"/>
  <c r="A28" i="3"/>
  <c r="AR26" i="3"/>
  <c r="A29" i="3"/>
  <c r="AQ29" i="3" s="1"/>
  <c r="AQ25" i="3"/>
  <c r="B26" i="3"/>
  <c r="H22" i="4"/>
  <c r="H54" i="4"/>
  <c r="H86" i="4"/>
  <c r="H118" i="4"/>
  <c r="H150" i="4"/>
  <c r="H182" i="4"/>
  <c r="H11" i="4"/>
  <c r="H71" i="4"/>
  <c r="H139" i="4"/>
  <c r="H207" i="4"/>
  <c r="H41" i="4"/>
  <c r="H73" i="4"/>
  <c r="H105" i="4"/>
  <c r="H137" i="4"/>
  <c r="H169" i="4"/>
  <c r="H201" i="4"/>
  <c r="H55" i="4"/>
  <c r="H119" i="4"/>
  <c r="H179" i="4"/>
  <c r="H64" i="4"/>
  <c r="H192" i="4"/>
  <c r="H116" i="4"/>
  <c r="H56" i="4"/>
  <c r="H184" i="4"/>
  <c r="H124" i="4"/>
  <c r="AM110" i="4"/>
  <c r="AK111" i="4"/>
  <c r="AK112" i="4"/>
  <c r="AK115" i="4"/>
  <c r="AK124" i="4"/>
  <c r="AK127" i="4"/>
  <c r="AK128" i="4"/>
  <c r="AK131" i="4"/>
  <c r="AK110" i="4"/>
  <c r="AK113" i="4"/>
  <c r="AK114" i="4"/>
  <c r="AK119" i="4"/>
  <c r="AK123" i="4"/>
  <c r="AK126" i="4"/>
  <c r="AK145" i="4"/>
  <c r="AK118" i="4"/>
  <c r="AK122" i="4"/>
  <c r="AK125" i="4"/>
  <c r="AK137" i="4"/>
  <c r="AK141" i="4"/>
  <c r="AM128" i="4"/>
  <c r="AK129" i="4"/>
  <c r="AK133" i="4"/>
  <c r="AK143" i="4"/>
  <c r="AK150" i="4"/>
  <c r="AK151" i="4"/>
  <c r="AK152" i="4"/>
  <c r="AK153" i="4"/>
  <c r="AK159" i="4"/>
  <c r="AK160" i="4"/>
  <c r="AM163" i="4"/>
  <c r="AK178" i="4"/>
  <c r="AK181" i="4"/>
  <c r="AK116" i="4"/>
  <c r="AK132" i="4"/>
  <c r="AK134" i="4"/>
  <c r="AK140" i="4"/>
  <c r="AK146" i="4"/>
  <c r="AK149" i="4"/>
  <c r="AK154" i="4"/>
  <c r="AK161" i="4"/>
  <c r="AK162" i="4"/>
  <c r="AK167" i="4"/>
  <c r="AK169" i="4"/>
  <c r="AK170" i="4"/>
  <c r="AK175" i="4"/>
  <c r="AK188" i="4"/>
  <c r="AK198" i="4"/>
  <c r="AK157" i="4"/>
  <c r="AK164" i="4"/>
  <c r="AK172" i="4"/>
  <c r="AK176" i="4"/>
  <c r="AK177" i="4"/>
  <c r="AK121" i="4"/>
  <c r="AK138" i="4"/>
  <c r="AK142" i="4"/>
  <c r="AK158" i="4"/>
  <c r="AK165" i="4"/>
  <c r="AK166" i="4"/>
  <c r="AK173" i="4"/>
  <c r="AK174" i="4"/>
  <c r="AK179" i="4"/>
  <c r="AM180" i="4"/>
  <c r="AK182" i="4"/>
  <c r="AK187" i="4"/>
  <c r="AK189" i="4"/>
  <c r="AK190" i="4"/>
  <c r="AK191" i="4"/>
  <c r="AK194" i="4"/>
  <c r="AK195" i="4"/>
  <c r="AK199" i="4"/>
  <c r="AK201" i="4"/>
  <c r="AK203" i="4"/>
  <c r="AK205" i="4"/>
  <c r="AK206" i="4"/>
  <c r="AK207" i="4"/>
  <c r="AK209" i="4"/>
  <c r="AK120" i="4"/>
  <c r="AK130" i="4"/>
  <c r="AK135" i="4"/>
  <c r="AK144" i="4"/>
  <c r="AK147" i="4"/>
  <c r="AK202" i="4"/>
  <c r="AK117" i="4"/>
  <c r="AK136" i="4"/>
  <c r="AK139" i="4"/>
  <c r="AK155" i="4"/>
  <c r="AK156" i="4"/>
  <c r="AK163" i="4"/>
  <c r="AK171" i="4"/>
  <c r="AK180" i="4"/>
  <c r="AK183" i="4"/>
  <c r="AK185" i="4"/>
  <c r="AK192" i="4"/>
  <c r="AK196" i="4"/>
  <c r="AK204" i="4"/>
  <c r="AK208" i="4"/>
  <c r="AK193" i="4"/>
  <c r="AK197" i="4"/>
  <c r="AK200" i="4"/>
  <c r="AK148" i="4"/>
  <c r="AK168" i="4"/>
  <c r="AK184" i="4"/>
  <c r="AK186" i="4"/>
  <c r="B131" i="2"/>
  <c r="J136" i="3" s="1"/>
  <c r="AK10" i="4"/>
  <c r="B19" i="4"/>
  <c r="B34" i="3"/>
  <c r="AR34" i="3"/>
  <c r="AQ34" i="3"/>
  <c r="AQ24" i="3"/>
  <c r="B18" i="4"/>
  <c r="AK24" i="4"/>
  <c r="AJ173" i="3"/>
  <c r="AJ565" i="3"/>
  <c r="AK57" i="4"/>
  <c r="C273" i="2"/>
  <c r="AJ19" i="3"/>
  <c r="AJ175" i="3"/>
  <c r="AJ150" i="3"/>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B53" i="4"/>
  <c r="AJ375" i="3"/>
  <c r="AJ551" i="3"/>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39" i="4"/>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AJ527" i="3"/>
  <c r="AJ407" i="3"/>
  <c r="AJ269" i="3"/>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AJ9" i="3"/>
  <c r="B44" i="2"/>
  <c r="B42" i="4"/>
  <c r="B43" i="2"/>
  <c r="AK91" i="4"/>
  <c r="AR29" i="3"/>
  <c r="B29" i="3"/>
  <c r="AQ31" i="3"/>
  <c r="AR31" i="3"/>
  <c r="AR36" i="3"/>
  <c r="B36" i="3"/>
  <c r="B27" i="3"/>
  <c r="B28" i="3"/>
  <c r="AR28" i="3"/>
  <c r="AQ28" i="3"/>
  <c r="AR33" i="3"/>
  <c r="B33" i="3"/>
  <c r="AQ33" i="3"/>
  <c r="B35" i="3"/>
  <c r="AQ35" i="3"/>
  <c r="AR35" i="3"/>
  <c r="AJ192" i="4"/>
  <c r="AJ182" i="4"/>
  <c r="AJ139" i="4"/>
  <c r="AP137" i="4"/>
  <c r="B273" i="2"/>
  <c r="J668" i="3"/>
  <c r="J640" i="3"/>
  <c r="J95" i="3"/>
  <c r="J526" i="3"/>
  <c r="J660" i="3"/>
  <c r="J265" i="3"/>
  <c r="J393" i="3"/>
  <c r="J300" i="3"/>
  <c r="J665" i="3"/>
  <c r="J409" i="3"/>
  <c r="J13" i="3"/>
  <c r="J317" i="3"/>
  <c r="J173" i="3"/>
  <c r="J643" i="3"/>
  <c r="J267" i="3"/>
  <c r="J537" i="3"/>
  <c r="J140" i="3"/>
  <c r="J480" i="3"/>
  <c r="J233" i="3"/>
  <c r="J19" i="3"/>
  <c r="J332" i="3"/>
  <c r="J286" i="3"/>
  <c r="J397" i="3"/>
  <c r="J511" i="3"/>
  <c r="J423" i="3"/>
  <c r="J110" i="3"/>
  <c r="J280" i="3"/>
  <c r="J106" i="3"/>
  <c r="J309" i="3"/>
  <c r="J179" i="3"/>
  <c r="J621" i="3"/>
  <c r="J463" i="3"/>
  <c r="J174" i="3"/>
  <c r="J224" i="3"/>
  <c r="J354" i="3"/>
  <c r="J552" i="3"/>
  <c r="J197" i="3"/>
  <c r="J384" i="3"/>
  <c r="J111" i="3"/>
  <c r="J636" i="3"/>
  <c r="J395" i="3"/>
  <c r="J337" i="3"/>
  <c r="J427" i="3"/>
  <c r="J125" i="3"/>
  <c r="J687" i="3"/>
  <c r="J604" i="3"/>
  <c r="J595" i="3"/>
  <c r="J346" i="3"/>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J109" i="3"/>
  <c r="J505" i="3"/>
  <c r="J18" i="3"/>
  <c r="J553" i="3"/>
  <c r="J124" i="3"/>
  <c r="J422" i="3"/>
  <c r="J598" i="3"/>
  <c r="J225" i="3"/>
  <c r="J241" i="3"/>
  <c r="J664" i="3"/>
  <c r="J663" i="3"/>
  <c r="J656" i="3"/>
  <c r="J183" i="3"/>
  <c r="J166" i="3"/>
  <c r="J490" i="3"/>
  <c r="J48" i="3"/>
  <c r="J227" i="3"/>
  <c r="J291" i="3"/>
  <c r="J81" i="3"/>
  <c r="J615" i="3"/>
  <c r="J582" i="3"/>
  <c r="J403" i="3"/>
  <c r="J467" i="3"/>
  <c r="J67" i="3"/>
  <c r="J182" i="3"/>
  <c r="J509" i="3"/>
  <c r="J287" i="3"/>
  <c r="J683" i="3"/>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J295" i="3"/>
  <c r="J419" i="3"/>
  <c r="J258" i="3"/>
  <c r="J36" i="3"/>
  <c r="J325" i="3"/>
  <c r="J195" i="3"/>
  <c r="J661" i="3"/>
  <c r="J479" i="3"/>
  <c r="J206" i="3"/>
  <c r="J208" i="3"/>
  <c r="J338" i="3"/>
  <c r="J484" i="3"/>
  <c r="J554" i="3"/>
  <c r="J673" i="3"/>
  <c r="J85" i="3"/>
  <c r="J304" i="3"/>
  <c r="J210" i="3"/>
  <c r="J57" i="3"/>
  <c r="J156" i="3"/>
  <c r="J454" i="3"/>
  <c r="J614" i="3"/>
  <c r="J279" i="3"/>
  <c r="J591" i="3"/>
  <c r="J567" i="3"/>
  <c r="J603" i="3"/>
  <c r="J666" i="3"/>
  <c r="J32" i="3"/>
  <c r="J380" i="3"/>
  <c r="J180" i="3"/>
  <c r="J394" i="3"/>
  <c r="J540" i="3"/>
  <c r="J89" i="3"/>
  <c r="J638" i="3"/>
  <c r="J17" i="3"/>
  <c r="J357" i="3"/>
  <c r="J130" i="3"/>
  <c r="J163" i="3"/>
  <c r="J390" i="3"/>
  <c r="J439" i="3"/>
  <c r="J153" i="3"/>
  <c r="J521" i="3"/>
  <c r="J103" i="3"/>
  <c r="J132" i="3"/>
  <c r="J530" i="3"/>
  <c r="J161" i="3"/>
  <c r="J237" i="3"/>
  <c r="J560" i="3"/>
  <c r="J62" i="3"/>
  <c r="J263" i="3"/>
  <c r="J375" i="3"/>
  <c r="J688" i="3"/>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J72" i="3"/>
  <c r="J242" i="3"/>
  <c r="J413" i="3"/>
  <c r="J199" i="3"/>
  <c r="J549" i="3"/>
  <c r="J198" i="3"/>
  <c r="J37" i="3"/>
  <c r="J482" i="3"/>
  <c r="J596" i="3"/>
  <c r="J101" i="3"/>
  <c r="J79" i="3"/>
  <c r="J434" i="3"/>
  <c r="J64" i="3"/>
  <c r="J654" i="3"/>
  <c r="J98" i="3"/>
  <c r="J613" i="3"/>
  <c r="J228" i="3"/>
  <c r="J564" i="3"/>
  <c r="J335" i="3"/>
  <c r="J652" i="3"/>
  <c r="J135" i="3"/>
  <c r="J514" i="3"/>
  <c r="J308" i="3"/>
  <c r="J349" i="3"/>
  <c r="J499" i="3"/>
  <c r="AM21" i="4"/>
  <c r="BG17" i="4"/>
  <c r="BG11" i="4"/>
  <c r="BG16" i="4"/>
  <c r="AM109" i="4"/>
  <c r="AM70" i="4"/>
  <c r="BG9" i="4"/>
  <c r="AM66" i="4"/>
  <c r="BG15" i="4"/>
  <c r="BG13" i="4"/>
  <c r="BG14" i="4"/>
  <c r="AM44" i="4"/>
  <c r="BG12" i="4"/>
  <c r="AM32" i="4"/>
  <c r="AM63" i="4"/>
  <c r="AH204" i="4"/>
  <c r="AH198" i="4"/>
  <c r="AH121" i="4"/>
  <c r="AH188" i="4"/>
  <c r="AH166" i="4"/>
  <c r="AH132" i="4"/>
  <c r="AH186" i="4"/>
  <c r="BN14" i="4"/>
  <c r="BQ14" i="4"/>
  <c r="BK14" i="4"/>
  <c r="BJ14" i="4"/>
  <c r="BI14" i="4"/>
  <c r="BH14" i="4"/>
  <c r="BP14" i="4"/>
  <c r="BL14" i="4"/>
  <c r="BM14" i="4"/>
  <c r="BO14" i="4"/>
  <c r="BI15" i="4"/>
  <c r="BM15" i="4"/>
  <c r="BP15" i="4"/>
  <c r="BQ15" i="4"/>
  <c r="BJ15" i="4"/>
  <c r="BO15" i="4"/>
  <c r="BN15" i="4"/>
  <c r="BK15" i="4"/>
  <c r="BL15" i="4"/>
  <c r="BH15"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AH184" i="4"/>
  <c r="AH139" i="4"/>
  <c r="AH141" i="4"/>
  <c r="AH154" i="4"/>
  <c r="AH201" i="4"/>
  <c r="AH127" i="4"/>
  <c r="AH183" i="4"/>
  <c r="AH205" i="4"/>
  <c r="AH125" i="4"/>
  <c r="AH208" i="4"/>
  <c r="AH32" i="4"/>
  <c r="AH179" i="4"/>
  <c r="AH171" i="4"/>
  <c r="AH134" i="4"/>
  <c r="AH150" i="4"/>
  <c r="AH119" i="4"/>
  <c r="AH138" i="4"/>
  <c r="AH200" i="4"/>
  <c r="AH29" i="4"/>
  <c r="AH170" i="4"/>
  <c r="AH192" i="4"/>
  <c r="AH118" i="4"/>
  <c r="AH71" i="4"/>
  <c r="AH89" i="4"/>
  <c r="AH81" i="4"/>
  <c r="AH51" i="4"/>
  <c r="AH108" i="4"/>
  <c r="AH92" i="4"/>
  <c r="AH56" i="4"/>
  <c r="AH88" i="4"/>
  <c r="AH22" i="4"/>
  <c r="AH37" i="4"/>
  <c r="AH27" i="4"/>
  <c r="AH99" i="4"/>
  <c r="AH15" i="4"/>
  <c r="AH28" i="4"/>
  <c r="AH16" i="4"/>
  <c r="AH72" i="4"/>
  <c r="AH177" i="4"/>
  <c r="AH160" i="4"/>
  <c r="AH155" i="4"/>
  <c r="AH187" i="4"/>
  <c r="AH33" i="4"/>
  <c r="AH95" i="4"/>
  <c r="AH55" i="4"/>
  <c r="AH21" i="4"/>
  <c r="AH161" i="4"/>
  <c r="AH122" i="4"/>
  <c r="AH128" i="4"/>
  <c r="AH182" i="4"/>
  <c r="AH144" i="4"/>
  <c r="AH133" i="4"/>
  <c r="AH176" i="4"/>
  <c r="AH190" i="4"/>
  <c r="AH168" i="4"/>
  <c r="AH162" i="4"/>
  <c r="AH202" i="4"/>
  <c r="AH111" i="4"/>
  <c r="AH191" i="4"/>
  <c r="AH135" i="4"/>
  <c r="AH158" i="4"/>
  <c r="AH203" i="4"/>
  <c r="AH120" i="4"/>
  <c r="AH123" i="4"/>
  <c r="AH163" i="4"/>
  <c r="AH145" i="4"/>
  <c r="AH197" i="4"/>
  <c r="AH199" i="4"/>
  <c r="AH189" i="4"/>
  <c r="AH196" i="4"/>
  <c r="AH113" i="4"/>
  <c r="AH157" i="4"/>
  <c r="AH209" i="4"/>
  <c r="AH137" i="4"/>
  <c r="AH207" i="4"/>
  <c r="AH52" i="4"/>
  <c r="AH101" i="4"/>
  <c r="AH42" i="4"/>
  <c r="AH30" i="4"/>
  <c r="AH126" i="4"/>
  <c r="AH164" i="4"/>
  <c r="AH172" i="4"/>
  <c r="AH167" i="4"/>
  <c r="AH194" i="4"/>
  <c r="AH173" i="4"/>
  <c r="AH169" i="4"/>
  <c r="AH142" i="4"/>
  <c r="AH149" i="4"/>
  <c r="AH185" i="4"/>
  <c r="AH195" i="4"/>
  <c r="AH112" i="4"/>
  <c r="AH206" i="4"/>
  <c r="AH129" i="4"/>
  <c r="AH178" i="4"/>
  <c r="AH153" i="4"/>
  <c r="AH115" i="4"/>
  <c r="AH181" i="4"/>
  <c r="AH152" i="4"/>
  <c r="AH117" i="4"/>
  <c r="AH174" i="4"/>
  <c r="AH131" i="4"/>
  <c r="AH147" i="4"/>
  <c r="AH10" i="4"/>
  <c r="AH107" i="4"/>
  <c r="AH75" i="4"/>
  <c r="AH87" i="4"/>
  <c r="AH165" i="4"/>
  <c r="AH110" i="4"/>
  <c r="AH159" i="4"/>
  <c r="AH116" i="4"/>
  <c r="AH124" i="4"/>
  <c r="AH114" i="4"/>
  <c r="AH130" i="4"/>
  <c r="AH180" i="4"/>
  <c r="AH175" i="4"/>
  <c r="AH146" i="4"/>
  <c r="AH143" i="4"/>
  <c r="AH148" i="4"/>
  <c r="AH151" i="4"/>
  <c r="AH140" i="4"/>
  <c r="AH156" i="4"/>
  <c r="AH193" i="4"/>
  <c r="AH136" i="4"/>
  <c r="AH23" i="4"/>
  <c r="AH60" i="4"/>
  <c r="AH31" i="4"/>
  <c r="AH9" i="4"/>
  <c r="AH26" i="4"/>
  <c r="AH80" i="4"/>
  <c r="AH100" i="4"/>
  <c r="AH41" i="4"/>
  <c r="AH18" i="4"/>
  <c r="AH105" i="4"/>
  <c r="AH35" i="4"/>
  <c r="AH24" i="4"/>
  <c r="AH69" i="4"/>
  <c r="AH57" i="4"/>
  <c r="AH54" i="4"/>
  <c r="AH82" i="4"/>
  <c r="AH104" i="4"/>
  <c r="AH48" i="4"/>
  <c r="AH47" i="4"/>
  <c r="AH25" i="4"/>
  <c r="AH109" i="4"/>
  <c r="AH62" i="4"/>
  <c r="AH59" i="4"/>
  <c r="AH50" i="4"/>
  <c r="AH76" i="4"/>
  <c r="AH36" i="4"/>
  <c r="AH93" i="4"/>
  <c r="AH40" i="4"/>
  <c r="AH17" i="4"/>
  <c r="AH106" i="4"/>
  <c r="AH44" i="4"/>
  <c r="AH11" i="4"/>
  <c r="AH43" i="4"/>
  <c r="AH97" i="4"/>
  <c r="AH98" i="4"/>
  <c r="AH84" i="4"/>
  <c r="AH67" i="4"/>
  <c r="AH49" i="4"/>
  <c r="AH102" i="4"/>
  <c r="AH61" i="4"/>
  <c r="AH39" i="4"/>
  <c r="AH14" i="4"/>
  <c r="AH64" i="4"/>
  <c r="AH77" i="4"/>
  <c r="AH85" i="4"/>
  <c r="AH79" i="4"/>
  <c r="AH38" i="4"/>
  <c r="AH86" i="4"/>
  <c r="AH53" i="4"/>
  <c r="AH94" i="4"/>
  <c r="AH58" i="4"/>
  <c r="AH96" i="4"/>
  <c r="AH20" i="4"/>
  <c r="AH83" i="4"/>
  <c r="AH74" i="4"/>
  <c r="AH91" i="4"/>
  <c r="AH103" i="4"/>
  <c r="AH66" i="4"/>
  <c r="AH13" i="4"/>
  <c r="AH46" i="4"/>
  <c r="AH70" i="4"/>
  <c r="AH78" i="4"/>
  <c r="AH34" i="4"/>
  <c r="AH90" i="4"/>
  <c r="AH63" i="4"/>
  <c r="AH73" i="4"/>
  <c r="AH19" i="4"/>
  <c r="AH68" i="4"/>
  <c r="AH12" i="4"/>
  <c r="AH45" i="4"/>
  <c r="AH65" i="4"/>
  <c r="D59" i="16"/>
  <c r="B148" i="2" l="1"/>
  <c r="B25" i="4"/>
  <c r="C36" i="3"/>
  <c r="C19" i="3"/>
  <c r="B24" i="4"/>
  <c r="F3" i="8"/>
  <c r="D145" i="2"/>
  <c r="AN165" i="4"/>
  <c r="BP9" i="4"/>
  <c r="BM9" i="4"/>
  <c r="BN9" i="4"/>
  <c r="BJ9" i="4"/>
  <c r="BI9" i="4"/>
  <c r="BL9" i="4"/>
  <c r="BH9" i="4"/>
  <c r="BO9" i="4"/>
  <c r="BQ9" i="4"/>
  <c r="BK9" i="4"/>
  <c r="A75" i="8"/>
  <c r="A90" i="8"/>
  <c r="A73" i="8"/>
  <c r="A82" i="8"/>
  <c r="H26" i="4"/>
  <c r="H58" i="4"/>
  <c r="H90" i="4"/>
  <c r="H122" i="4"/>
  <c r="H154" i="4"/>
  <c r="I154" i="4" s="1"/>
  <c r="J154" i="4" s="1"/>
  <c r="K154" i="4" s="1"/>
  <c r="H186" i="4"/>
  <c r="H23" i="4"/>
  <c r="AJ23" i="4" s="1"/>
  <c r="H79" i="4"/>
  <c r="H147" i="4"/>
  <c r="AP147" i="4" s="1"/>
  <c r="H13" i="4"/>
  <c r="I13" i="4" s="1"/>
  <c r="H45" i="4"/>
  <c r="H77" i="4"/>
  <c r="H109" i="4"/>
  <c r="AJ109" i="4" s="1"/>
  <c r="H141" i="4"/>
  <c r="H173" i="4"/>
  <c r="H205" i="4"/>
  <c r="H67" i="4"/>
  <c r="AP67" i="4" s="1"/>
  <c r="H127" i="4"/>
  <c r="H187" i="4"/>
  <c r="AP187" i="4" s="1"/>
  <c r="H80" i="4"/>
  <c r="H208" i="4"/>
  <c r="AI208" i="4" s="1"/>
  <c r="H132" i="4"/>
  <c r="H72" i="4"/>
  <c r="H200" i="4"/>
  <c r="H140" i="4"/>
  <c r="AP140" i="4" s="1"/>
  <c r="H30" i="4"/>
  <c r="H62" i="4"/>
  <c r="H94" i="4"/>
  <c r="H126" i="4"/>
  <c r="I126" i="4" s="1"/>
  <c r="H158" i="4"/>
  <c r="H190" i="4"/>
  <c r="H31" i="4"/>
  <c r="AJ31" i="4" s="1"/>
  <c r="H87" i="4"/>
  <c r="AP87" i="4" s="1"/>
  <c r="H155" i="4"/>
  <c r="AP155" i="4" s="1"/>
  <c r="H17" i="4"/>
  <c r="H49" i="4"/>
  <c r="H81" i="4"/>
  <c r="AP81" i="4" s="1"/>
  <c r="H113" i="4"/>
  <c r="H145" i="4"/>
  <c r="H177" i="4"/>
  <c r="H209" i="4"/>
  <c r="H75" i="4"/>
  <c r="H135" i="4"/>
  <c r="H195" i="4"/>
  <c r="H96" i="4"/>
  <c r="AI96" i="4" s="1"/>
  <c r="H20" i="4"/>
  <c r="H148" i="4"/>
  <c r="H88" i="4"/>
  <c r="H28" i="4"/>
  <c r="I28" i="4" s="1"/>
  <c r="J28" i="4" s="1"/>
  <c r="H156" i="4"/>
  <c r="AP156" i="4" s="1"/>
  <c r="H34" i="4"/>
  <c r="H66" i="4"/>
  <c r="H98" i="4"/>
  <c r="I98" i="4" s="1"/>
  <c r="J98" i="4" s="1"/>
  <c r="H130" i="4"/>
  <c r="H162" i="4"/>
  <c r="H194" i="4"/>
  <c r="I194" i="4" s="1"/>
  <c r="H35" i="4"/>
  <c r="AP35" i="4" s="1"/>
  <c r="H99" i="4"/>
  <c r="H163" i="4"/>
  <c r="H21" i="4"/>
  <c r="H53" i="4"/>
  <c r="AI53" i="4" s="1"/>
  <c r="H85" i="4"/>
  <c r="AP85" i="4" s="1"/>
  <c r="H117" i="4"/>
  <c r="AJ117" i="4" s="1"/>
  <c r="H149" i="4"/>
  <c r="H181" i="4"/>
  <c r="H15" i="4"/>
  <c r="H83" i="4"/>
  <c r="H143" i="4"/>
  <c r="AJ143" i="4" s="1"/>
  <c r="H203" i="4"/>
  <c r="AJ203" i="4" s="1"/>
  <c r="H112" i="4"/>
  <c r="H36" i="4"/>
  <c r="H164" i="4"/>
  <c r="H104" i="4"/>
  <c r="AP104" i="4" s="1"/>
  <c r="H44" i="4"/>
  <c r="H172" i="4"/>
  <c r="H38" i="4"/>
  <c r="I38" i="4" s="1"/>
  <c r="H70" i="4"/>
  <c r="AJ70" i="4" s="1"/>
  <c r="H102" i="4"/>
  <c r="H134" i="4"/>
  <c r="AP134" i="4" s="1"/>
  <c r="H166" i="4"/>
  <c r="H198" i="4"/>
  <c r="I198" i="4" s="1"/>
  <c r="H43" i="4"/>
  <c r="H107" i="4"/>
  <c r="H171" i="4"/>
  <c r="AP171" i="4" s="1"/>
  <c r="H25" i="4"/>
  <c r="I25" i="4" s="1"/>
  <c r="J25" i="4" s="1"/>
  <c r="L25" i="4" s="1"/>
  <c r="H57" i="4"/>
  <c r="H89" i="4"/>
  <c r="H121" i="4"/>
  <c r="H153" i="4"/>
  <c r="I153" i="4" s="1"/>
  <c r="J153" i="4" s="1"/>
  <c r="H185" i="4"/>
  <c r="H19" i="4"/>
  <c r="H91" i="4"/>
  <c r="H151" i="4"/>
  <c r="AP151" i="4" s="1"/>
  <c r="H12" i="4"/>
  <c r="AJ12" i="4" s="1"/>
  <c r="H128" i="4"/>
  <c r="H52" i="4"/>
  <c r="H180" i="4"/>
  <c r="AP180" i="4" s="1"/>
  <c r="H120" i="4"/>
  <c r="H60" i="4"/>
  <c r="H188" i="4"/>
  <c r="H10" i="4"/>
  <c r="AJ10" i="4" s="1"/>
  <c r="H42" i="4"/>
  <c r="H74" i="4"/>
  <c r="H106" i="4"/>
  <c r="H138" i="4"/>
  <c r="AP138" i="4" s="1"/>
  <c r="H170" i="4"/>
  <c r="H202" i="4"/>
  <c r="H51" i="4"/>
  <c r="H115" i="4"/>
  <c r="AI115" i="4" s="1"/>
  <c r="H183" i="4"/>
  <c r="H29" i="4"/>
  <c r="H61" i="4"/>
  <c r="H93" i="4"/>
  <c r="I93" i="4" s="1"/>
  <c r="J93" i="4" s="1"/>
  <c r="H125" i="4"/>
  <c r="H157" i="4"/>
  <c r="H189" i="4"/>
  <c r="H27" i="4"/>
  <c r="AP27" i="4" s="1"/>
  <c r="H95" i="4"/>
  <c r="H159" i="4"/>
  <c r="H16" i="4"/>
  <c r="AP16" i="4" s="1"/>
  <c r="H144" i="4"/>
  <c r="I144" i="4" s="1"/>
  <c r="J144" i="4" s="1"/>
  <c r="K144" i="4" s="1"/>
  <c r="H68" i="4"/>
  <c r="H196" i="4"/>
  <c r="AJ196" i="4" s="1"/>
  <c r="H136" i="4"/>
  <c r="H76" i="4"/>
  <c r="I76" i="4" s="1"/>
  <c r="J76" i="4" s="1"/>
  <c r="K76" i="4" s="1"/>
  <c r="H204" i="4"/>
  <c r="H14" i="4"/>
  <c r="H46" i="4"/>
  <c r="H78" i="4"/>
  <c r="AP78" i="4" s="1"/>
  <c r="H110" i="4"/>
  <c r="H142" i="4"/>
  <c r="H174" i="4"/>
  <c r="H206" i="4"/>
  <c r="AI206" i="4" s="1"/>
  <c r="H59" i="4"/>
  <c r="H123" i="4"/>
  <c r="H191" i="4"/>
  <c r="H33" i="4"/>
  <c r="I33" i="4" s="1"/>
  <c r="J33" i="4" s="1"/>
  <c r="H65" i="4"/>
  <c r="H97" i="4"/>
  <c r="I97" i="4" s="1"/>
  <c r="J97" i="4" s="1"/>
  <c r="H129" i="4"/>
  <c r="H161" i="4"/>
  <c r="I161" i="4" s="1"/>
  <c r="H193" i="4"/>
  <c r="H39" i="4"/>
  <c r="H103" i="4"/>
  <c r="H167" i="4"/>
  <c r="AP167" i="4" s="1"/>
  <c r="H32" i="4"/>
  <c r="H160" i="4"/>
  <c r="H84" i="4"/>
  <c r="I84" i="4" s="1"/>
  <c r="J84" i="4" s="1"/>
  <c r="H24" i="4"/>
  <c r="I24" i="4" s="1"/>
  <c r="H152" i="4"/>
  <c r="H92" i="4"/>
  <c r="I92" i="4" s="1"/>
  <c r="H18" i="4"/>
  <c r="I18" i="4" s="1"/>
  <c r="H50" i="4"/>
  <c r="AP50" i="4" s="1"/>
  <c r="H82" i="4"/>
  <c r="H114" i="4"/>
  <c r="H146" i="4"/>
  <c r="H178" i="4"/>
  <c r="AP178" i="4" s="1"/>
  <c r="H9" i="4"/>
  <c r="H63" i="4"/>
  <c r="H131" i="4"/>
  <c r="H199" i="4"/>
  <c r="AP199" i="4" s="1"/>
  <c r="H37" i="4"/>
  <c r="H69" i="4"/>
  <c r="AP69" i="4" s="1"/>
  <c r="H101" i="4"/>
  <c r="H133" i="4"/>
  <c r="AJ133" i="4" s="1"/>
  <c r="H165" i="4"/>
  <c r="H197" i="4"/>
  <c r="H47" i="4"/>
  <c r="H111" i="4"/>
  <c r="H175" i="4"/>
  <c r="H48" i="4"/>
  <c r="H176" i="4"/>
  <c r="H100" i="4"/>
  <c r="AJ100" i="4" s="1"/>
  <c r="H40" i="4"/>
  <c r="H168" i="4"/>
  <c r="H108" i="4"/>
  <c r="B14" i="4"/>
  <c r="A37" i="3"/>
  <c r="AQ36" i="3"/>
  <c r="A57" i="8"/>
  <c r="A77" i="8"/>
  <c r="A80" i="8"/>
  <c r="A48" i="8"/>
  <c r="B23" i="4"/>
  <c r="B171" i="2"/>
  <c r="B21" i="3"/>
  <c r="AR21" i="3"/>
  <c r="AQ21" i="3"/>
  <c r="A30" i="3"/>
  <c r="A52" i="8"/>
  <c r="A83" i="8"/>
  <c r="A67" i="8"/>
  <c r="A62" i="8"/>
  <c r="AR20" i="3"/>
  <c r="B32" i="3"/>
  <c r="A35" i="16"/>
  <c r="B281" i="2"/>
  <c r="E69" i="1"/>
  <c r="B97" i="2"/>
  <c r="R16" i="8" s="1"/>
  <c r="S16" i="8" s="1"/>
  <c r="D97" i="2" s="1"/>
  <c r="B98" i="2" s="1"/>
  <c r="R17" i="8" s="1"/>
  <c r="S17" i="8" s="1"/>
  <c r="D98" i="2" s="1"/>
  <c r="B101" i="2" s="1"/>
  <c r="G3" i="8"/>
  <c r="B250" i="2"/>
  <c r="E250" i="2" s="1"/>
  <c r="B22" i="4"/>
  <c r="D36" i="3"/>
  <c r="D43" i="16"/>
  <c r="R66" i="2"/>
  <c r="AI21" i="4"/>
  <c r="B58" i="4"/>
  <c r="AI13" i="4"/>
  <c r="AP192" i="4"/>
  <c r="AP186" i="4"/>
  <c r="AP185" i="4"/>
  <c r="AP165" i="4"/>
  <c r="AP202" i="4"/>
  <c r="AP73" i="4"/>
  <c r="AP49" i="4"/>
  <c r="I87" i="4"/>
  <c r="J87" i="4" s="1"/>
  <c r="AP83" i="4"/>
  <c r="I34" i="4"/>
  <c r="I73" i="4"/>
  <c r="I108" i="4"/>
  <c r="AP47" i="4"/>
  <c r="B89" i="2"/>
  <c r="I132" i="4"/>
  <c r="AP116" i="4"/>
  <c r="I173" i="4"/>
  <c r="J173" i="4" s="1"/>
  <c r="AD173" i="4" s="1"/>
  <c r="AE173" i="4" s="1"/>
  <c r="AP139" i="4"/>
  <c r="AP120" i="4"/>
  <c r="I124" i="4"/>
  <c r="I164" i="4"/>
  <c r="AP158" i="4"/>
  <c r="I158" i="4"/>
  <c r="I107" i="4"/>
  <c r="I99" i="4"/>
  <c r="J99" i="4" s="1"/>
  <c r="X99" i="4" s="1"/>
  <c r="Y99" i="4" s="1"/>
  <c r="I19" i="4"/>
  <c r="AP32" i="4"/>
  <c r="AP13" i="4"/>
  <c r="I95" i="4"/>
  <c r="J95" i="4" s="1"/>
  <c r="I47" i="4"/>
  <c r="B12" i="4"/>
  <c r="I116" i="4"/>
  <c r="I170" i="4"/>
  <c r="J170" i="4" s="1"/>
  <c r="AP207" i="4"/>
  <c r="I159" i="4"/>
  <c r="J159" i="4" s="1"/>
  <c r="L159" i="4" s="1"/>
  <c r="I129" i="4"/>
  <c r="I130" i="4"/>
  <c r="AP162" i="4"/>
  <c r="I30" i="4"/>
  <c r="AP11" i="4"/>
  <c r="I86" i="4"/>
  <c r="J86" i="4" s="1"/>
  <c r="AD86" i="4" s="1"/>
  <c r="AE86" i="4" s="1"/>
  <c r="AP34" i="4"/>
  <c r="I59" i="4"/>
  <c r="J59" i="4" s="1"/>
  <c r="AP30" i="4"/>
  <c r="AP157" i="4"/>
  <c r="I157" i="4"/>
  <c r="J157" i="4" s="1"/>
  <c r="X157" i="4" s="1"/>
  <c r="Y157" i="4" s="1"/>
  <c r="AP184" i="4"/>
  <c r="I190" i="4"/>
  <c r="I167" i="4"/>
  <c r="AP88" i="4"/>
  <c r="AP92" i="4"/>
  <c r="AP38" i="4"/>
  <c r="AP82" i="4"/>
  <c r="I60" i="4"/>
  <c r="N44" i="2"/>
  <c r="M44" i="2" s="1"/>
  <c r="C242" i="2" s="1"/>
  <c r="I202" i="4"/>
  <c r="J202" i="4" s="1"/>
  <c r="K202" i="4" s="1"/>
  <c r="I125" i="4"/>
  <c r="I134" i="4"/>
  <c r="I204" i="4"/>
  <c r="J204" i="4" s="1"/>
  <c r="K204" i="4" s="1"/>
  <c r="I197" i="4"/>
  <c r="AP193" i="4"/>
  <c r="AP146" i="4"/>
  <c r="I37" i="4"/>
  <c r="J37" i="4" s="1"/>
  <c r="X37" i="4" s="1"/>
  <c r="Y37" i="4" s="1"/>
  <c r="AP23" i="4"/>
  <c r="AP21" i="4"/>
  <c r="AP86" i="4"/>
  <c r="AP79" i="4"/>
  <c r="I48" i="4"/>
  <c r="I79" i="4"/>
  <c r="AP173" i="4"/>
  <c r="AP170" i="4"/>
  <c r="I139" i="4"/>
  <c r="AP135" i="4"/>
  <c r="I152" i="4"/>
  <c r="AP164" i="4"/>
  <c r="AP130" i="4"/>
  <c r="AP66" i="4"/>
  <c r="I58" i="4"/>
  <c r="AP94" i="4"/>
  <c r="AP55" i="4"/>
  <c r="AP95" i="4"/>
  <c r="AP102" i="4"/>
  <c r="I22" i="4"/>
  <c r="J22" i="4" s="1"/>
  <c r="K22" i="4" s="1"/>
  <c r="I11" i="4"/>
  <c r="F64" i="1"/>
  <c r="AP127" i="4"/>
  <c r="I121" i="4"/>
  <c r="AP159" i="4"/>
  <c r="I193" i="4"/>
  <c r="I149" i="4"/>
  <c r="J149" i="4" s="1"/>
  <c r="U149" i="4" s="1"/>
  <c r="V149" i="4" s="1"/>
  <c r="W149" i="4" s="1"/>
  <c r="AP136" i="4"/>
  <c r="AP160" i="4"/>
  <c r="AP58" i="4"/>
  <c r="AP89" i="4"/>
  <c r="I64" i="4"/>
  <c r="I29" i="4"/>
  <c r="AP74" i="4"/>
  <c r="I31" i="4"/>
  <c r="AP59" i="4"/>
  <c r="AP37" i="4"/>
  <c r="B127" i="2"/>
  <c r="R11" i="8" s="1"/>
  <c r="S11" i="8" s="1"/>
  <c r="B128" i="2" s="1"/>
  <c r="E64" i="1" s="1"/>
  <c r="C57" i="16" s="1"/>
  <c r="D57" i="16" s="1"/>
  <c r="I169" i="4"/>
  <c r="I171" i="4"/>
  <c r="I137" i="4"/>
  <c r="J137" i="4" s="1"/>
  <c r="AP122" i="4"/>
  <c r="AP197" i="4"/>
  <c r="AP149" i="4"/>
  <c r="I51" i="4"/>
  <c r="J51" i="4" s="1"/>
  <c r="R51" i="4" s="1"/>
  <c r="S51" i="4" s="1"/>
  <c r="T51" i="4" s="1"/>
  <c r="I77" i="4"/>
  <c r="J77" i="4" s="1"/>
  <c r="I21" i="4"/>
  <c r="I89" i="4"/>
  <c r="AP84" i="4"/>
  <c r="I71" i="4"/>
  <c r="J71" i="4" s="1"/>
  <c r="AP39" i="4"/>
  <c r="AP150" i="4"/>
  <c r="I192" i="4"/>
  <c r="J192" i="4" s="1"/>
  <c r="I150" i="4"/>
  <c r="I182" i="4"/>
  <c r="AP141" i="4"/>
  <c r="AP152" i="4"/>
  <c r="I160" i="4"/>
  <c r="J160" i="4" s="1"/>
  <c r="L160" i="4" s="1"/>
  <c r="M160" i="4" s="1"/>
  <c r="AA160" i="4" s="1"/>
  <c r="I176" i="4"/>
  <c r="AP194" i="4"/>
  <c r="AP17" i="4"/>
  <c r="I74" i="4"/>
  <c r="I94" i="4"/>
  <c r="I23" i="4"/>
  <c r="AP99" i="4"/>
  <c r="AP60" i="4"/>
  <c r="I88" i="4"/>
  <c r="J88" i="4" s="1"/>
  <c r="AP108" i="4"/>
  <c r="I65" i="4"/>
  <c r="J65" i="4" s="1"/>
  <c r="B38" i="2"/>
  <c r="B23" i="2"/>
  <c r="B24" i="2" s="1"/>
  <c r="AP124" i="4"/>
  <c r="AP121" i="4"/>
  <c r="I118" i="4"/>
  <c r="J118" i="4" s="1"/>
  <c r="N118" i="4" s="1"/>
  <c r="O118" i="4" s="1"/>
  <c r="Q118" i="4" s="1"/>
  <c r="I128" i="4"/>
  <c r="J128" i="4" s="1"/>
  <c r="AP204" i="4"/>
  <c r="I143" i="4"/>
  <c r="I168" i="4"/>
  <c r="AP131" i="4"/>
  <c r="I16" i="4"/>
  <c r="AP93" i="4"/>
  <c r="I102" i="4"/>
  <c r="J102" i="4" s="1"/>
  <c r="I17" i="4"/>
  <c r="I83" i="4"/>
  <c r="J83" i="4" s="1"/>
  <c r="I56" i="4"/>
  <c r="AP65" i="4"/>
  <c r="B25" i="2"/>
  <c r="B26" i="2" s="1"/>
  <c r="I180" i="4"/>
  <c r="AP129" i="4"/>
  <c r="AP118" i="4"/>
  <c r="I187" i="4"/>
  <c r="J187" i="4" s="1"/>
  <c r="N187" i="4" s="1"/>
  <c r="O187" i="4" s="1"/>
  <c r="Q187" i="4" s="1"/>
  <c r="AP148" i="4"/>
  <c r="I162" i="4"/>
  <c r="AP176" i="4"/>
  <c r="AP15" i="4"/>
  <c r="AP77" i="4"/>
  <c r="I68" i="4"/>
  <c r="J68" i="4" s="1"/>
  <c r="I39" i="4"/>
  <c r="J39" i="4" s="1"/>
  <c r="AP71" i="4"/>
  <c r="AP64" i="4"/>
  <c r="AP43" i="4"/>
  <c r="I85" i="4"/>
  <c r="AP26" i="4"/>
  <c r="B27" i="2"/>
  <c r="I201" i="4"/>
  <c r="J201" i="4" s="1"/>
  <c r="L201" i="4" s="1"/>
  <c r="AP132" i="4"/>
  <c r="I185" i="4"/>
  <c r="I122" i="4"/>
  <c r="J122" i="4" s="1"/>
  <c r="R122" i="4" s="1"/>
  <c r="S122" i="4" s="1"/>
  <c r="T122" i="4" s="1"/>
  <c r="AP143" i="4"/>
  <c r="AP168" i="4"/>
  <c r="AP18" i="4"/>
  <c r="I55" i="4"/>
  <c r="J55" i="4" s="1"/>
  <c r="U55" i="4" s="1"/>
  <c r="V55" i="4" s="1"/>
  <c r="W55" i="4" s="1"/>
  <c r="I90" i="4"/>
  <c r="J90" i="4" s="1"/>
  <c r="U90" i="4" s="1"/>
  <c r="V90" i="4" s="1"/>
  <c r="W90" i="4" s="1"/>
  <c r="AP20" i="4"/>
  <c r="AP57" i="4"/>
  <c r="I62" i="4"/>
  <c r="B36" i="2"/>
  <c r="B37" i="2" s="1"/>
  <c r="B18" i="2" s="1"/>
  <c r="I127" i="4"/>
  <c r="I120" i="4"/>
  <c r="J120" i="4" s="1"/>
  <c r="U120" i="4" s="1"/>
  <c r="V120" i="4" s="1"/>
  <c r="W120" i="4" s="1"/>
  <c r="AP201" i="4"/>
  <c r="I165" i="4"/>
  <c r="I148" i="4"/>
  <c r="J148" i="4" s="1"/>
  <c r="U148" i="4" s="1"/>
  <c r="V148" i="4" s="1"/>
  <c r="W148" i="4" s="1"/>
  <c r="AP62" i="4"/>
  <c r="AP63" i="4"/>
  <c r="I57" i="4"/>
  <c r="J57" i="4" s="1"/>
  <c r="K57" i="4" s="1"/>
  <c r="I69" i="4"/>
  <c r="J69" i="4" s="1"/>
  <c r="AP29" i="4"/>
  <c r="I103" i="4"/>
  <c r="I82" i="4"/>
  <c r="I44" i="4"/>
  <c r="J44" i="4" s="1"/>
  <c r="K44" i="4" s="1"/>
  <c r="B34" i="2"/>
  <c r="B35" i="2" s="1"/>
  <c r="B79" i="2" s="1"/>
  <c r="E46" i="1" s="1"/>
  <c r="I207" i="4"/>
  <c r="J207" i="4" s="1"/>
  <c r="AD207" i="4" s="1"/>
  <c r="AE207" i="4" s="1"/>
  <c r="I186" i="4"/>
  <c r="AP153" i="4"/>
  <c r="AP182" i="4"/>
  <c r="I136" i="4"/>
  <c r="I135" i="4"/>
  <c r="I155" i="4"/>
  <c r="AP56" i="4"/>
  <c r="AP44" i="4"/>
  <c r="I63" i="4"/>
  <c r="I67" i="4"/>
  <c r="AP14" i="4"/>
  <c r="AP48" i="4"/>
  <c r="I26" i="4"/>
  <c r="J26" i="4" s="1"/>
  <c r="AP19" i="4"/>
  <c r="I66" i="4"/>
  <c r="J66" i="4" s="1"/>
  <c r="M66" i="2"/>
  <c r="L66" i="2" s="1"/>
  <c r="G243" i="2" s="1"/>
  <c r="I138" i="4"/>
  <c r="AP169" i="4"/>
  <c r="AP128" i="4"/>
  <c r="AP190" i="4"/>
  <c r="I131" i="4"/>
  <c r="I156" i="4"/>
  <c r="J156" i="4" s="1"/>
  <c r="K156" i="4" s="1"/>
  <c r="AP22" i="4"/>
  <c r="AP31" i="4"/>
  <c r="I32" i="4"/>
  <c r="I14" i="4"/>
  <c r="J14" i="4" s="1"/>
  <c r="AP90" i="4"/>
  <c r="AP97" i="4"/>
  <c r="I15" i="4"/>
  <c r="I43" i="4"/>
  <c r="J43" i="4" s="1"/>
  <c r="B44" i="4"/>
  <c r="B194" i="2"/>
  <c r="B217" i="2" s="1"/>
  <c r="C11" i="3"/>
  <c r="C9" i="3"/>
  <c r="C23" i="3"/>
  <c r="D33" i="3"/>
  <c r="D35" i="3"/>
  <c r="C17" i="3"/>
  <c r="D37" i="3"/>
  <c r="C25" i="3"/>
  <c r="D24" i="3"/>
  <c r="D34" i="3"/>
  <c r="C16" i="3"/>
  <c r="C14" i="3"/>
  <c r="E60" i="1"/>
  <c r="D20" i="3"/>
  <c r="D31" i="3"/>
  <c r="D22" i="3"/>
  <c r="C12" i="3"/>
  <c r="D10" i="3"/>
  <c r="D18" i="3"/>
  <c r="D9" i="3"/>
  <c r="D11" i="3"/>
  <c r="D29" i="3"/>
  <c r="C20" i="3"/>
  <c r="C26" i="3"/>
  <c r="C32" i="3"/>
  <c r="D27" i="3"/>
  <c r="C18" i="3"/>
  <c r="C30" i="3"/>
  <c r="D13" i="3"/>
  <c r="C10" i="3"/>
  <c r="D28" i="3"/>
  <c r="D14" i="3"/>
  <c r="C29" i="3"/>
  <c r="C28" i="3"/>
  <c r="D12" i="3"/>
  <c r="C15" i="3"/>
  <c r="D32" i="3"/>
  <c r="C27" i="3"/>
  <c r="C21" i="3"/>
  <c r="C31" i="3"/>
  <c r="C24" i="3"/>
  <c r="D15" i="3"/>
  <c r="D21" i="3"/>
  <c r="D16" i="3"/>
  <c r="D17" i="3"/>
  <c r="C13" i="3"/>
  <c r="C34" i="3"/>
  <c r="D26" i="3"/>
  <c r="C22" i="3"/>
  <c r="D25" i="3"/>
  <c r="C37" i="3"/>
  <c r="C33" i="3"/>
  <c r="C35" i="3"/>
  <c r="A682" i="3"/>
  <c r="D30" i="3"/>
  <c r="D23" i="3"/>
  <c r="D19" i="3"/>
  <c r="AP103" i="4"/>
  <c r="AP110" i="4"/>
  <c r="AN37" i="4"/>
  <c r="AP189" i="4"/>
  <c r="AP125" i="4"/>
  <c r="AP61" i="4"/>
  <c r="I183" i="4"/>
  <c r="J183" i="4" s="1"/>
  <c r="R183" i="4" s="1"/>
  <c r="S183" i="4" s="1"/>
  <c r="T183" i="4" s="1"/>
  <c r="AP51" i="4"/>
  <c r="I42" i="4"/>
  <c r="J42" i="4" s="1"/>
  <c r="L42" i="4" s="1"/>
  <c r="AN164" i="4"/>
  <c r="AP188" i="4"/>
  <c r="I52" i="4"/>
  <c r="J52" i="4" s="1"/>
  <c r="X52" i="4" s="1"/>
  <c r="Y52" i="4" s="1"/>
  <c r="I12" i="4"/>
  <c r="J12" i="4" s="1"/>
  <c r="AP91" i="4"/>
  <c r="AP166" i="4"/>
  <c r="AN36" i="4"/>
  <c r="I172" i="4"/>
  <c r="J172" i="4" s="1"/>
  <c r="R172" i="4" s="1"/>
  <c r="S172" i="4" s="1"/>
  <c r="T172" i="4" s="1"/>
  <c r="AP36" i="4"/>
  <c r="AP181" i="4"/>
  <c r="AP163" i="4"/>
  <c r="AN99" i="4"/>
  <c r="AP195" i="4"/>
  <c r="I75" i="4"/>
  <c r="J75" i="4" s="1"/>
  <c r="AN195" i="4"/>
  <c r="AP72" i="4"/>
  <c r="I208" i="4"/>
  <c r="J208" i="4" s="1"/>
  <c r="AN106" i="4"/>
  <c r="AP105" i="4"/>
  <c r="AP101" i="4"/>
  <c r="AP142" i="4"/>
  <c r="AL50" i="4"/>
  <c r="AN50" i="4" s="1"/>
  <c r="AP115" i="4"/>
  <c r="AN152" i="4"/>
  <c r="AN24" i="4"/>
  <c r="AN95" i="4"/>
  <c r="I80" i="4"/>
  <c r="I205" i="4"/>
  <c r="J205" i="4" s="1"/>
  <c r="U205" i="4" s="1"/>
  <c r="V205" i="4" s="1"/>
  <c r="W205" i="4" s="1"/>
  <c r="AN174" i="4"/>
  <c r="AP54" i="4"/>
  <c r="AN46" i="4"/>
  <c r="AI192" i="4"/>
  <c r="AI89" i="4"/>
  <c r="AI33" i="4"/>
  <c r="AI198" i="4"/>
  <c r="AI37" i="4"/>
  <c r="AI205" i="4"/>
  <c r="AI130" i="4"/>
  <c r="AI57" i="4"/>
  <c r="AI119" i="4"/>
  <c r="X51" i="4"/>
  <c r="Y51" i="4" s="1"/>
  <c r="U51" i="4"/>
  <c r="V51" i="4" s="1"/>
  <c r="W51" i="4" s="1"/>
  <c r="I35" i="4"/>
  <c r="J35" i="4" s="1"/>
  <c r="K35" i="4" s="1"/>
  <c r="AP12" i="4"/>
  <c r="I189" i="4"/>
  <c r="I166" i="4"/>
  <c r="J166" i="4" s="1"/>
  <c r="AP75" i="4"/>
  <c r="I181" i="4"/>
  <c r="J181" i="4" s="1"/>
  <c r="AP183" i="4"/>
  <c r="I61" i="4"/>
  <c r="I163" i="4"/>
  <c r="AP117" i="4"/>
  <c r="I117" i="4"/>
  <c r="J117" i="4" s="1"/>
  <c r="B45" i="4"/>
  <c r="I195" i="4"/>
  <c r="N51" i="4"/>
  <c r="O51" i="4" s="1"/>
  <c r="Q51" i="4" s="1"/>
  <c r="I91" i="4"/>
  <c r="J91" i="4" s="1"/>
  <c r="I72" i="4"/>
  <c r="J72" i="4" s="1"/>
  <c r="I104" i="4"/>
  <c r="J104" i="4" s="1"/>
  <c r="K51" i="4"/>
  <c r="AD51" i="4"/>
  <c r="AE51" i="4" s="1"/>
  <c r="E13" i="1"/>
  <c r="C55" i="16" s="1"/>
  <c r="D55" i="16" s="1"/>
  <c r="B275" i="2"/>
  <c r="AJ65" i="4"/>
  <c r="AM81" i="4"/>
  <c r="AM43" i="4"/>
  <c r="AM19" i="4"/>
  <c r="AM62" i="4"/>
  <c r="AM20" i="4"/>
  <c r="AM37" i="4"/>
  <c r="AI30" i="4"/>
  <c r="J79" i="4"/>
  <c r="K79" i="4" s="1"/>
  <c r="AI83" i="4"/>
  <c r="AI92" i="4"/>
  <c r="AI12" i="4"/>
  <c r="J103" i="4"/>
  <c r="K103" i="4" s="1"/>
  <c r="AJ38" i="4"/>
  <c r="J23" i="4"/>
  <c r="AJ28" i="4"/>
  <c r="AJ74" i="4"/>
  <c r="AI32" i="4"/>
  <c r="J30" i="4"/>
  <c r="U30" i="4" s="1"/>
  <c r="V30" i="4" s="1"/>
  <c r="W30" i="4" s="1"/>
  <c r="AJ13" i="4"/>
  <c r="AJ131" i="4"/>
  <c r="AJ163" i="4"/>
  <c r="AJ130" i="4"/>
  <c r="AJ202" i="4"/>
  <c r="J186" i="4"/>
  <c r="L186" i="4" s="1"/>
  <c r="AJ153" i="4"/>
  <c r="AJ208" i="4"/>
  <c r="B13" i="4"/>
  <c r="AM205" i="4"/>
  <c r="AM161" i="4"/>
  <c r="AM160" i="4"/>
  <c r="AM156" i="4"/>
  <c r="AM176" i="4"/>
  <c r="AM127" i="4"/>
  <c r="AM133" i="4"/>
  <c r="AI140" i="4"/>
  <c r="AI120" i="4"/>
  <c r="AI128" i="4"/>
  <c r="AJ175" i="4"/>
  <c r="AI185" i="4"/>
  <c r="AI85" i="4"/>
  <c r="AI182" i="4"/>
  <c r="AI114" i="4"/>
  <c r="AL17" i="4"/>
  <c r="AN17" i="4" s="1"/>
  <c r="AL88" i="4"/>
  <c r="AN88" i="4" s="1"/>
  <c r="AL159" i="4"/>
  <c r="AN159" i="4" s="1"/>
  <c r="AL31" i="4"/>
  <c r="AN31" i="4" s="1"/>
  <c r="AL110" i="4"/>
  <c r="AN110" i="4" s="1"/>
  <c r="AL191" i="4"/>
  <c r="AN191" i="4" s="1"/>
  <c r="AL101" i="4"/>
  <c r="AN101" i="4" s="1"/>
  <c r="AL207" i="4"/>
  <c r="AN207" i="4" s="1"/>
  <c r="AL100" i="4"/>
  <c r="AN100" i="4" s="1"/>
  <c r="AL171" i="4"/>
  <c r="AN171" i="4" s="1"/>
  <c r="AL35" i="4"/>
  <c r="AN35" i="4" s="1"/>
  <c r="AL170" i="4"/>
  <c r="AN170" i="4" s="1"/>
  <c r="AL42" i="4"/>
  <c r="AN42" i="4" s="1"/>
  <c r="AM22" i="4"/>
  <c r="AM57" i="4"/>
  <c r="AM59" i="4"/>
  <c r="AM84" i="4"/>
  <c r="AI97" i="4"/>
  <c r="AI87" i="4"/>
  <c r="AI43" i="4"/>
  <c r="AI39" i="4"/>
  <c r="AJ77" i="4"/>
  <c r="J89" i="4"/>
  <c r="AD89" i="4" s="1"/>
  <c r="AE89" i="4" s="1"/>
  <c r="AJ104" i="4"/>
  <c r="J94" i="4"/>
  <c r="K94" i="4" s="1"/>
  <c r="AJ88" i="4"/>
  <c r="AJ71" i="4"/>
  <c r="AI28" i="4"/>
  <c r="AJ52" i="4"/>
  <c r="AJ152" i="4"/>
  <c r="J164" i="4"/>
  <c r="K164" i="4" s="1"/>
  <c r="AJ166" i="4"/>
  <c r="AM198" i="4"/>
  <c r="AM179" i="4"/>
  <c r="AM166" i="4"/>
  <c r="AM173" i="4"/>
  <c r="AM126" i="4"/>
  <c r="AM132" i="4"/>
  <c r="AI112" i="4"/>
  <c r="AI167" i="4"/>
  <c r="AI181" i="4"/>
  <c r="AI131" i="4"/>
  <c r="AI146" i="4"/>
  <c r="AI110" i="4"/>
  <c r="AL208" i="4"/>
  <c r="AN208" i="4" s="1"/>
  <c r="AL80" i="4"/>
  <c r="AN80" i="4" s="1"/>
  <c r="AL151" i="4"/>
  <c r="AN151" i="4" s="1"/>
  <c r="AL23" i="4"/>
  <c r="AN23" i="4" s="1"/>
  <c r="AL102" i="4"/>
  <c r="AN102" i="4" s="1"/>
  <c r="AL206" i="4"/>
  <c r="AN206" i="4" s="1"/>
  <c r="AL93" i="4"/>
  <c r="AN93" i="4" s="1"/>
  <c r="AL183" i="4"/>
  <c r="AN183" i="4" s="1"/>
  <c r="AL92" i="4"/>
  <c r="AN92" i="4" s="1"/>
  <c r="AL163" i="4"/>
  <c r="AN163" i="4" s="1"/>
  <c r="AL27" i="4"/>
  <c r="AN27" i="4" s="1"/>
  <c r="AL162" i="4"/>
  <c r="AN162" i="4" s="1"/>
  <c r="AL34" i="4"/>
  <c r="AN34" i="4" s="1"/>
  <c r="AI65" i="4"/>
  <c r="AM35" i="4"/>
  <c r="AM105" i="4"/>
  <c r="AM77" i="4"/>
  <c r="AM71" i="4"/>
  <c r="AM61" i="4"/>
  <c r="AM97" i="4"/>
  <c r="AM14" i="4"/>
  <c r="J47" i="4"/>
  <c r="J62" i="4"/>
  <c r="U62" i="4" s="1"/>
  <c r="V62" i="4" s="1"/>
  <c r="W62" i="4" s="1"/>
  <c r="AI23" i="4"/>
  <c r="AI35" i="4"/>
  <c r="J29" i="4"/>
  <c r="AJ14" i="4"/>
  <c r="J19" i="4"/>
  <c r="AI95" i="4"/>
  <c r="AI14" i="4"/>
  <c r="AJ64" i="4"/>
  <c r="AJ87" i="4"/>
  <c r="J107" i="4"/>
  <c r="AD107" i="4" s="1"/>
  <c r="AE107" i="4" s="1"/>
  <c r="AJ43" i="4"/>
  <c r="AJ165" i="4"/>
  <c r="J131" i="4"/>
  <c r="K131" i="4" s="1"/>
  <c r="AJ160" i="4"/>
  <c r="AJ187" i="4"/>
  <c r="AJ138" i="4"/>
  <c r="J180" i="4"/>
  <c r="X180" i="4" s="1"/>
  <c r="Y180" i="4" s="1"/>
  <c r="AJ186" i="4"/>
  <c r="AM203" i="4"/>
  <c r="AM178" i="4"/>
  <c r="AM192" i="4"/>
  <c r="AM153" i="4"/>
  <c r="AM151" i="4"/>
  <c r="AM172" i="4"/>
  <c r="AM131" i="4"/>
  <c r="AI124" i="4"/>
  <c r="AI68" i="4"/>
  <c r="AJ112" i="4"/>
  <c r="AI177" i="4"/>
  <c r="AI129" i="4"/>
  <c r="AI178" i="4"/>
  <c r="AI142" i="4"/>
  <c r="AJ46" i="4"/>
  <c r="AL200" i="4"/>
  <c r="AN200" i="4" s="1"/>
  <c r="AL72" i="4"/>
  <c r="AN72" i="4" s="1"/>
  <c r="AL143" i="4"/>
  <c r="AN143" i="4" s="1"/>
  <c r="AL15" i="4"/>
  <c r="AN15" i="4" s="1"/>
  <c r="AL94" i="4"/>
  <c r="AN94" i="4" s="1"/>
  <c r="AL190" i="4"/>
  <c r="AN190" i="4" s="1"/>
  <c r="AL85" i="4"/>
  <c r="AN85" i="4" s="1"/>
  <c r="AL182" i="4"/>
  <c r="AN182" i="4" s="1"/>
  <c r="AL84" i="4"/>
  <c r="AN84" i="4" s="1"/>
  <c r="AL147" i="4"/>
  <c r="AN147" i="4" s="1"/>
  <c r="AL19" i="4"/>
  <c r="AN19" i="4" s="1"/>
  <c r="AL154" i="4"/>
  <c r="AN154" i="4" s="1"/>
  <c r="AL26" i="4"/>
  <c r="AN26" i="4" s="1"/>
  <c r="AM106" i="4"/>
  <c r="AM31" i="4"/>
  <c r="AM9" i="4"/>
  <c r="AM85" i="4"/>
  <c r="AM67" i="4"/>
  <c r="AM52" i="4"/>
  <c r="AM86" i="4"/>
  <c r="AI62" i="4"/>
  <c r="AI47" i="4"/>
  <c r="AI66" i="4"/>
  <c r="J31" i="4"/>
  <c r="K31" i="4" s="1"/>
  <c r="AJ37" i="4"/>
  <c r="AI64" i="4"/>
  <c r="AJ17" i="4"/>
  <c r="J21" i="4"/>
  <c r="X21" i="4" s="1"/>
  <c r="Y21" i="4" s="1"/>
  <c r="AJ48" i="4"/>
  <c r="B30" i="2"/>
  <c r="E16" i="1" s="1"/>
  <c r="AJ79" i="4"/>
  <c r="AJ29" i="4"/>
  <c r="J168" i="4"/>
  <c r="R168" i="4" s="1"/>
  <c r="S168" i="4" s="1"/>
  <c r="T168" i="4" s="1"/>
  <c r="J135" i="4"/>
  <c r="R135" i="4" s="1"/>
  <c r="S135" i="4" s="1"/>
  <c r="T135" i="4" s="1"/>
  <c r="J129" i="4"/>
  <c r="AD129" i="4" s="1"/>
  <c r="AE129" i="4" s="1"/>
  <c r="AJ147" i="4"/>
  <c r="AJ137" i="4"/>
  <c r="B4" i="6"/>
  <c r="B12" i="6" s="1"/>
  <c r="B223" i="2"/>
  <c r="AM201" i="4"/>
  <c r="AM177" i="4"/>
  <c r="AM150" i="4"/>
  <c r="AM159" i="4"/>
  <c r="AM171" i="4"/>
  <c r="AM141" i="4"/>
  <c r="AM123" i="4"/>
  <c r="AI159" i="4"/>
  <c r="AI173" i="4"/>
  <c r="AI125" i="4"/>
  <c r="AI207" i="4"/>
  <c r="AI123" i="4"/>
  <c r="AI174" i="4"/>
  <c r="AI42" i="4"/>
  <c r="AL192" i="4"/>
  <c r="AN192" i="4" s="1"/>
  <c r="AL64" i="4"/>
  <c r="AN64" i="4" s="1"/>
  <c r="AL135" i="4"/>
  <c r="AN135" i="4" s="1"/>
  <c r="AL185" i="4"/>
  <c r="AN185" i="4" s="1"/>
  <c r="AL86" i="4"/>
  <c r="AN86" i="4" s="1"/>
  <c r="AL205" i="4"/>
  <c r="AN205" i="4" s="1"/>
  <c r="AL77" i="4"/>
  <c r="AN77" i="4" s="1"/>
  <c r="AL204" i="4"/>
  <c r="AN204" i="4" s="1"/>
  <c r="AL76" i="4"/>
  <c r="AN76" i="4" s="1"/>
  <c r="AL139" i="4"/>
  <c r="AN139" i="4" s="1"/>
  <c r="AL11" i="4"/>
  <c r="AN11" i="4" s="1"/>
  <c r="AL146" i="4"/>
  <c r="AN146" i="4" s="1"/>
  <c r="AL18" i="4"/>
  <c r="AN18" i="4" s="1"/>
  <c r="AM60" i="4"/>
  <c r="AM104" i="4"/>
  <c r="AM15" i="4"/>
  <c r="AM107" i="4"/>
  <c r="AM25" i="4"/>
  <c r="AM91" i="4"/>
  <c r="AI11" i="4"/>
  <c r="AJ73" i="4"/>
  <c r="AJ58" i="4"/>
  <c r="J92" i="4"/>
  <c r="J16" i="4"/>
  <c r="AI86" i="4"/>
  <c r="AJ155" i="4"/>
  <c r="J176" i="4"/>
  <c r="AJ129" i="4"/>
  <c r="AJ159" i="4"/>
  <c r="AJ180" i="4"/>
  <c r="J116" i="4"/>
  <c r="R116" i="4" s="1"/>
  <c r="S116" i="4" s="1"/>
  <c r="T116" i="4" s="1"/>
  <c r="B78" i="4"/>
  <c r="B77" i="4"/>
  <c r="AM181" i="4"/>
  <c r="AM199" i="4"/>
  <c r="AM149" i="4"/>
  <c r="AM158" i="4"/>
  <c r="AM148" i="4"/>
  <c r="AM170" i="4"/>
  <c r="AM137" i="4"/>
  <c r="AM124" i="4"/>
  <c r="AM114" i="4"/>
  <c r="AJ173" i="4"/>
  <c r="AJ174" i="4"/>
  <c r="AI138" i="4"/>
  <c r="AL184" i="4"/>
  <c r="AN184" i="4" s="1"/>
  <c r="AL56" i="4"/>
  <c r="AN56" i="4" s="1"/>
  <c r="AL127" i="4"/>
  <c r="AN127" i="4" s="1"/>
  <c r="AL121" i="4"/>
  <c r="AN121" i="4" s="1"/>
  <c r="AL78" i="4"/>
  <c r="AN78" i="4" s="1"/>
  <c r="AL197" i="4"/>
  <c r="AN197" i="4" s="1"/>
  <c r="AL69" i="4"/>
  <c r="AN69" i="4" s="1"/>
  <c r="AL196" i="4"/>
  <c r="AN196" i="4" s="1"/>
  <c r="AL68" i="4"/>
  <c r="AN68" i="4" s="1"/>
  <c r="AL131" i="4"/>
  <c r="AN131" i="4" s="1"/>
  <c r="AL201" i="4"/>
  <c r="AN201" i="4" s="1"/>
  <c r="AL138" i="4"/>
  <c r="AN138" i="4" s="1"/>
  <c r="AL10" i="4"/>
  <c r="AN10" i="4" s="1"/>
  <c r="AM33" i="4"/>
  <c r="AM80" i="4"/>
  <c r="AM46" i="4"/>
  <c r="AM11" i="4"/>
  <c r="AM45" i="4"/>
  <c r="AM13" i="4"/>
  <c r="AJ47" i="4"/>
  <c r="J108" i="4"/>
  <c r="J56" i="4"/>
  <c r="K56" i="4" s="1"/>
  <c r="AJ72" i="4"/>
  <c r="AI75" i="4"/>
  <c r="J63" i="4"/>
  <c r="L63" i="4" s="1"/>
  <c r="AJ90" i="4"/>
  <c r="AJ32" i="4"/>
  <c r="AI90" i="4"/>
  <c r="AJ42" i="4"/>
  <c r="AJ84" i="4"/>
  <c r="AJ181" i="4"/>
  <c r="AJ164" i="4"/>
  <c r="AJ194" i="4"/>
  <c r="J124" i="4"/>
  <c r="AD124" i="4" s="1"/>
  <c r="AE124" i="4" s="1"/>
  <c r="AJ128" i="4"/>
  <c r="J185" i="4"/>
  <c r="X185" i="4" s="1"/>
  <c r="Y185" i="4" s="1"/>
  <c r="AJ167" i="4"/>
  <c r="AJ134" i="4"/>
  <c r="AJ120" i="4"/>
  <c r="AJ204" i="4"/>
  <c r="AM169" i="4"/>
  <c r="AM145" i="4"/>
  <c r="AM168" i="4"/>
  <c r="AM134" i="4"/>
  <c r="AM119" i="4"/>
  <c r="AM113" i="4"/>
  <c r="AJ40" i="4"/>
  <c r="AI20" i="4"/>
  <c r="AI143" i="4"/>
  <c r="AI169" i="4"/>
  <c r="AI121" i="4"/>
  <c r="AI199" i="4"/>
  <c r="AI170" i="4"/>
  <c r="AL176" i="4"/>
  <c r="AN176" i="4" s="1"/>
  <c r="AL48" i="4"/>
  <c r="AN48" i="4" s="1"/>
  <c r="AL119" i="4"/>
  <c r="AN119" i="4" s="1"/>
  <c r="AL49" i="4"/>
  <c r="AN49" i="4" s="1"/>
  <c r="AL70" i="4"/>
  <c r="AN70" i="4" s="1"/>
  <c r="AL189" i="4"/>
  <c r="AN189" i="4" s="1"/>
  <c r="AL61" i="4"/>
  <c r="AN61" i="4" s="1"/>
  <c r="AL188" i="4"/>
  <c r="AN188" i="4" s="1"/>
  <c r="AL60" i="4"/>
  <c r="AN60" i="4" s="1"/>
  <c r="AL123" i="4"/>
  <c r="AN123" i="4" s="1"/>
  <c r="AL153" i="4"/>
  <c r="AN153" i="4" s="1"/>
  <c r="AL130" i="4"/>
  <c r="AN130" i="4" s="1"/>
  <c r="AM53" i="4"/>
  <c r="AM24" i="4"/>
  <c r="AM102" i="4"/>
  <c r="AM74" i="4"/>
  <c r="AM79" i="4"/>
  <c r="AM12" i="4"/>
  <c r="AJ108" i="4"/>
  <c r="AI71" i="4"/>
  <c r="J73" i="4"/>
  <c r="X73" i="4" s="1"/>
  <c r="Y73" i="4" s="1"/>
  <c r="AJ89" i="4"/>
  <c r="AI91" i="4"/>
  <c r="AJ93" i="4"/>
  <c r="J158" i="4"/>
  <c r="R158" i="4" s="1"/>
  <c r="S158" i="4" s="1"/>
  <c r="T158" i="4" s="1"/>
  <c r="AJ168" i="4"/>
  <c r="AJ195" i="4"/>
  <c r="AJ158" i="4"/>
  <c r="J182" i="4"/>
  <c r="U182" i="4" s="1"/>
  <c r="V182" i="4" s="1"/>
  <c r="W182" i="4" s="1"/>
  <c r="AJ124" i="4"/>
  <c r="AJ157" i="4"/>
  <c r="B224" i="2"/>
  <c r="AM195" i="4"/>
  <c r="AM157" i="4"/>
  <c r="AM202" i="4"/>
  <c r="AM165" i="4"/>
  <c r="AI135" i="4"/>
  <c r="AI191" i="4"/>
  <c r="AI107" i="4"/>
  <c r="AI202" i="4"/>
  <c r="AI134" i="4"/>
  <c r="AL168" i="4"/>
  <c r="AN168" i="4" s="1"/>
  <c r="AL40" i="4"/>
  <c r="AN40" i="4" s="1"/>
  <c r="AL111" i="4"/>
  <c r="AN111" i="4" s="1"/>
  <c r="AL199" i="4"/>
  <c r="AN199" i="4" s="1"/>
  <c r="AL62" i="4"/>
  <c r="AN62" i="4" s="1"/>
  <c r="AL181" i="4"/>
  <c r="AN181" i="4" s="1"/>
  <c r="AL53" i="4"/>
  <c r="AN53" i="4" s="1"/>
  <c r="AL180" i="4"/>
  <c r="AN180" i="4" s="1"/>
  <c r="AL52" i="4"/>
  <c r="AN52" i="4" s="1"/>
  <c r="AL115" i="4"/>
  <c r="AN115" i="4" s="1"/>
  <c r="AL105" i="4"/>
  <c r="AN105" i="4" s="1"/>
  <c r="AL122" i="4"/>
  <c r="AN122" i="4" s="1"/>
  <c r="AM27" i="4"/>
  <c r="AM99" i="4"/>
  <c r="AM78" i="4"/>
  <c r="AM38" i="4"/>
  <c r="AM90" i="4"/>
  <c r="AM100" i="4"/>
  <c r="AM73" i="4"/>
  <c r="AJ107" i="4"/>
  <c r="AJ21" i="4"/>
  <c r="J38" i="4"/>
  <c r="AD38" i="4" s="1"/>
  <c r="AE38" i="4" s="1"/>
  <c r="J48" i="4"/>
  <c r="N48" i="4" s="1"/>
  <c r="O48" i="4" s="1"/>
  <c r="Q48" i="4" s="1"/>
  <c r="AJ76" i="4"/>
  <c r="AI77" i="4"/>
  <c r="AI16" i="4"/>
  <c r="AJ91" i="4"/>
  <c r="AI38" i="4"/>
  <c r="AJ149" i="4"/>
  <c r="AJ176" i="4"/>
  <c r="AJ199" i="4"/>
  <c r="J165" i="4"/>
  <c r="K165" i="4" s="1"/>
  <c r="AJ201" i="4"/>
  <c r="AJ118" i="4"/>
  <c r="AM152" i="4"/>
  <c r="AM194" i="4"/>
  <c r="AM208" i="4"/>
  <c r="AM164" i="4"/>
  <c r="AM146" i="4"/>
  <c r="AM115" i="4"/>
  <c r="AI196" i="4"/>
  <c r="AI127" i="4"/>
  <c r="AI209" i="4"/>
  <c r="AI165" i="4"/>
  <c r="AI117" i="4"/>
  <c r="AI183" i="4"/>
  <c r="AI166" i="4"/>
  <c r="AL160" i="4"/>
  <c r="AN160" i="4" s="1"/>
  <c r="AL32" i="4"/>
  <c r="AN32" i="4" s="1"/>
  <c r="AL103" i="4"/>
  <c r="AN103" i="4" s="1"/>
  <c r="AL198" i="4"/>
  <c r="AN198" i="4" s="1"/>
  <c r="AL54" i="4"/>
  <c r="AN54" i="4" s="1"/>
  <c r="AL173" i="4"/>
  <c r="AN173" i="4" s="1"/>
  <c r="AL45" i="4"/>
  <c r="AN45" i="4" s="1"/>
  <c r="AL172" i="4"/>
  <c r="AN172" i="4" s="1"/>
  <c r="AL44" i="4"/>
  <c r="AN44" i="4" s="1"/>
  <c r="AL107" i="4"/>
  <c r="AN107" i="4" s="1"/>
  <c r="AL57" i="4"/>
  <c r="AN57" i="4" s="1"/>
  <c r="AL114" i="4"/>
  <c r="AN114" i="4" s="1"/>
  <c r="AM36" i="4"/>
  <c r="AM23" i="4"/>
  <c r="AM89" i="4"/>
  <c r="AM92" i="4"/>
  <c r="AM29" i="4"/>
  <c r="AM75" i="4"/>
  <c r="AJ33" i="4"/>
  <c r="AI78" i="4"/>
  <c r="AJ82" i="4"/>
  <c r="J34" i="4"/>
  <c r="K34" i="4" s="1"/>
  <c r="AI94" i="4"/>
  <c r="AI93" i="4"/>
  <c r="AI80" i="4"/>
  <c r="J74" i="4"/>
  <c r="AJ44" i="4"/>
  <c r="J194" i="4"/>
  <c r="K194" i="4" s="1"/>
  <c r="J139" i="4"/>
  <c r="L139" i="4" s="1"/>
  <c r="AJ150" i="4"/>
  <c r="AJ116" i="4"/>
  <c r="B85" i="2"/>
  <c r="AM191" i="4"/>
  <c r="AM147" i="4"/>
  <c r="AM118" i="4"/>
  <c r="AM183" i="4"/>
  <c r="AM125" i="4"/>
  <c r="AM162" i="4"/>
  <c r="AM121" i="4"/>
  <c r="AM144" i="4"/>
  <c r="AI200" i="4"/>
  <c r="AI180" i="4"/>
  <c r="AI111" i="4"/>
  <c r="AI157" i="4"/>
  <c r="AI113" i="4"/>
  <c r="AI49" i="4"/>
  <c r="AI171" i="4"/>
  <c r="AI162" i="4"/>
  <c r="AL144" i="4"/>
  <c r="AN144" i="4" s="1"/>
  <c r="AL16" i="4"/>
  <c r="AN16" i="4" s="1"/>
  <c r="AL87" i="4"/>
  <c r="AN87" i="4" s="1"/>
  <c r="AL166" i="4"/>
  <c r="AN166" i="4" s="1"/>
  <c r="AL38" i="4"/>
  <c r="AN38" i="4" s="1"/>
  <c r="AL157" i="4"/>
  <c r="AN157" i="4" s="1"/>
  <c r="AL29" i="4"/>
  <c r="AN29" i="4" s="1"/>
  <c r="AL156" i="4"/>
  <c r="AN156" i="4" s="1"/>
  <c r="AL28" i="4"/>
  <c r="AN28" i="4" s="1"/>
  <c r="AL91" i="4"/>
  <c r="AN91" i="4" s="1"/>
  <c r="AL179" i="4"/>
  <c r="AN179" i="4" s="1"/>
  <c r="AL98" i="4"/>
  <c r="AN98" i="4" s="1"/>
  <c r="AM65" i="4"/>
  <c r="AM83" i="4"/>
  <c r="AM18" i="4"/>
  <c r="AM50" i="4"/>
  <c r="AM48" i="4"/>
  <c r="AM39" i="4"/>
  <c r="AM69" i="4"/>
  <c r="AJ62" i="4"/>
  <c r="AI17" i="4"/>
  <c r="J13" i="4"/>
  <c r="N13" i="4" s="1"/>
  <c r="O13" i="4" s="1"/>
  <c r="Q13" i="4" s="1"/>
  <c r="AJ56" i="4"/>
  <c r="AJ60" i="4"/>
  <c r="AJ63" i="4"/>
  <c r="AI59" i="4"/>
  <c r="AI34" i="4"/>
  <c r="AJ39" i="4"/>
  <c r="AJ61" i="4"/>
  <c r="AJ197" i="4"/>
  <c r="AJ162" i="4"/>
  <c r="AJ148" i="4"/>
  <c r="AJ132" i="4"/>
  <c r="AJ121" i="4"/>
  <c r="AJ185" i="4"/>
  <c r="AJ170" i="4"/>
  <c r="AM190" i="4"/>
  <c r="AM175" i="4"/>
  <c r="AM197" i="4"/>
  <c r="AM120" i="4"/>
  <c r="AM142" i="4"/>
  <c r="AM112" i="4"/>
  <c r="AI204" i="4"/>
  <c r="AJ200" i="4"/>
  <c r="AI164" i="4"/>
  <c r="AI176" i="4"/>
  <c r="AJ111" i="4"/>
  <c r="AI201" i="4"/>
  <c r="AI153" i="4"/>
  <c r="AJ45" i="4"/>
  <c r="AI194" i="4"/>
  <c r="AL136" i="4"/>
  <c r="AN136" i="4" s="1"/>
  <c r="AL193" i="4"/>
  <c r="AN193" i="4" s="1"/>
  <c r="AL79" i="4"/>
  <c r="AN79" i="4" s="1"/>
  <c r="AL158" i="4"/>
  <c r="AN158" i="4" s="1"/>
  <c r="AL30" i="4"/>
  <c r="AN30" i="4" s="1"/>
  <c r="AL149" i="4"/>
  <c r="AN149" i="4" s="1"/>
  <c r="AL21" i="4"/>
  <c r="AN21" i="4" s="1"/>
  <c r="AL148" i="4"/>
  <c r="AN148" i="4" s="1"/>
  <c r="AL20" i="4"/>
  <c r="AN20" i="4" s="1"/>
  <c r="AL83" i="4"/>
  <c r="AN83" i="4" s="1"/>
  <c r="AL155" i="4"/>
  <c r="AN155" i="4" s="1"/>
  <c r="AL90" i="4"/>
  <c r="AN90" i="4" s="1"/>
  <c r="AM98" i="4"/>
  <c r="AM94" i="4"/>
  <c r="AM16" i="4"/>
  <c r="AM40" i="4"/>
  <c r="AM17" i="4"/>
  <c r="AM54" i="4"/>
  <c r="AM87" i="4"/>
  <c r="AI108" i="4"/>
  <c r="AI88" i="4"/>
  <c r="AJ11" i="4"/>
  <c r="J82" i="4"/>
  <c r="R82" i="4" s="1"/>
  <c r="S82" i="4" s="1"/>
  <c r="T82" i="4" s="1"/>
  <c r="AJ26" i="4"/>
  <c r="AI15" i="4"/>
  <c r="J15" i="4"/>
  <c r="AI44" i="4"/>
  <c r="AI58" i="4"/>
  <c r="AI99" i="4"/>
  <c r="AJ85" i="4"/>
  <c r="AI18" i="4"/>
  <c r="AI102" i="4"/>
  <c r="AI48" i="4"/>
  <c r="AJ19" i="4"/>
  <c r="J162" i="4"/>
  <c r="X162" i="4" s="1"/>
  <c r="Y162" i="4" s="1"/>
  <c r="J152" i="4"/>
  <c r="K152" i="4" s="1"/>
  <c r="AJ140" i="4"/>
  <c r="J134" i="4"/>
  <c r="X134" i="4" s="1"/>
  <c r="Y134" i="4" s="1"/>
  <c r="AJ144" i="4"/>
  <c r="J169" i="4"/>
  <c r="N169" i="4" s="1"/>
  <c r="O169" i="4" s="1"/>
  <c r="Q169" i="4" s="1"/>
  <c r="AJ122" i="4"/>
  <c r="AM189" i="4"/>
  <c r="AM204" i="4"/>
  <c r="AM193" i="4"/>
  <c r="AM187" i="4"/>
  <c r="AM117" i="4"/>
  <c r="AM140" i="4"/>
  <c r="AM111" i="4"/>
  <c r="AI188" i="4"/>
  <c r="AI184" i="4"/>
  <c r="AI149" i="4"/>
  <c r="AJ41" i="4"/>
  <c r="AI163" i="4"/>
  <c r="AI158" i="4"/>
  <c r="AL128" i="4"/>
  <c r="AN128" i="4" s="1"/>
  <c r="AL137" i="4"/>
  <c r="AN137" i="4" s="1"/>
  <c r="AL71" i="4"/>
  <c r="AN71" i="4" s="1"/>
  <c r="AL150" i="4"/>
  <c r="AN150" i="4" s="1"/>
  <c r="AL22" i="4"/>
  <c r="AN22" i="4" s="1"/>
  <c r="AL141" i="4"/>
  <c r="AN141" i="4" s="1"/>
  <c r="AL13" i="4"/>
  <c r="AN13" i="4" s="1"/>
  <c r="AL140" i="4"/>
  <c r="AN140" i="4" s="1"/>
  <c r="AL12" i="4"/>
  <c r="AN12" i="4" s="1"/>
  <c r="AL75" i="4"/>
  <c r="AN75" i="4" s="1"/>
  <c r="AL9" i="4"/>
  <c r="AN9" i="4" s="1"/>
  <c r="AL82" i="4"/>
  <c r="AN82" i="4" s="1"/>
  <c r="AM82" i="4"/>
  <c r="AM55" i="4"/>
  <c r="AM101" i="4"/>
  <c r="AM58" i="4"/>
  <c r="AM26" i="4"/>
  <c r="AM103" i="4"/>
  <c r="J11" i="4"/>
  <c r="AJ92" i="4"/>
  <c r="AJ16" i="4"/>
  <c r="AJ102" i="4"/>
  <c r="AI29" i="4"/>
  <c r="J18" i="4"/>
  <c r="U18" i="4" s="1"/>
  <c r="V18" i="4" s="1"/>
  <c r="W18" i="4" s="1"/>
  <c r="AI22" i="4"/>
  <c r="AI63" i="4"/>
  <c r="AI55" i="4"/>
  <c r="AJ95" i="4"/>
  <c r="AJ97" i="4"/>
  <c r="AJ190" i="4"/>
  <c r="AJ156" i="4"/>
  <c r="AJ136" i="4"/>
  <c r="J150" i="4"/>
  <c r="AD150" i="4" s="1"/>
  <c r="AE150" i="4" s="1"/>
  <c r="J121" i="4"/>
  <c r="N121" i="4" s="1"/>
  <c r="O121" i="4" s="1"/>
  <c r="Q121" i="4" s="1"/>
  <c r="AM209" i="4"/>
  <c r="AM122" i="4"/>
  <c r="AM188" i="4"/>
  <c r="AM186" i="4"/>
  <c r="AM155" i="4"/>
  <c r="AM116" i="4"/>
  <c r="AM139" i="4"/>
  <c r="AJ184" i="4"/>
  <c r="AI148" i="4"/>
  <c r="AI160" i="4"/>
  <c r="AI195" i="4"/>
  <c r="AI197" i="4"/>
  <c r="AI145" i="4"/>
  <c r="AI155" i="4"/>
  <c r="AI190" i="4"/>
  <c r="AI122" i="4"/>
  <c r="AL177" i="4"/>
  <c r="AN177" i="4" s="1"/>
  <c r="AL120" i="4"/>
  <c r="AN120" i="4" s="1"/>
  <c r="AL89" i="4"/>
  <c r="AN89" i="4" s="1"/>
  <c r="AL63" i="4"/>
  <c r="AN63" i="4" s="1"/>
  <c r="AL142" i="4"/>
  <c r="AN142" i="4" s="1"/>
  <c r="AL14" i="4"/>
  <c r="AN14" i="4" s="1"/>
  <c r="AL133" i="4"/>
  <c r="AN133" i="4" s="1"/>
  <c r="AL209" i="4"/>
  <c r="AN209" i="4" s="1"/>
  <c r="AL132" i="4"/>
  <c r="AN132" i="4" s="1"/>
  <c r="AL161" i="4"/>
  <c r="AN161" i="4" s="1"/>
  <c r="AL67" i="4"/>
  <c r="AN67" i="4" s="1"/>
  <c r="AL202" i="4"/>
  <c r="AN202" i="4" s="1"/>
  <c r="AL74" i="4"/>
  <c r="AN74" i="4" s="1"/>
  <c r="AM42" i="4"/>
  <c r="AM49" i="4"/>
  <c r="AM47" i="4"/>
  <c r="AM56" i="4"/>
  <c r="AM96" i="4"/>
  <c r="AM76" i="4"/>
  <c r="AJ66" i="4"/>
  <c r="AJ75" i="4"/>
  <c r="J60" i="4"/>
  <c r="J85" i="4"/>
  <c r="U85" i="4" s="1"/>
  <c r="V85" i="4" s="1"/>
  <c r="W85" i="4" s="1"/>
  <c r="AI69" i="4"/>
  <c r="AI31" i="4"/>
  <c r="AI73" i="4"/>
  <c r="AJ86" i="4"/>
  <c r="AJ22" i="4"/>
  <c r="AJ35" i="4"/>
  <c r="AI67" i="4"/>
  <c r="J32" i="4"/>
  <c r="L32" i="4" s="1"/>
  <c r="AI104" i="4"/>
  <c r="AJ57" i="4"/>
  <c r="AI82" i="4"/>
  <c r="AJ67" i="4"/>
  <c r="AI26" i="4"/>
  <c r="AJ78" i="4"/>
  <c r="J143" i="4"/>
  <c r="N143" i="4" s="1"/>
  <c r="O143" i="4" s="1"/>
  <c r="Q143" i="4" s="1"/>
  <c r="J197" i="4"/>
  <c r="R197" i="4" s="1"/>
  <c r="S197" i="4" s="1"/>
  <c r="T197" i="4" s="1"/>
  <c r="AJ127" i="4"/>
  <c r="J171" i="4"/>
  <c r="K171" i="4" s="1"/>
  <c r="AJ207" i="4"/>
  <c r="AM184" i="4"/>
  <c r="AM167" i="4"/>
  <c r="AM185" i="4"/>
  <c r="AM154" i="4"/>
  <c r="AM143" i="4"/>
  <c r="AM138" i="4"/>
  <c r="AI172" i="4"/>
  <c r="AI168" i="4"/>
  <c r="AI132" i="4"/>
  <c r="AI187" i="4"/>
  <c r="AI193" i="4"/>
  <c r="AI141" i="4"/>
  <c r="AI147" i="4"/>
  <c r="AL129" i="4"/>
  <c r="AN129" i="4" s="1"/>
  <c r="AL112" i="4"/>
  <c r="AN112" i="4" s="1"/>
  <c r="AL25" i="4"/>
  <c r="AN25" i="4" s="1"/>
  <c r="AL55" i="4"/>
  <c r="AN55" i="4" s="1"/>
  <c r="AL134" i="4"/>
  <c r="AN134" i="4" s="1"/>
  <c r="AL169" i="4"/>
  <c r="AN169" i="4" s="1"/>
  <c r="AL125" i="4"/>
  <c r="AN125" i="4" s="1"/>
  <c r="AL145" i="4"/>
  <c r="AN145" i="4" s="1"/>
  <c r="AL124" i="4"/>
  <c r="AN124" i="4" s="1"/>
  <c r="AL73" i="4"/>
  <c r="AN73" i="4" s="1"/>
  <c r="AL59" i="4"/>
  <c r="AN59" i="4" s="1"/>
  <c r="AL194" i="4"/>
  <c r="AN194" i="4" s="1"/>
  <c r="AL66" i="4"/>
  <c r="AN66" i="4" s="1"/>
  <c r="AM28" i="4"/>
  <c r="AM95" i="4"/>
  <c r="AM88" i="4"/>
  <c r="AM108" i="4"/>
  <c r="AM93" i="4"/>
  <c r="AM51" i="4"/>
  <c r="AI106" i="4"/>
  <c r="AI72" i="4"/>
  <c r="J17" i="4"/>
  <c r="AI56" i="4"/>
  <c r="AI84" i="4"/>
  <c r="AI19" i="4"/>
  <c r="AJ59" i="4"/>
  <c r="J67" i="4"/>
  <c r="L67" i="4" s="1"/>
  <c r="AI61" i="4"/>
  <c r="AJ15" i="4"/>
  <c r="J64" i="4"/>
  <c r="L64" i="4" s="1"/>
  <c r="AB64" i="4" s="1"/>
  <c r="AJ51" i="4"/>
  <c r="AJ83" i="4"/>
  <c r="AJ193" i="4"/>
  <c r="J136" i="4"/>
  <c r="AD136" i="4" s="1"/>
  <c r="AE136" i="4" s="1"/>
  <c r="J138" i="4"/>
  <c r="L138" i="4" s="1"/>
  <c r="AJ169" i="4"/>
  <c r="AJ171" i="4"/>
  <c r="AM10" i="4"/>
  <c r="AM207" i="4"/>
  <c r="AM136" i="4"/>
  <c r="AM130" i="4"/>
  <c r="AI152" i="4"/>
  <c r="AI144" i="4"/>
  <c r="AI179" i="4"/>
  <c r="AI189" i="4"/>
  <c r="AJ141" i="4"/>
  <c r="AI186" i="4"/>
  <c r="AI118" i="4"/>
  <c r="AL81" i="4"/>
  <c r="AN81" i="4" s="1"/>
  <c r="AL104" i="4"/>
  <c r="AN104" i="4" s="1"/>
  <c r="AL175" i="4"/>
  <c r="AN175" i="4" s="1"/>
  <c r="AL47" i="4"/>
  <c r="AN47" i="4" s="1"/>
  <c r="AL126" i="4"/>
  <c r="AN126" i="4" s="1"/>
  <c r="AL113" i="4"/>
  <c r="AN113" i="4" s="1"/>
  <c r="AL117" i="4"/>
  <c r="AN117" i="4" s="1"/>
  <c r="AL97" i="4"/>
  <c r="AN97" i="4" s="1"/>
  <c r="AL116" i="4"/>
  <c r="AN116" i="4" s="1"/>
  <c r="AL203" i="4"/>
  <c r="AN203" i="4" s="1"/>
  <c r="AL51" i="4"/>
  <c r="AN51" i="4" s="1"/>
  <c r="AL186" i="4"/>
  <c r="AN186" i="4" s="1"/>
  <c r="AL58" i="4"/>
  <c r="AN58" i="4" s="1"/>
  <c r="AM64" i="4"/>
  <c r="AM34" i="4"/>
  <c r="AM72" i="4"/>
  <c r="AM68" i="4"/>
  <c r="AM30" i="4"/>
  <c r="AM41" i="4"/>
  <c r="AJ30" i="4"/>
  <c r="AJ34" i="4"/>
  <c r="AI79" i="4"/>
  <c r="AJ99" i="4"/>
  <c r="AI51" i="4"/>
  <c r="AJ69" i="4"/>
  <c r="AJ18" i="4"/>
  <c r="AI52" i="4"/>
  <c r="AJ55" i="4"/>
  <c r="AI74" i="4"/>
  <c r="J58" i="4"/>
  <c r="L58" i="4" s="1"/>
  <c r="AI60" i="4"/>
  <c r="AJ94" i="4"/>
  <c r="AJ80" i="4"/>
  <c r="AJ135" i="4"/>
  <c r="J163" i="4"/>
  <c r="AD163" i="4" s="1"/>
  <c r="AE163" i="4" s="1"/>
  <c r="J130" i="4"/>
  <c r="L130" i="4" s="1"/>
  <c r="M130" i="4" s="1"/>
  <c r="AA130" i="4" s="1"/>
  <c r="AJ189" i="4"/>
  <c r="J189" i="4"/>
  <c r="N189" i="4" s="1"/>
  <c r="O189" i="4" s="1"/>
  <c r="Q189" i="4" s="1"/>
  <c r="AJ125" i="4"/>
  <c r="AJ198" i="4"/>
  <c r="AM206" i="4"/>
  <c r="AM182" i="4"/>
  <c r="AM200" i="4"/>
  <c r="AM196" i="4"/>
  <c r="AM174" i="4"/>
  <c r="AM135" i="4"/>
  <c r="AM129" i="4"/>
  <c r="AI156" i="4"/>
  <c r="AI136" i="4"/>
  <c r="AI116" i="4"/>
  <c r="AI175" i="4"/>
  <c r="AI137" i="4"/>
  <c r="AI139" i="4"/>
  <c r="AI150" i="4"/>
  <c r="AL65" i="4"/>
  <c r="AN65" i="4" s="1"/>
  <c r="AL96" i="4"/>
  <c r="AN96" i="4" s="1"/>
  <c r="AL167" i="4"/>
  <c r="AN167" i="4" s="1"/>
  <c r="AL39" i="4"/>
  <c r="AN39" i="4" s="1"/>
  <c r="AL118" i="4"/>
  <c r="AN118" i="4" s="1"/>
  <c r="AL41" i="4"/>
  <c r="AN41" i="4" s="1"/>
  <c r="AL109" i="4"/>
  <c r="AN109" i="4" s="1"/>
  <c r="AL33" i="4"/>
  <c r="AN33" i="4" s="1"/>
  <c r="AL108" i="4"/>
  <c r="AN108" i="4" s="1"/>
  <c r="AL187" i="4"/>
  <c r="AN187" i="4" s="1"/>
  <c r="AL43" i="4"/>
  <c r="AN43" i="4" s="1"/>
  <c r="AL178" i="4"/>
  <c r="AN178" i="4" s="1"/>
  <c r="J80" i="4"/>
  <c r="R80" i="4" s="1"/>
  <c r="S80" i="4" s="1"/>
  <c r="T80" i="4" s="1"/>
  <c r="I113" i="4"/>
  <c r="I40" i="4"/>
  <c r="AI45" i="4"/>
  <c r="AP205" i="4"/>
  <c r="AP174" i="4"/>
  <c r="R48" i="4"/>
  <c r="S48" i="4" s="1"/>
  <c r="T48" i="4" s="1"/>
  <c r="AP9" i="4"/>
  <c r="AI36" i="4"/>
  <c r="AP46" i="4"/>
  <c r="I45" i="4"/>
  <c r="I112" i="4"/>
  <c r="J112" i="4" s="1"/>
  <c r="N112" i="4" s="1"/>
  <c r="O112" i="4" s="1"/>
  <c r="Q112" i="4" s="1"/>
  <c r="AJ146" i="4"/>
  <c r="AJ114" i="4"/>
  <c r="AJ209" i="4"/>
  <c r="AJ177" i="4"/>
  <c r="AJ179" i="4"/>
  <c r="AJ105" i="4"/>
  <c r="AI41" i="4"/>
  <c r="B73" i="4"/>
  <c r="AI50" i="4"/>
  <c r="AJ20" i="4"/>
  <c r="AJ50" i="4"/>
  <c r="I146" i="4"/>
  <c r="J146" i="4" s="1"/>
  <c r="R146" i="4" s="1"/>
  <c r="S146" i="4" s="1"/>
  <c r="T146" i="4" s="1"/>
  <c r="AP145" i="4"/>
  <c r="AJ113" i="4"/>
  <c r="I119" i="4"/>
  <c r="J119" i="4" s="1"/>
  <c r="L119" i="4" s="1"/>
  <c r="I184" i="4"/>
  <c r="J184" i="4" s="1"/>
  <c r="L184" i="4" s="1"/>
  <c r="AP177" i="4"/>
  <c r="R56" i="4"/>
  <c r="S56" i="4" s="1"/>
  <c r="T56" i="4" s="1"/>
  <c r="I106" i="4"/>
  <c r="AJ103" i="4"/>
  <c r="I105" i="4"/>
  <c r="J105" i="4" s="1"/>
  <c r="N105" i="4" s="1"/>
  <c r="O105" i="4" s="1"/>
  <c r="Q105" i="4" s="1"/>
  <c r="AP80" i="4"/>
  <c r="AJ54" i="4"/>
  <c r="AJ101" i="4"/>
  <c r="AI9" i="4"/>
  <c r="I175" i="4"/>
  <c r="J175" i="4" s="1"/>
  <c r="N175" i="4" s="1"/>
  <c r="O175" i="4" s="1"/>
  <c r="Q175" i="4" s="1"/>
  <c r="I141" i="4"/>
  <c r="J141" i="4" s="1"/>
  <c r="X141" i="4" s="1"/>
  <c r="Y141" i="4" s="1"/>
  <c r="AJ188" i="4"/>
  <c r="AJ68" i="4"/>
  <c r="I9" i="4"/>
  <c r="AJ36" i="4"/>
  <c r="AI103" i="4"/>
  <c r="I174" i="4"/>
  <c r="J174" i="4" s="1"/>
  <c r="R174" i="4" s="1"/>
  <c r="S174" i="4" s="1"/>
  <c r="T174" i="4" s="1"/>
  <c r="AP191" i="4"/>
  <c r="I196" i="4"/>
  <c r="J196" i="4" s="1"/>
  <c r="L196" i="4" s="1"/>
  <c r="AJ119" i="4"/>
  <c r="AP179" i="4"/>
  <c r="B72" i="4"/>
  <c r="AI105" i="4"/>
  <c r="AP40" i="4"/>
  <c r="I36" i="4"/>
  <c r="J36" i="4" s="1"/>
  <c r="AD36" i="4" s="1"/>
  <c r="AE36" i="4" s="1"/>
  <c r="AI46" i="4"/>
  <c r="AP106" i="4"/>
  <c r="I114" i="4"/>
  <c r="J114" i="4" s="1"/>
  <c r="R114" i="4" s="1"/>
  <c r="S114" i="4" s="1"/>
  <c r="T114" i="4" s="1"/>
  <c r="I111" i="4"/>
  <c r="AP111" i="4"/>
  <c r="AP209" i="4"/>
  <c r="AP123" i="4"/>
  <c r="AP196" i="4"/>
  <c r="I200" i="4"/>
  <c r="J200" i="4" s="1"/>
  <c r="X200" i="4" s="1"/>
  <c r="Y200" i="4" s="1"/>
  <c r="B216" i="2"/>
  <c r="I50" i="4"/>
  <c r="J50" i="4" s="1"/>
  <c r="X50" i="4" s="1"/>
  <c r="Y50" i="4" s="1"/>
  <c r="AJ24" i="4"/>
  <c r="AI101" i="4"/>
  <c r="I54" i="4"/>
  <c r="J54" i="4" s="1"/>
  <c r="AD54" i="4" s="1"/>
  <c r="AE54" i="4" s="1"/>
  <c r="AP45" i="4"/>
  <c r="I20" i="4"/>
  <c r="J20" i="4" s="1"/>
  <c r="U20" i="4" s="1"/>
  <c r="V20" i="4" s="1"/>
  <c r="W20" i="4" s="1"/>
  <c r="AJ110" i="4"/>
  <c r="AP175" i="4"/>
  <c r="AP41" i="4"/>
  <c r="I41" i="4"/>
  <c r="AP68" i="4"/>
  <c r="AP200" i="4"/>
  <c r="AJ178" i="4"/>
  <c r="I46" i="4"/>
  <c r="AJ49" i="4"/>
  <c r="I49" i="4"/>
  <c r="AI54" i="4"/>
  <c r="AJ96" i="4"/>
  <c r="AP172" i="4"/>
  <c r="I191" i="4"/>
  <c r="J191" i="4" s="1"/>
  <c r="N191" i="4" s="1"/>
  <c r="O191" i="4" s="1"/>
  <c r="Q191" i="4" s="1"/>
  <c r="AJ145" i="4"/>
  <c r="AJ205" i="4"/>
  <c r="AJ183" i="4"/>
  <c r="I179" i="4"/>
  <c r="J179" i="4" s="1"/>
  <c r="N179" i="4" s="1"/>
  <c r="O179" i="4" s="1"/>
  <c r="Q179" i="4" s="1"/>
  <c r="AP113" i="4"/>
  <c r="I209" i="4"/>
  <c r="J209" i="4" s="1"/>
  <c r="K209" i="4" s="1"/>
  <c r="AI40" i="4"/>
  <c r="AP52" i="4"/>
  <c r="AJ106" i="4"/>
  <c r="AJ142" i="4"/>
  <c r="I123" i="4"/>
  <c r="J123" i="4" s="1"/>
  <c r="K123" i="4" s="1"/>
  <c r="I188" i="4"/>
  <c r="J188" i="4" s="1"/>
  <c r="N188" i="4" s="1"/>
  <c r="O188" i="4" s="1"/>
  <c r="Q188" i="4" s="1"/>
  <c r="I177" i="4"/>
  <c r="J177" i="4" s="1"/>
  <c r="K177" i="4" s="1"/>
  <c r="I101" i="4"/>
  <c r="J101" i="4" s="1"/>
  <c r="K101" i="4" s="1"/>
  <c r="AJ9" i="4"/>
  <c r="AP42" i="4"/>
  <c r="AP112" i="4"/>
  <c r="AJ123" i="4"/>
  <c r="AJ191" i="4"/>
  <c r="I110" i="4"/>
  <c r="J110" i="4" s="1"/>
  <c r="L110" i="4" s="1"/>
  <c r="AP107" i="4"/>
  <c r="I142" i="4"/>
  <c r="J142" i="4" s="1"/>
  <c r="U142" i="4" s="1"/>
  <c r="V142" i="4" s="1"/>
  <c r="W142" i="4" s="1"/>
  <c r="AP114" i="4"/>
  <c r="AJ172" i="4"/>
  <c r="I145" i="4"/>
  <c r="J145" i="4" s="1"/>
  <c r="AD145" i="4" s="1"/>
  <c r="AE145" i="4" s="1"/>
  <c r="AP119" i="4"/>
  <c r="R131" i="4"/>
  <c r="S131" i="4" s="1"/>
  <c r="T131" i="4" s="1"/>
  <c r="L131" i="4"/>
  <c r="U131" i="4"/>
  <c r="V131" i="4" s="1"/>
  <c r="W131" i="4" s="1"/>
  <c r="B17" i="2"/>
  <c r="B39" i="2"/>
  <c r="R103" i="4"/>
  <c r="S103" i="4" s="1"/>
  <c r="T103" i="4" s="1"/>
  <c r="L103" i="4"/>
  <c r="AD103" i="4"/>
  <c r="AE103" i="4" s="1"/>
  <c r="AD58" i="4"/>
  <c r="AE58" i="4" s="1"/>
  <c r="U58" i="4"/>
  <c r="V58" i="4" s="1"/>
  <c r="W58" i="4" s="1"/>
  <c r="N158" i="4"/>
  <c r="O158" i="4" s="1"/>
  <c r="Q158" i="4" s="1"/>
  <c r="J190" i="4"/>
  <c r="U190" i="4" s="1"/>
  <c r="V190" i="4" s="1"/>
  <c r="W190" i="4" s="1"/>
  <c r="R138" i="4"/>
  <c r="S138" i="4" s="1"/>
  <c r="T138" i="4" s="1"/>
  <c r="AD138" i="4"/>
  <c r="AE138" i="4" s="1"/>
  <c r="R194" i="4"/>
  <c r="S194" i="4" s="1"/>
  <c r="T194" i="4" s="1"/>
  <c r="X194" i="4"/>
  <c r="Y194" i="4" s="1"/>
  <c r="X34" i="4"/>
  <c r="Y34" i="4" s="1"/>
  <c r="K19" i="4"/>
  <c r="R19" i="4"/>
  <c r="S19" i="4" s="1"/>
  <c r="T19" i="4" s="1"/>
  <c r="AD19" i="4"/>
  <c r="AE19" i="4" s="1"/>
  <c r="N19" i="4"/>
  <c r="O19" i="4" s="1"/>
  <c r="Q19" i="4" s="1"/>
  <c r="U19" i="4"/>
  <c r="V19" i="4" s="1"/>
  <c r="W19" i="4" s="1"/>
  <c r="L19" i="4"/>
  <c r="X19" i="4"/>
  <c r="Y19" i="4" s="1"/>
  <c r="K176" i="4"/>
  <c r="AD176" i="4"/>
  <c r="AE176" i="4" s="1"/>
  <c r="X176" i="4"/>
  <c r="Y176" i="4" s="1"/>
  <c r="U176" i="4"/>
  <c r="V176" i="4" s="1"/>
  <c r="W176" i="4" s="1"/>
  <c r="L176" i="4"/>
  <c r="N176" i="4"/>
  <c r="O176" i="4" s="1"/>
  <c r="Q176" i="4" s="1"/>
  <c r="R176" i="4"/>
  <c r="S176" i="4" s="1"/>
  <c r="T176" i="4" s="1"/>
  <c r="U129" i="4"/>
  <c r="V129" i="4" s="1"/>
  <c r="W129" i="4" s="1"/>
  <c r="L129" i="4"/>
  <c r="R129" i="4"/>
  <c r="S129" i="4" s="1"/>
  <c r="T129" i="4" s="1"/>
  <c r="X129" i="4"/>
  <c r="Y129" i="4" s="1"/>
  <c r="K129" i="4"/>
  <c r="N129" i="4"/>
  <c r="O129" i="4" s="1"/>
  <c r="Q129" i="4" s="1"/>
  <c r="AD180" i="4"/>
  <c r="AE180" i="4" s="1"/>
  <c r="U180" i="4"/>
  <c r="V180" i="4" s="1"/>
  <c r="W180" i="4" s="1"/>
  <c r="X183" i="4"/>
  <c r="Y183" i="4" s="1"/>
  <c r="N183" i="4"/>
  <c r="O183" i="4" s="1"/>
  <c r="Q183" i="4" s="1"/>
  <c r="X74" i="4"/>
  <c r="Y74" i="4" s="1"/>
  <c r="AD13" i="4"/>
  <c r="AE13" i="4" s="1"/>
  <c r="U150" i="4"/>
  <c r="V150" i="4" s="1"/>
  <c r="W150" i="4" s="1"/>
  <c r="K150" i="4"/>
  <c r="N150" i="4"/>
  <c r="O150" i="4" s="1"/>
  <c r="Q150" i="4" s="1"/>
  <c r="R150" i="4"/>
  <c r="S150" i="4" s="1"/>
  <c r="T150" i="4" s="1"/>
  <c r="X150" i="4"/>
  <c r="Y150" i="4" s="1"/>
  <c r="K186" i="4"/>
  <c r="R186" i="4"/>
  <c r="S186" i="4" s="1"/>
  <c r="T186" i="4" s="1"/>
  <c r="AD186" i="4"/>
  <c r="AE186" i="4" s="1"/>
  <c r="X186" i="4"/>
  <c r="Y186" i="4" s="1"/>
  <c r="C243" i="2"/>
  <c r="F243" i="2" s="1"/>
  <c r="C44" i="16" s="1"/>
  <c r="B244" i="2"/>
  <c r="D44" i="16" s="1"/>
  <c r="D242" i="2"/>
  <c r="K48" i="4"/>
  <c r="L166" i="4" l="1"/>
  <c r="K166" i="4"/>
  <c r="X166" i="4"/>
  <c r="Y166" i="4" s="1"/>
  <c r="N166" i="4"/>
  <c r="O166" i="4" s="1"/>
  <c r="Q166" i="4" s="1"/>
  <c r="U166" i="4"/>
  <c r="V166" i="4" s="1"/>
  <c r="W166" i="4" s="1"/>
  <c r="R166" i="4"/>
  <c r="S166" i="4" s="1"/>
  <c r="T166" i="4" s="1"/>
  <c r="M159" i="4"/>
  <c r="AA159" i="4" s="1"/>
  <c r="AB159" i="4"/>
  <c r="K97" i="4"/>
  <c r="R97" i="4"/>
  <c r="S97" i="4" s="1"/>
  <c r="T97" i="4" s="1"/>
  <c r="AD183" i="4"/>
  <c r="AE183" i="4" s="1"/>
  <c r="K138" i="4"/>
  <c r="AD159" i="4"/>
  <c r="AE159" i="4" s="1"/>
  <c r="N103" i="4"/>
  <c r="O103" i="4" s="1"/>
  <c r="Q103" i="4" s="1"/>
  <c r="K183" i="4"/>
  <c r="AD166" i="4"/>
  <c r="AE166" i="4" s="1"/>
  <c r="X32" i="4"/>
  <c r="Y32" i="4" s="1"/>
  <c r="X103" i="4"/>
  <c r="Y103" i="4" s="1"/>
  <c r="L183" i="4"/>
  <c r="R32" i="4"/>
  <c r="S32" i="4" s="1"/>
  <c r="T32" i="4" s="1"/>
  <c r="U103" i="4"/>
  <c r="V103" i="4" s="1"/>
  <c r="W103" i="4" s="1"/>
  <c r="U183" i="4"/>
  <c r="V183" i="4" s="1"/>
  <c r="W183" i="4" s="1"/>
  <c r="AD110" i="4"/>
  <c r="AE110" i="4" s="1"/>
  <c r="L51" i="4"/>
  <c r="AF51" i="4" s="1"/>
  <c r="AG51" i="4" s="1"/>
  <c r="AS51" i="4" s="1"/>
  <c r="L136" i="4"/>
  <c r="U186" i="4"/>
  <c r="V186" i="4" s="1"/>
  <c r="W186" i="4" s="1"/>
  <c r="L204" i="4"/>
  <c r="U121" i="4"/>
  <c r="V121" i="4" s="1"/>
  <c r="W121" i="4" s="1"/>
  <c r="AD32" i="4"/>
  <c r="AE32" i="4" s="1"/>
  <c r="N131" i="4"/>
  <c r="O131" i="4" s="1"/>
  <c r="Q131" i="4" s="1"/>
  <c r="N186" i="4"/>
  <c r="O186" i="4" s="1"/>
  <c r="Q186" i="4" s="1"/>
  <c r="L150" i="4"/>
  <c r="L48" i="4"/>
  <c r="U136" i="4"/>
  <c r="V136" i="4" s="1"/>
  <c r="W136" i="4" s="1"/>
  <c r="X136" i="4"/>
  <c r="Y136" i="4" s="1"/>
  <c r="N170" i="4"/>
  <c r="O170" i="4" s="1"/>
  <c r="Q170" i="4" s="1"/>
  <c r="L170" i="4"/>
  <c r="R181" i="4"/>
  <c r="S181" i="4" s="1"/>
  <c r="T181" i="4" s="1"/>
  <c r="U181" i="4"/>
  <c r="V181" i="4" s="1"/>
  <c r="W181" i="4" s="1"/>
  <c r="X170" i="4"/>
  <c r="Y170" i="4" s="1"/>
  <c r="J125" i="4"/>
  <c r="AD170" i="4"/>
  <c r="AE170" i="4" s="1"/>
  <c r="J167" i="4"/>
  <c r="U107" i="4"/>
  <c r="V107" i="4" s="1"/>
  <c r="W107" i="4" s="1"/>
  <c r="N107" i="4"/>
  <c r="O107" i="4" s="1"/>
  <c r="Q107" i="4" s="1"/>
  <c r="R209" i="4"/>
  <c r="S209" i="4" s="1"/>
  <c r="T209" i="4" s="1"/>
  <c r="N165" i="4"/>
  <c r="O165" i="4" s="1"/>
  <c r="Q165" i="4" s="1"/>
  <c r="X110" i="4"/>
  <c r="Y110" i="4" s="1"/>
  <c r="U110" i="4"/>
  <c r="V110" i="4" s="1"/>
  <c r="W110" i="4" s="1"/>
  <c r="N110" i="4"/>
  <c r="O110" i="4" s="1"/>
  <c r="Q110" i="4" s="1"/>
  <c r="K107" i="4"/>
  <c r="R13" i="4"/>
  <c r="S13" i="4" s="1"/>
  <c r="T13" i="4" s="1"/>
  <c r="N116" i="4"/>
  <c r="O116" i="4" s="1"/>
  <c r="Q116" i="4" s="1"/>
  <c r="X138" i="4"/>
  <c r="Y138" i="4" s="1"/>
  <c r="L89" i="4"/>
  <c r="M89" i="4" s="1"/>
  <c r="AA89" i="4" s="1"/>
  <c r="U204" i="4"/>
  <c r="V204" i="4" s="1"/>
  <c r="W204" i="4" s="1"/>
  <c r="K116" i="4"/>
  <c r="AD64" i="4"/>
  <c r="AE64" i="4" s="1"/>
  <c r="K170" i="4"/>
  <c r="N97" i="4"/>
  <c r="O97" i="4" s="1"/>
  <c r="Q97" i="4" s="1"/>
  <c r="U152" i="4"/>
  <c r="V152" i="4" s="1"/>
  <c r="W152" i="4" s="1"/>
  <c r="AD204" i="4"/>
  <c r="AE204" i="4" s="1"/>
  <c r="X116" i="4"/>
  <c r="Y116" i="4" s="1"/>
  <c r="N136" i="4"/>
  <c r="O136" i="4" s="1"/>
  <c r="Q136" i="4" s="1"/>
  <c r="X107" i="4"/>
  <c r="Y107" i="4" s="1"/>
  <c r="U97" i="4"/>
  <c r="V97" i="4" s="1"/>
  <c r="W97" i="4" s="1"/>
  <c r="X152" i="4"/>
  <c r="Y152" i="4" s="1"/>
  <c r="X204" i="4"/>
  <c r="Y204" i="4" s="1"/>
  <c r="L116" i="4"/>
  <c r="M116" i="4" s="1"/>
  <c r="AA116" i="4" s="1"/>
  <c r="R107" i="4"/>
  <c r="S107" i="4" s="1"/>
  <c r="T107" i="4" s="1"/>
  <c r="K180" i="4"/>
  <c r="U170" i="4"/>
  <c r="V170" i="4" s="1"/>
  <c r="W170" i="4" s="1"/>
  <c r="N204" i="4"/>
  <c r="O204" i="4" s="1"/>
  <c r="Q204" i="4" s="1"/>
  <c r="AD152" i="4"/>
  <c r="AE152" i="4" s="1"/>
  <c r="R204" i="4"/>
  <c r="S204" i="4" s="1"/>
  <c r="T204" i="4" s="1"/>
  <c r="U116" i="4"/>
  <c r="V116" i="4" s="1"/>
  <c r="W116" i="4" s="1"/>
  <c r="L107" i="4"/>
  <c r="AB107" i="4" s="1"/>
  <c r="X97" i="4"/>
  <c r="Y97" i="4" s="1"/>
  <c r="AD116" i="4"/>
  <c r="AE116" i="4" s="1"/>
  <c r="R136" i="4"/>
  <c r="S136" i="4" s="1"/>
  <c r="T136" i="4" s="1"/>
  <c r="R170" i="4"/>
  <c r="S170" i="4" s="1"/>
  <c r="T170" i="4" s="1"/>
  <c r="X58" i="4"/>
  <c r="Y58" i="4" s="1"/>
  <c r="U143" i="4"/>
  <c r="V143" i="4" s="1"/>
  <c r="W143" i="4" s="1"/>
  <c r="U56" i="4"/>
  <c r="V56" i="4" s="1"/>
  <c r="W56" i="4" s="1"/>
  <c r="N56" i="4"/>
  <c r="O56" i="4" s="1"/>
  <c r="Q56" i="4" s="1"/>
  <c r="J198" i="4"/>
  <c r="U198" i="4" s="1"/>
  <c r="V198" i="4" s="1"/>
  <c r="W198" i="4" s="1"/>
  <c r="I199" i="4"/>
  <c r="AP33" i="4"/>
  <c r="I140" i="4"/>
  <c r="I78" i="4"/>
  <c r="J78" i="4" s="1"/>
  <c r="X78" i="4" s="1"/>
  <c r="Y78" i="4" s="1"/>
  <c r="I147" i="4"/>
  <c r="AP198" i="4"/>
  <c r="AP144" i="4"/>
  <c r="AP28" i="4"/>
  <c r="K69" i="4"/>
  <c r="N69" i="4"/>
  <c r="O69" i="4" s="1"/>
  <c r="Q69" i="4" s="1"/>
  <c r="U69" i="4"/>
  <c r="V69" i="4" s="1"/>
  <c r="W69" i="4" s="1"/>
  <c r="L33" i="4"/>
  <c r="X33" i="4"/>
  <c r="Y33" i="4" s="1"/>
  <c r="N33" i="4"/>
  <c r="O33" i="4" s="1"/>
  <c r="Q33" i="4" s="1"/>
  <c r="K33" i="4"/>
  <c r="R33" i="4"/>
  <c r="S33" i="4" s="1"/>
  <c r="T33" i="4" s="1"/>
  <c r="AD33" i="4"/>
  <c r="AE33" i="4" s="1"/>
  <c r="U33" i="4"/>
  <c r="V33" i="4" s="1"/>
  <c r="W33" i="4" s="1"/>
  <c r="K153" i="4"/>
  <c r="L153" i="4"/>
  <c r="X153" i="4"/>
  <c r="Y153" i="4" s="1"/>
  <c r="R153" i="4"/>
  <c r="S153" i="4" s="1"/>
  <c r="T153" i="4" s="1"/>
  <c r="N153" i="4"/>
  <c r="O153" i="4" s="1"/>
  <c r="Q153" i="4" s="1"/>
  <c r="K68" i="4"/>
  <c r="X68" i="4"/>
  <c r="Y68" i="4" s="1"/>
  <c r="AD68" i="4"/>
  <c r="AE68" i="4" s="1"/>
  <c r="R68" i="4"/>
  <c r="S68" i="4" s="1"/>
  <c r="T68" i="4" s="1"/>
  <c r="U68" i="4"/>
  <c r="V68" i="4" s="1"/>
  <c r="W68" i="4" s="1"/>
  <c r="N68" i="4"/>
  <c r="O68" i="4" s="1"/>
  <c r="Q68" i="4" s="1"/>
  <c r="K158" i="4"/>
  <c r="X48" i="4"/>
  <c r="Y48" i="4" s="1"/>
  <c r="AD158" i="4"/>
  <c r="AE158" i="4" s="1"/>
  <c r="L158" i="4"/>
  <c r="AB158" i="4" s="1"/>
  <c r="AD48" i="4"/>
  <c r="AE48" i="4" s="1"/>
  <c r="U34" i="4"/>
  <c r="V34" i="4" s="1"/>
  <c r="W34" i="4" s="1"/>
  <c r="B153" i="2"/>
  <c r="B146" i="2" s="1"/>
  <c r="E59" i="1" s="1"/>
  <c r="X191" i="4"/>
  <c r="Y191" i="4" s="1"/>
  <c r="AD34" i="4"/>
  <c r="AE34" i="4" s="1"/>
  <c r="X158" i="4"/>
  <c r="Y158" i="4" s="1"/>
  <c r="U48" i="4"/>
  <c r="V48" i="4" s="1"/>
  <c r="W48" i="4" s="1"/>
  <c r="AD171" i="4"/>
  <c r="AE171" i="4" s="1"/>
  <c r="U208" i="4"/>
  <c r="V208" i="4" s="1"/>
  <c r="W208" i="4" s="1"/>
  <c r="R208" i="4"/>
  <c r="S208" i="4" s="1"/>
  <c r="T208" i="4" s="1"/>
  <c r="K65" i="4"/>
  <c r="N65" i="4"/>
  <c r="O65" i="4" s="1"/>
  <c r="Q65" i="4" s="1"/>
  <c r="U65" i="4"/>
  <c r="V65" i="4" s="1"/>
  <c r="W65" i="4" s="1"/>
  <c r="X65" i="4"/>
  <c r="Y65" i="4" s="1"/>
  <c r="AD65" i="4"/>
  <c r="AE65" i="4" s="1"/>
  <c r="R65" i="4"/>
  <c r="S65" i="4" s="1"/>
  <c r="T65" i="4" s="1"/>
  <c r="L65" i="4"/>
  <c r="J126" i="4"/>
  <c r="R126" i="4" s="1"/>
  <c r="S126" i="4" s="1"/>
  <c r="T126" i="4" s="1"/>
  <c r="J161" i="4"/>
  <c r="U161" i="4" s="1"/>
  <c r="V161" i="4" s="1"/>
  <c r="W161" i="4" s="1"/>
  <c r="K128" i="4"/>
  <c r="U128" i="4"/>
  <c r="V128" i="4" s="1"/>
  <c r="W128" i="4" s="1"/>
  <c r="K88" i="4"/>
  <c r="U88" i="4"/>
  <c r="V88" i="4" s="1"/>
  <c r="W88" i="4" s="1"/>
  <c r="AD88" i="4"/>
  <c r="AE88" i="4" s="1"/>
  <c r="R88" i="4"/>
  <c r="S88" i="4" s="1"/>
  <c r="T88" i="4" s="1"/>
  <c r="L88" i="4"/>
  <c r="A92" i="8"/>
  <c r="A85" i="8"/>
  <c r="X181" i="4"/>
  <c r="Y181" i="4" s="1"/>
  <c r="AP206" i="4"/>
  <c r="I115" i="4"/>
  <c r="I53" i="4"/>
  <c r="AJ53" i="4"/>
  <c r="AI203" i="4"/>
  <c r="AI161" i="4"/>
  <c r="I81" i="4"/>
  <c r="AP98" i="4"/>
  <c r="AP25" i="4"/>
  <c r="AP10" i="4"/>
  <c r="AP53" i="4"/>
  <c r="AJ115" i="4"/>
  <c r="AI76" i="4"/>
  <c r="AJ98" i="4"/>
  <c r="AI126" i="4"/>
  <c r="AJ161" i="4"/>
  <c r="AJ154" i="4"/>
  <c r="AP208" i="4"/>
  <c r="AP161" i="4"/>
  <c r="I133" i="4"/>
  <c r="J133" i="4" s="1"/>
  <c r="N133" i="4" s="1"/>
  <c r="O133" i="4" s="1"/>
  <c r="Q133" i="4" s="1"/>
  <c r="AP203" i="4"/>
  <c r="A79" i="8"/>
  <c r="A69" i="8"/>
  <c r="A102" i="8"/>
  <c r="K55" i="4"/>
  <c r="I178" i="4"/>
  <c r="J178" i="4" s="1"/>
  <c r="K178" i="4" s="1"/>
  <c r="AI24" i="4"/>
  <c r="I96" i="4"/>
  <c r="J96" i="4" s="1"/>
  <c r="K96" i="4" s="1"/>
  <c r="X88" i="4"/>
  <c r="Y88" i="4" s="1"/>
  <c r="AJ25" i="4"/>
  <c r="AI70" i="4"/>
  <c r="AI98" i="4"/>
  <c r="AJ81" i="4"/>
  <c r="I206" i="4"/>
  <c r="J206" i="4" s="1"/>
  <c r="X206" i="4" s="1"/>
  <c r="Y206" i="4" s="1"/>
  <c r="AP133" i="4"/>
  <c r="AD181" i="4"/>
  <c r="AE181" i="4" s="1"/>
  <c r="L181" i="4"/>
  <c r="R50" i="4"/>
  <c r="S50" i="4" s="1"/>
  <c r="T50" i="4" s="1"/>
  <c r="I109" i="4"/>
  <c r="AJ206" i="4"/>
  <c r="AI100" i="4"/>
  <c r="AJ126" i="4"/>
  <c r="AI81" i="4"/>
  <c r="AP96" i="4"/>
  <c r="AP24" i="4"/>
  <c r="I70" i="4"/>
  <c r="J70" i="4" s="1"/>
  <c r="L70" i="4" s="1"/>
  <c r="AP100" i="4"/>
  <c r="AP70" i="4"/>
  <c r="I100" i="4"/>
  <c r="J100" i="4" s="1"/>
  <c r="K100" i="4" s="1"/>
  <c r="AP76" i="4"/>
  <c r="I10" i="4"/>
  <c r="J10" i="4" s="1"/>
  <c r="AD10" i="4" s="1"/>
  <c r="AE10" i="4" s="1"/>
  <c r="AP126" i="4"/>
  <c r="A95" i="8"/>
  <c r="AR30" i="3"/>
  <c r="B30" i="3"/>
  <c r="AQ30" i="3"/>
  <c r="AR37" i="3"/>
  <c r="AQ37" i="3"/>
  <c r="A38" i="3"/>
  <c r="B37" i="3"/>
  <c r="A87" i="8"/>
  <c r="AD128" i="4"/>
  <c r="AE128" i="4" s="1"/>
  <c r="K182" i="4"/>
  <c r="L171" i="4"/>
  <c r="AB171" i="4" s="1"/>
  <c r="U168" i="4"/>
  <c r="V168" i="4" s="1"/>
  <c r="W168" i="4" s="1"/>
  <c r="R110" i="4"/>
  <c r="S110" i="4" s="1"/>
  <c r="T110" i="4" s="1"/>
  <c r="X123" i="4"/>
  <c r="Y123" i="4" s="1"/>
  <c r="K181" i="4"/>
  <c r="Z181" i="4" s="1"/>
  <c r="J193" i="4"/>
  <c r="AD193" i="4" s="1"/>
  <c r="AE193" i="4" s="1"/>
  <c r="J155" i="4"/>
  <c r="R155" i="4" s="1"/>
  <c r="S155" i="4" s="1"/>
  <c r="T155" i="4" s="1"/>
  <c r="AI109" i="4"/>
  <c r="AJ151" i="4"/>
  <c r="AI10" i="4"/>
  <c r="AI25" i="4"/>
  <c r="I203" i="4"/>
  <c r="J203" i="4" s="1"/>
  <c r="AD203" i="4" s="1"/>
  <c r="AE203" i="4" s="1"/>
  <c r="I27" i="4"/>
  <c r="A89" i="8"/>
  <c r="U123" i="4"/>
  <c r="V123" i="4" s="1"/>
  <c r="W123" i="4" s="1"/>
  <c r="N181" i="4"/>
  <c r="O181" i="4" s="1"/>
  <c r="Q181" i="4" s="1"/>
  <c r="AI133" i="4"/>
  <c r="AJ27" i="4"/>
  <c r="I151" i="4"/>
  <c r="J151" i="4" s="1"/>
  <c r="L151" i="4" s="1"/>
  <c r="AB151" i="4" s="1"/>
  <c r="A74" i="8"/>
  <c r="A64" i="8"/>
  <c r="A60" i="8"/>
  <c r="A94" i="8"/>
  <c r="AP154" i="4"/>
  <c r="AD201" i="4"/>
  <c r="AE201" i="4" s="1"/>
  <c r="AI154" i="4"/>
  <c r="AI27" i="4"/>
  <c r="AI151" i="4"/>
  <c r="AP109" i="4"/>
  <c r="G97" i="2"/>
  <c r="G98" i="2" s="1"/>
  <c r="F97" i="2"/>
  <c r="E53" i="1" s="1"/>
  <c r="C60" i="16" s="1"/>
  <c r="D60" i="16" s="1"/>
  <c r="X66" i="4"/>
  <c r="Y66" i="4" s="1"/>
  <c r="K66" i="4"/>
  <c r="AD137" i="4"/>
  <c r="AE137" i="4" s="1"/>
  <c r="K137" i="4"/>
  <c r="X28" i="4"/>
  <c r="Y28" i="4" s="1"/>
  <c r="L28" i="4"/>
  <c r="K95" i="4"/>
  <c r="L95" i="4"/>
  <c r="M95" i="4" s="1"/>
  <c r="AA95" i="4" s="1"/>
  <c r="N26" i="4"/>
  <c r="O26" i="4" s="1"/>
  <c r="Q26" i="4" s="1"/>
  <c r="L26" i="4"/>
  <c r="AB26" i="4" s="1"/>
  <c r="L192" i="4"/>
  <c r="K192" i="4"/>
  <c r="N156" i="4"/>
  <c r="O156" i="4" s="1"/>
  <c r="Q156" i="4" s="1"/>
  <c r="K121" i="4"/>
  <c r="X62" i="4"/>
  <c r="Y62" i="4" s="1"/>
  <c r="AD62" i="4"/>
  <c r="AE62" i="4" s="1"/>
  <c r="X121" i="4"/>
  <c r="Y121" i="4" s="1"/>
  <c r="AD121" i="4"/>
  <c r="AE121" i="4" s="1"/>
  <c r="K32" i="4"/>
  <c r="AF32" i="4" s="1"/>
  <c r="AG32" i="4" s="1"/>
  <c r="AS32" i="4" s="1"/>
  <c r="K64" i="4"/>
  <c r="AF64" i="4" s="1"/>
  <c r="AG64" i="4" s="1"/>
  <c r="AS64" i="4" s="1"/>
  <c r="B42" i="2"/>
  <c r="U28" i="4"/>
  <c r="V28" i="4" s="1"/>
  <c r="W28" i="4" s="1"/>
  <c r="B100" i="2"/>
  <c r="B259" i="2"/>
  <c r="B129" i="2"/>
  <c r="E65" i="1" s="1"/>
  <c r="N62" i="4"/>
  <c r="O62" i="4" s="1"/>
  <c r="Q62" i="4" s="1"/>
  <c r="B80" i="2"/>
  <c r="E41" i="1" s="1"/>
  <c r="F98" i="2"/>
  <c r="E54" i="1" s="1"/>
  <c r="C61" i="16" s="1"/>
  <c r="D61" i="16" s="1"/>
  <c r="B28" i="2"/>
  <c r="B62" i="2"/>
  <c r="R31" i="4"/>
  <c r="S31" i="4" s="1"/>
  <c r="T31" i="4" s="1"/>
  <c r="B159" i="2"/>
  <c r="J132" i="4"/>
  <c r="AD132" i="4" s="1"/>
  <c r="AE132" i="4" s="1"/>
  <c r="A259" i="2"/>
  <c r="U31" i="4"/>
  <c r="V31" i="4" s="1"/>
  <c r="W31" i="4" s="1"/>
  <c r="J127" i="4"/>
  <c r="AD31" i="4"/>
  <c r="AE31" i="4" s="1"/>
  <c r="L31" i="4"/>
  <c r="AF31" i="4" s="1"/>
  <c r="Z153" i="4"/>
  <c r="AR682" i="3"/>
  <c r="B682" i="3"/>
  <c r="C682" i="3"/>
  <c r="AQ682" i="3"/>
  <c r="D682" i="3"/>
  <c r="N18" i="4"/>
  <c r="O18" i="4" s="1"/>
  <c r="Q18" i="4" s="1"/>
  <c r="X208" i="4"/>
  <c r="Y208" i="4" s="1"/>
  <c r="R156" i="4"/>
  <c r="S156" i="4" s="1"/>
  <c r="T156" i="4" s="1"/>
  <c r="X104" i="4"/>
  <c r="Y104" i="4" s="1"/>
  <c r="L104" i="4"/>
  <c r="M104" i="4" s="1"/>
  <c r="AA104" i="4" s="1"/>
  <c r="N72" i="4"/>
  <c r="O72" i="4" s="1"/>
  <c r="Q72" i="4" s="1"/>
  <c r="K72" i="4"/>
  <c r="R72" i="4"/>
  <c r="S72" i="4" s="1"/>
  <c r="T72" i="4" s="1"/>
  <c r="U72" i="4"/>
  <c r="V72" i="4" s="1"/>
  <c r="W72" i="4" s="1"/>
  <c r="AD72" i="4"/>
  <c r="AE72" i="4" s="1"/>
  <c r="L72" i="4"/>
  <c r="M72" i="4" s="1"/>
  <c r="AA72" i="4" s="1"/>
  <c r="X72" i="4"/>
  <c r="Y72" i="4" s="1"/>
  <c r="K136" i="4"/>
  <c r="Z136" i="4" s="1"/>
  <c r="U138" i="4"/>
  <c r="V138" i="4" s="1"/>
  <c r="W138" i="4" s="1"/>
  <c r="U153" i="4"/>
  <c r="V153" i="4" s="1"/>
  <c r="W153" i="4" s="1"/>
  <c r="N123" i="4"/>
  <c r="O123" i="4" s="1"/>
  <c r="Q123" i="4" s="1"/>
  <c r="N138" i="4"/>
  <c r="O138" i="4" s="1"/>
  <c r="Q138" i="4" s="1"/>
  <c r="AD153" i="4"/>
  <c r="AE153" i="4" s="1"/>
  <c r="J195" i="4"/>
  <c r="U195" i="4" s="1"/>
  <c r="V195" i="4" s="1"/>
  <c r="W195" i="4" s="1"/>
  <c r="U52" i="4"/>
  <c r="V52" i="4" s="1"/>
  <c r="W52" i="4" s="1"/>
  <c r="L123" i="4"/>
  <c r="AB123" i="4" s="1"/>
  <c r="R37" i="4"/>
  <c r="S37" i="4" s="1"/>
  <c r="T37" i="4" s="1"/>
  <c r="R123" i="4"/>
  <c r="S123" i="4" s="1"/>
  <c r="T123" i="4" s="1"/>
  <c r="K37" i="4"/>
  <c r="AD135" i="4"/>
  <c r="AE135" i="4" s="1"/>
  <c r="K50" i="4"/>
  <c r="R188" i="4"/>
  <c r="S188" i="4" s="1"/>
  <c r="T188" i="4" s="1"/>
  <c r="K110" i="4"/>
  <c r="AF110" i="4" s="1"/>
  <c r="AG110" i="4" s="1"/>
  <c r="AS110" i="4" s="1"/>
  <c r="X188" i="4"/>
  <c r="Y188" i="4" s="1"/>
  <c r="N28" i="4"/>
  <c r="O28" i="4" s="1"/>
  <c r="Q28" i="4" s="1"/>
  <c r="U105" i="4"/>
  <c r="V105" i="4" s="1"/>
  <c r="W105" i="4" s="1"/>
  <c r="AD188" i="4"/>
  <c r="AE188" i="4" s="1"/>
  <c r="K105" i="4"/>
  <c r="AD123" i="4"/>
  <c r="AE123" i="4" s="1"/>
  <c r="K172" i="4"/>
  <c r="X174" i="4"/>
  <c r="Y174" i="4" s="1"/>
  <c r="K188" i="4"/>
  <c r="AD126" i="4"/>
  <c r="AE126" i="4" s="1"/>
  <c r="AD69" i="4"/>
  <c r="AE69" i="4" s="1"/>
  <c r="R28" i="4"/>
  <c r="S28" i="4" s="1"/>
  <c r="T28" i="4" s="1"/>
  <c r="X112" i="4"/>
  <c r="Y112" i="4" s="1"/>
  <c r="N88" i="4"/>
  <c r="O88" i="4" s="1"/>
  <c r="Q88" i="4" s="1"/>
  <c r="AD22" i="4"/>
  <c r="AE22" i="4" s="1"/>
  <c r="AD139" i="4"/>
  <c r="AE139" i="4" s="1"/>
  <c r="K38" i="4"/>
  <c r="R205" i="4"/>
  <c r="S205" i="4" s="1"/>
  <c r="T205" i="4" s="1"/>
  <c r="N134" i="4"/>
  <c r="O134" i="4" s="1"/>
  <c r="Q134" i="4" s="1"/>
  <c r="AD209" i="4"/>
  <c r="AE209" i="4" s="1"/>
  <c r="U191" i="4"/>
  <c r="V191" i="4" s="1"/>
  <c r="W191" i="4" s="1"/>
  <c r="N171" i="4"/>
  <c r="O171" i="4" s="1"/>
  <c r="Q171" i="4" s="1"/>
  <c r="R162" i="4"/>
  <c r="S162" i="4" s="1"/>
  <c r="T162" i="4" s="1"/>
  <c r="K58" i="4"/>
  <c r="R191" i="4"/>
  <c r="S191" i="4" s="1"/>
  <c r="T191" i="4" s="1"/>
  <c r="L191" i="4"/>
  <c r="U104" i="4"/>
  <c r="V104" i="4" s="1"/>
  <c r="W104" i="4" s="1"/>
  <c r="K191" i="4"/>
  <c r="N122" i="4"/>
  <c r="O122" i="4" s="1"/>
  <c r="Q122" i="4" s="1"/>
  <c r="U171" i="4"/>
  <c r="V171" i="4" s="1"/>
  <c r="W171" i="4" s="1"/>
  <c r="K162" i="4"/>
  <c r="R171" i="4"/>
  <c r="S171" i="4" s="1"/>
  <c r="T171" i="4" s="1"/>
  <c r="X171" i="4"/>
  <c r="Y171" i="4" s="1"/>
  <c r="X165" i="4"/>
  <c r="Y165" i="4" s="1"/>
  <c r="U165" i="4"/>
  <c r="V165" i="4" s="1"/>
  <c r="W165" i="4" s="1"/>
  <c r="X154" i="4"/>
  <c r="Y154" i="4" s="1"/>
  <c r="N119" i="4"/>
  <c r="O119" i="4" s="1"/>
  <c r="Q119" i="4" s="1"/>
  <c r="AD165" i="4"/>
  <c r="AE165" i="4" s="1"/>
  <c r="AD122" i="4"/>
  <c r="AE122" i="4" s="1"/>
  <c r="U122" i="4"/>
  <c r="V122" i="4" s="1"/>
  <c r="W122" i="4" s="1"/>
  <c r="L154" i="4"/>
  <c r="AF154" i="4" s="1"/>
  <c r="X82" i="4"/>
  <c r="Y82" i="4" s="1"/>
  <c r="K119" i="4"/>
  <c r="AF119" i="4" s="1"/>
  <c r="R165" i="4"/>
  <c r="S165" i="4" s="1"/>
  <c r="T165" i="4" s="1"/>
  <c r="X122" i="4"/>
  <c r="Y122" i="4" s="1"/>
  <c r="K122" i="4"/>
  <c r="U154" i="4"/>
  <c r="V154" i="4" s="1"/>
  <c r="W154" i="4" s="1"/>
  <c r="L165" i="4"/>
  <c r="L122" i="4"/>
  <c r="M122" i="4" s="1"/>
  <c r="AA122" i="4" s="1"/>
  <c r="X114" i="4"/>
  <c r="Y114" i="4" s="1"/>
  <c r="AD154" i="4"/>
  <c r="AE154" i="4" s="1"/>
  <c r="U177" i="4"/>
  <c r="V177" i="4" s="1"/>
  <c r="W177" i="4" s="1"/>
  <c r="N58" i="4"/>
  <c r="O58" i="4" s="1"/>
  <c r="Q58" i="4" s="1"/>
  <c r="N154" i="4"/>
  <c r="O154" i="4" s="1"/>
  <c r="Q154" i="4" s="1"/>
  <c r="R154" i="4"/>
  <c r="S154" i="4" s="1"/>
  <c r="T154" i="4" s="1"/>
  <c r="R58" i="4"/>
  <c r="S58" i="4" s="1"/>
  <c r="T58" i="4" s="1"/>
  <c r="AD191" i="4"/>
  <c r="AE191" i="4" s="1"/>
  <c r="AD35" i="4"/>
  <c r="AE35" i="4" s="1"/>
  <c r="U117" i="4"/>
  <c r="V117" i="4" s="1"/>
  <c r="W117" i="4" s="1"/>
  <c r="X117" i="4"/>
  <c r="Y117" i="4" s="1"/>
  <c r="K91" i="4"/>
  <c r="L91" i="4"/>
  <c r="U91" i="4"/>
  <c r="V91" i="4" s="1"/>
  <c r="W91" i="4" s="1"/>
  <c r="X91" i="4"/>
  <c r="Y91" i="4" s="1"/>
  <c r="N91" i="4"/>
  <c r="O91" i="4" s="1"/>
  <c r="Q91" i="4" s="1"/>
  <c r="AD91" i="4"/>
  <c r="AE91" i="4" s="1"/>
  <c r="R91" i="4"/>
  <c r="S91" i="4" s="1"/>
  <c r="T91" i="4" s="1"/>
  <c r="AD82" i="4"/>
  <c r="AE82" i="4" s="1"/>
  <c r="X101" i="4"/>
  <c r="Y101" i="4" s="1"/>
  <c r="K130" i="4"/>
  <c r="Z130" i="4" s="1"/>
  <c r="R121" i="4"/>
  <c r="S121" i="4" s="1"/>
  <c r="T121" i="4" s="1"/>
  <c r="AD162" i="4"/>
  <c r="AE162" i="4" s="1"/>
  <c r="N209" i="4"/>
  <c r="O209" i="4" s="1"/>
  <c r="Q209" i="4" s="1"/>
  <c r="X31" i="4"/>
  <c r="Y31" i="4" s="1"/>
  <c r="L69" i="4"/>
  <c r="M69" i="4" s="1"/>
  <c r="AA69" i="4" s="1"/>
  <c r="N82" i="4"/>
  <c r="O82" i="4" s="1"/>
  <c r="Q82" i="4" s="1"/>
  <c r="U209" i="4"/>
  <c r="V209" i="4" s="1"/>
  <c r="W209" i="4" s="1"/>
  <c r="X130" i="4"/>
  <c r="Y130" i="4" s="1"/>
  <c r="R169" i="4"/>
  <c r="S169" i="4" s="1"/>
  <c r="T169" i="4" s="1"/>
  <c r="U162" i="4"/>
  <c r="V162" i="4" s="1"/>
  <c r="W162" i="4" s="1"/>
  <c r="L209" i="4"/>
  <c r="Z209" i="4" s="1"/>
  <c r="L185" i="4"/>
  <c r="AB185" i="4" s="1"/>
  <c r="N31" i="4"/>
  <c r="O31" i="4" s="1"/>
  <c r="Q31" i="4" s="1"/>
  <c r="M64" i="4"/>
  <c r="AA64" i="4" s="1"/>
  <c r="X69" i="4"/>
  <c r="Y69" i="4" s="1"/>
  <c r="U158" i="4"/>
  <c r="V158" i="4" s="1"/>
  <c r="W158" i="4" s="1"/>
  <c r="L82" i="4"/>
  <c r="AD142" i="4"/>
  <c r="AE142" i="4" s="1"/>
  <c r="U159" i="4"/>
  <c r="V159" i="4" s="1"/>
  <c r="W159" i="4" s="1"/>
  <c r="AD130" i="4"/>
  <c r="AE130" i="4" s="1"/>
  <c r="N185" i="4"/>
  <c r="O185" i="4" s="1"/>
  <c r="Q185" i="4" s="1"/>
  <c r="R69" i="4"/>
  <c r="S69" i="4" s="1"/>
  <c r="T69" i="4" s="1"/>
  <c r="U82" i="4"/>
  <c r="V82" i="4" s="1"/>
  <c r="W82" i="4" s="1"/>
  <c r="K142" i="4"/>
  <c r="X156" i="4"/>
  <c r="Y156" i="4" s="1"/>
  <c r="L169" i="4"/>
  <c r="M169" i="4" s="1"/>
  <c r="AA169" i="4" s="1"/>
  <c r="AD169" i="4"/>
  <c r="AE169" i="4" s="1"/>
  <c r="N192" i="4"/>
  <c r="O192" i="4" s="1"/>
  <c r="Q192" i="4" s="1"/>
  <c r="K201" i="4"/>
  <c r="AF201" i="4" s="1"/>
  <c r="K82" i="4"/>
  <c r="N44" i="4"/>
  <c r="O44" i="4" s="1"/>
  <c r="Q44" i="4" s="1"/>
  <c r="X56" i="4"/>
  <c r="Y56" i="4" s="1"/>
  <c r="U130" i="4"/>
  <c r="V130" i="4" s="1"/>
  <c r="W130" i="4" s="1"/>
  <c r="K169" i="4"/>
  <c r="K193" i="4"/>
  <c r="U169" i="4"/>
  <c r="V169" i="4" s="1"/>
  <c r="W169" i="4" s="1"/>
  <c r="AD192" i="4"/>
  <c r="AE192" i="4" s="1"/>
  <c r="K159" i="4"/>
  <c r="AF159" i="4" s="1"/>
  <c r="AG159" i="4" s="1"/>
  <c r="AS159" i="4" s="1"/>
  <c r="K174" i="4"/>
  <c r="N201" i="4"/>
  <c r="O201" i="4" s="1"/>
  <c r="Q201" i="4" s="1"/>
  <c r="N32" i="4"/>
  <c r="O32" i="4" s="1"/>
  <c r="Q32" i="4" s="1"/>
  <c r="R34" i="4"/>
  <c r="S34" i="4" s="1"/>
  <c r="T34" i="4" s="1"/>
  <c r="U163" i="4"/>
  <c r="V163" i="4" s="1"/>
  <c r="W163" i="4" s="1"/>
  <c r="R35" i="4"/>
  <c r="S35" i="4" s="1"/>
  <c r="T35" i="4" s="1"/>
  <c r="AD56" i="4"/>
  <c r="AE56" i="4" s="1"/>
  <c r="L56" i="4"/>
  <c r="Z56" i="4" s="1"/>
  <c r="J61" i="4"/>
  <c r="K61" i="4" s="1"/>
  <c r="X192" i="4"/>
  <c r="Y192" i="4" s="1"/>
  <c r="R201" i="4"/>
  <c r="S201" i="4" s="1"/>
  <c r="T201" i="4" s="1"/>
  <c r="X35" i="4"/>
  <c r="Y35" i="4" s="1"/>
  <c r="K207" i="4"/>
  <c r="N193" i="4"/>
  <c r="O193" i="4" s="1"/>
  <c r="Q193" i="4" s="1"/>
  <c r="X169" i="4"/>
  <c r="Y169" i="4" s="1"/>
  <c r="U192" i="4"/>
  <c r="V192" i="4" s="1"/>
  <c r="W192" i="4" s="1"/>
  <c r="R159" i="4"/>
  <c r="S159" i="4" s="1"/>
  <c r="T159" i="4" s="1"/>
  <c r="AD174" i="4"/>
  <c r="AE174" i="4" s="1"/>
  <c r="U201" i="4"/>
  <c r="V201" i="4" s="1"/>
  <c r="W201" i="4" s="1"/>
  <c r="AD66" i="4"/>
  <c r="AE66" i="4" s="1"/>
  <c r="U32" i="4"/>
  <c r="V32" i="4" s="1"/>
  <c r="W32" i="4" s="1"/>
  <c r="N34" i="4"/>
  <c r="O34" i="4" s="1"/>
  <c r="Q34" i="4" s="1"/>
  <c r="X120" i="4"/>
  <c r="Y120" i="4" s="1"/>
  <c r="AD37" i="4"/>
  <c r="AE37" i="4" s="1"/>
  <c r="L163" i="4"/>
  <c r="L162" i="4"/>
  <c r="Z162" i="4" s="1"/>
  <c r="AD114" i="4"/>
  <c r="AE114" i="4" s="1"/>
  <c r="K124" i="4"/>
  <c r="R192" i="4"/>
  <c r="S192" i="4" s="1"/>
  <c r="T192" i="4" s="1"/>
  <c r="N208" i="4"/>
  <c r="O208" i="4" s="1"/>
  <c r="Q208" i="4" s="1"/>
  <c r="N159" i="4"/>
  <c r="O159" i="4" s="1"/>
  <c r="Q159" i="4" s="1"/>
  <c r="N174" i="4"/>
  <c r="O174" i="4" s="1"/>
  <c r="Q174" i="4" s="1"/>
  <c r="X201" i="4"/>
  <c r="Y201" i="4" s="1"/>
  <c r="L66" i="4"/>
  <c r="M66" i="4" s="1"/>
  <c r="AA66" i="4" s="1"/>
  <c r="L34" i="4"/>
  <c r="M34" i="4" s="1"/>
  <c r="AA34" i="4" s="1"/>
  <c r="R120" i="4"/>
  <c r="S120" i="4" s="1"/>
  <c r="T120" i="4" s="1"/>
  <c r="N37" i="4"/>
  <c r="O37" i="4" s="1"/>
  <c r="Q37" i="4" s="1"/>
  <c r="R163" i="4"/>
  <c r="S163" i="4" s="1"/>
  <c r="T163" i="4" s="1"/>
  <c r="L35" i="4"/>
  <c r="Z35" i="4" s="1"/>
  <c r="X124" i="4"/>
  <c r="Y124" i="4" s="1"/>
  <c r="R128" i="4"/>
  <c r="S128" i="4" s="1"/>
  <c r="T128" i="4" s="1"/>
  <c r="K114" i="4"/>
  <c r="K208" i="4"/>
  <c r="L174" i="4"/>
  <c r="M174" i="4" s="1"/>
  <c r="AA174" i="4" s="1"/>
  <c r="L188" i="4"/>
  <c r="M188" i="4" s="1"/>
  <c r="AA188" i="4" s="1"/>
  <c r="U64" i="4"/>
  <c r="V64" i="4" s="1"/>
  <c r="W64" i="4" s="1"/>
  <c r="U156" i="4"/>
  <c r="V156" i="4" s="1"/>
  <c r="W156" i="4" s="1"/>
  <c r="N126" i="4"/>
  <c r="O126" i="4" s="1"/>
  <c r="Q126" i="4" s="1"/>
  <c r="K120" i="4"/>
  <c r="L37" i="4"/>
  <c r="AD131" i="4"/>
  <c r="AE131" i="4" s="1"/>
  <c r="L44" i="4"/>
  <c r="M44" i="4" s="1"/>
  <c r="AA44" i="4" s="1"/>
  <c r="U44" i="4"/>
  <c r="V44" i="4" s="1"/>
  <c r="W44" i="4" s="1"/>
  <c r="N120" i="4"/>
  <c r="O120" i="4" s="1"/>
  <c r="Q120" i="4" s="1"/>
  <c r="AD44" i="4"/>
  <c r="AE44" i="4" s="1"/>
  <c r="AD182" i="4"/>
  <c r="AE182" i="4" s="1"/>
  <c r="AD148" i="4"/>
  <c r="AE148" i="4" s="1"/>
  <c r="X159" i="4"/>
  <c r="Y159" i="4" s="1"/>
  <c r="X128" i="4"/>
  <c r="Y128" i="4" s="1"/>
  <c r="L121" i="4"/>
  <c r="AB121" i="4" s="1"/>
  <c r="L114" i="4"/>
  <c r="M114" i="4" s="1"/>
  <c r="AA114" i="4" s="1"/>
  <c r="AD208" i="4"/>
  <c r="AE208" i="4" s="1"/>
  <c r="U174" i="4"/>
  <c r="V174" i="4" s="1"/>
  <c r="W174" i="4" s="1"/>
  <c r="R64" i="4"/>
  <c r="S64" i="4" s="1"/>
  <c r="T64" i="4" s="1"/>
  <c r="L156" i="4"/>
  <c r="Z156" i="4" s="1"/>
  <c r="X126" i="4"/>
  <c r="Y126" i="4" s="1"/>
  <c r="L120" i="4"/>
  <c r="U37" i="4"/>
  <c r="V37" i="4" s="1"/>
  <c r="W37" i="4" s="1"/>
  <c r="U114" i="4"/>
  <c r="V114" i="4" s="1"/>
  <c r="W114" i="4" s="1"/>
  <c r="R130" i="4"/>
  <c r="S130" i="4" s="1"/>
  <c r="T130" i="4" s="1"/>
  <c r="N114" i="4"/>
  <c r="O114" i="4" s="1"/>
  <c r="Q114" i="4" s="1"/>
  <c r="N162" i="4"/>
  <c r="O162" i="4" s="1"/>
  <c r="Q162" i="4" s="1"/>
  <c r="X209" i="4"/>
  <c r="Y209" i="4" s="1"/>
  <c r="L208" i="4"/>
  <c r="AB208" i="4" s="1"/>
  <c r="U188" i="4"/>
  <c r="V188" i="4" s="1"/>
  <c r="W188" i="4" s="1"/>
  <c r="X64" i="4"/>
  <c r="Y64" i="4" s="1"/>
  <c r="AD156" i="4"/>
  <c r="AE156" i="4" s="1"/>
  <c r="K126" i="4"/>
  <c r="AD120" i="4"/>
  <c r="AE120" i="4" s="1"/>
  <c r="X131" i="4"/>
  <c r="Y131" i="4" s="1"/>
  <c r="N35" i="4"/>
  <c r="O35" i="4" s="1"/>
  <c r="Q35" i="4" s="1"/>
  <c r="N70" i="4"/>
  <c r="O70" i="4" s="1"/>
  <c r="Q70" i="4" s="1"/>
  <c r="U50" i="4"/>
  <c r="V50" i="4" s="1"/>
  <c r="W50" i="4" s="1"/>
  <c r="X44" i="4"/>
  <c r="Y44" i="4" s="1"/>
  <c r="U35" i="4"/>
  <c r="V35" i="4" s="1"/>
  <c r="W35" i="4" s="1"/>
  <c r="N64" i="4"/>
  <c r="O64" i="4" s="1"/>
  <c r="Q64" i="4" s="1"/>
  <c r="R44" i="4"/>
  <c r="S44" i="4" s="1"/>
  <c r="T44" i="4" s="1"/>
  <c r="AD196" i="4"/>
  <c r="AE196" i="4" s="1"/>
  <c r="R175" i="4"/>
  <c r="S175" i="4" s="1"/>
  <c r="T175" i="4" s="1"/>
  <c r="R185" i="4"/>
  <c r="S185" i="4" s="1"/>
  <c r="T185" i="4" s="1"/>
  <c r="N196" i="4"/>
  <c r="O196" i="4" s="1"/>
  <c r="Q196" i="4" s="1"/>
  <c r="K175" i="4"/>
  <c r="K185" i="4"/>
  <c r="U157" i="4"/>
  <c r="V157" i="4" s="1"/>
  <c r="W157" i="4" s="1"/>
  <c r="U172" i="4"/>
  <c r="V172" i="4" s="1"/>
  <c r="W172" i="4" s="1"/>
  <c r="R196" i="4"/>
  <c r="S196" i="4" s="1"/>
  <c r="T196" i="4" s="1"/>
  <c r="X175" i="4"/>
  <c r="Y175" i="4" s="1"/>
  <c r="AD185" i="4"/>
  <c r="AE185" i="4" s="1"/>
  <c r="AD189" i="4"/>
  <c r="AE189" i="4" s="1"/>
  <c r="U196" i="4"/>
  <c r="V196" i="4" s="1"/>
  <c r="W196" i="4" s="1"/>
  <c r="U175" i="4"/>
  <c r="V175" i="4" s="1"/>
  <c r="W175" i="4" s="1"/>
  <c r="L78" i="4"/>
  <c r="M78" i="4" s="1"/>
  <c r="AA78" i="4" s="1"/>
  <c r="U185" i="4"/>
  <c r="V185" i="4" s="1"/>
  <c r="W185" i="4" s="1"/>
  <c r="N30" i="4"/>
  <c r="O30" i="4" s="1"/>
  <c r="Q30" i="4" s="1"/>
  <c r="K196" i="4"/>
  <c r="Z196" i="4" s="1"/>
  <c r="AD175" i="4"/>
  <c r="AE175" i="4" s="1"/>
  <c r="X30" i="4"/>
  <c r="Y30" i="4" s="1"/>
  <c r="X196" i="4"/>
  <c r="Y196" i="4" s="1"/>
  <c r="L175" i="4"/>
  <c r="AB175" i="4" s="1"/>
  <c r="AD146" i="4"/>
  <c r="AE146" i="4" s="1"/>
  <c r="AF153" i="4"/>
  <c r="L146" i="4"/>
  <c r="N148" i="4"/>
  <c r="O148" i="4" s="1"/>
  <c r="Q148" i="4" s="1"/>
  <c r="N149" i="4"/>
  <c r="O149" i="4" s="1"/>
  <c r="Q149" i="4" s="1"/>
  <c r="X146" i="4"/>
  <c r="Y146" i="4" s="1"/>
  <c r="U78" i="4"/>
  <c r="V78" i="4" s="1"/>
  <c r="W78" i="4" s="1"/>
  <c r="L148" i="4"/>
  <c r="M148" i="4" s="1"/>
  <c r="AA148" i="4" s="1"/>
  <c r="K146" i="4"/>
  <c r="L172" i="4"/>
  <c r="M172" i="4" s="1"/>
  <c r="AA172" i="4" s="1"/>
  <c r="R134" i="4"/>
  <c r="S134" i="4" s="1"/>
  <c r="T134" i="4" s="1"/>
  <c r="R148" i="4"/>
  <c r="S148" i="4" s="1"/>
  <c r="T148" i="4" s="1"/>
  <c r="N86" i="4"/>
  <c r="O86" i="4" s="1"/>
  <c r="Q86" i="4" s="1"/>
  <c r="U146" i="4"/>
  <c r="V146" i="4" s="1"/>
  <c r="W146" i="4" s="1"/>
  <c r="U66" i="4"/>
  <c r="V66" i="4" s="1"/>
  <c r="W66" i="4" s="1"/>
  <c r="U101" i="4"/>
  <c r="V101" i="4" s="1"/>
  <c r="W101" i="4" s="1"/>
  <c r="N78" i="4"/>
  <c r="O78" i="4" s="1"/>
  <c r="Q78" i="4" s="1"/>
  <c r="K148" i="4"/>
  <c r="N146" i="4"/>
  <c r="O146" i="4" s="1"/>
  <c r="Q146" i="4" s="1"/>
  <c r="N66" i="4"/>
  <c r="O66" i="4" s="1"/>
  <c r="Q66" i="4" s="1"/>
  <c r="AD105" i="4"/>
  <c r="AE105" i="4" s="1"/>
  <c r="X148" i="4"/>
  <c r="Y148" i="4" s="1"/>
  <c r="R66" i="4"/>
  <c r="S66" i="4" s="1"/>
  <c r="T66" i="4" s="1"/>
  <c r="AD78" i="4"/>
  <c r="AE78" i="4" s="1"/>
  <c r="N117" i="4"/>
  <c r="O117" i="4" s="1"/>
  <c r="Q117" i="4" s="1"/>
  <c r="X143" i="4"/>
  <c r="Y143" i="4" s="1"/>
  <c r="AD26" i="4"/>
  <c r="AE26" i="4" s="1"/>
  <c r="U80" i="4"/>
  <c r="V80" i="4" s="1"/>
  <c r="W80" i="4" s="1"/>
  <c r="U194" i="4"/>
  <c r="V194" i="4" s="1"/>
  <c r="W194" i="4" s="1"/>
  <c r="R143" i="4"/>
  <c r="S143" i="4" s="1"/>
  <c r="T143" i="4" s="1"/>
  <c r="N168" i="4"/>
  <c r="O168" i="4" s="1"/>
  <c r="Q168" i="4" s="1"/>
  <c r="N194" i="4"/>
  <c r="O194" i="4" s="1"/>
  <c r="Q194" i="4" s="1"/>
  <c r="L143" i="4"/>
  <c r="AB143" i="4" s="1"/>
  <c r="X94" i="4"/>
  <c r="Y94" i="4" s="1"/>
  <c r="AD194" i="4"/>
  <c r="AE194" i="4" s="1"/>
  <c r="AD143" i="4"/>
  <c r="AE143" i="4" s="1"/>
  <c r="R26" i="4"/>
  <c r="S26" i="4" s="1"/>
  <c r="T26" i="4" s="1"/>
  <c r="L179" i="4"/>
  <c r="M179" i="4" s="1"/>
  <c r="AA179" i="4" s="1"/>
  <c r="K143" i="4"/>
  <c r="AD76" i="4"/>
  <c r="AE76" i="4" s="1"/>
  <c r="AD94" i="4"/>
  <c r="AE94" i="4" s="1"/>
  <c r="X76" i="4"/>
  <c r="Y76" i="4" s="1"/>
  <c r="U94" i="4"/>
  <c r="V94" i="4" s="1"/>
  <c r="W94" i="4" s="1"/>
  <c r="R94" i="4"/>
  <c r="S94" i="4" s="1"/>
  <c r="T94" i="4" s="1"/>
  <c r="U26" i="4"/>
  <c r="V26" i="4" s="1"/>
  <c r="W26" i="4" s="1"/>
  <c r="X161" i="4"/>
  <c r="Y161" i="4" s="1"/>
  <c r="L94" i="4"/>
  <c r="M94" i="4" s="1"/>
  <c r="AA94" i="4" s="1"/>
  <c r="N94" i="4"/>
  <c r="O94" i="4" s="1"/>
  <c r="Q94" i="4" s="1"/>
  <c r="N161" i="4"/>
  <c r="O161" i="4" s="1"/>
  <c r="Q161" i="4" s="1"/>
  <c r="L68" i="4"/>
  <c r="AB68" i="4" s="1"/>
  <c r="L161" i="4"/>
  <c r="M161" i="4" s="1"/>
  <c r="AA161" i="4" s="1"/>
  <c r="R76" i="4"/>
  <c r="S76" i="4" s="1"/>
  <c r="T76" i="4" s="1"/>
  <c r="AD161" i="4"/>
  <c r="AE161" i="4" s="1"/>
  <c r="N76" i="4"/>
  <c r="O76" i="4" s="1"/>
  <c r="Q76" i="4" s="1"/>
  <c r="U54" i="4"/>
  <c r="V54" i="4" s="1"/>
  <c r="W54" i="4" s="1"/>
  <c r="AD73" i="4"/>
  <c r="AE73" i="4" s="1"/>
  <c r="L194" i="4"/>
  <c r="M194" i="4" s="1"/>
  <c r="AA194" i="4" s="1"/>
  <c r="L76" i="4"/>
  <c r="M76" i="4" s="1"/>
  <c r="AA76" i="4" s="1"/>
  <c r="K73" i="4"/>
  <c r="U76" i="4"/>
  <c r="V76" i="4" s="1"/>
  <c r="W76" i="4" s="1"/>
  <c r="K173" i="4"/>
  <c r="AD151" i="4"/>
  <c r="AE151" i="4" s="1"/>
  <c r="L187" i="4"/>
  <c r="R145" i="4"/>
  <c r="S145" i="4" s="1"/>
  <c r="T145" i="4" s="1"/>
  <c r="L145" i="4"/>
  <c r="N145" i="4"/>
  <c r="O145" i="4" s="1"/>
  <c r="Q145" i="4" s="1"/>
  <c r="K163" i="4"/>
  <c r="K145" i="4"/>
  <c r="U86" i="4"/>
  <c r="V86" i="4" s="1"/>
  <c r="W86" i="4" s="1"/>
  <c r="X145" i="4"/>
  <c r="Y145" i="4" s="1"/>
  <c r="X163" i="4"/>
  <c r="Y163" i="4" s="1"/>
  <c r="U57" i="4"/>
  <c r="V57" i="4" s="1"/>
  <c r="W57" i="4" s="1"/>
  <c r="U145" i="4"/>
  <c r="V145" i="4" s="1"/>
  <c r="W145" i="4" s="1"/>
  <c r="N163" i="4"/>
  <c r="O163" i="4" s="1"/>
  <c r="Q163" i="4" s="1"/>
  <c r="N57" i="4"/>
  <c r="O57" i="4" s="1"/>
  <c r="Q57" i="4" s="1"/>
  <c r="X57" i="4"/>
  <c r="Y57" i="4" s="1"/>
  <c r="AB130" i="4"/>
  <c r="R21" i="4"/>
  <c r="S21" i="4" s="1"/>
  <c r="T21" i="4" s="1"/>
  <c r="AB160" i="4"/>
  <c r="AD160" i="4"/>
  <c r="AE160" i="4" s="1"/>
  <c r="K141" i="4"/>
  <c r="X105" i="4"/>
  <c r="Y105" i="4" s="1"/>
  <c r="X189" i="4"/>
  <c r="Y189" i="4" s="1"/>
  <c r="R105" i="4"/>
  <c r="S105" i="4" s="1"/>
  <c r="T105" i="4" s="1"/>
  <c r="K39" i="4"/>
  <c r="L39" i="4"/>
  <c r="X39" i="4"/>
  <c r="Y39" i="4" s="1"/>
  <c r="AD39" i="4"/>
  <c r="AE39" i="4" s="1"/>
  <c r="N39" i="4"/>
  <c r="O39" i="4" s="1"/>
  <c r="Q39" i="4" s="1"/>
  <c r="U39" i="4"/>
  <c r="V39" i="4" s="1"/>
  <c r="W39" i="4" s="1"/>
  <c r="X187" i="4"/>
  <c r="Y187" i="4" s="1"/>
  <c r="L73" i="4"/>
  <c r="AB73" i="4" s="1"/>
  <c r="AD187" i="4"/>
  <c r="AE187" i="4" s="1"/>
  <c r="X144" i="4"/>
  <c r="Y144" i="4" s="1"/>
  <c r="X173" i="4"/>
  <c r="Y173" i="4" s="1"/>
  <c r="K75" i="4"/>
  <c r="N75" i="4"/>
  <c r="O75" i="4" s="1"/>
  <c r="Q75" i="4" s="1"/>
  <c r="U75" i="4"/>
  <c r="V75" i="4" s="1"/>
  <c r="W75" i="4" s="1"/>
  <c r="AD75" i="4"/>
  <c r="AE75" i="4" s="1"/>
  <c r="R75" i="4"/>
  <c r="S75" i="4" s="1"/>
  <c r="T75" i="4" s="1"/>
  <c r="L75" i="4"/>
  <c r="X75" i="4"/>
  <c r="Y75" i="4" s="1"/>
  <c r="B13" i="6"/>
  <c r="B16" i="6" s="1"/>
  <c r="B15" i="6"/>
  <c r="K78" i="4"/>
  <c r="R78" i="4"/>
  <c r="S78" i="4" s="1"/>
  <c r="T78" i="4" s="1"/>
  <c r="X118" i="4"/>
  <c r="Y118" i="4" s="1"/>
  <c r="N144" i="4"/>
  <c r="O144" i="4" s="1"/>
  <c r="Q144" i="4" s="1"/>
  <c r="K15" i="4"/>
  <c r="L15" i="4"/>
  <c r="AD15" i="4"/>
  <c r="AE15" i="4" s="1"/>
  <c r="U15" i="4"/>
  <c r="V15" i="4" s="1"/>
  <c r="W15" i="4" s="1"/>
  <c r="N15" i="4"/>
  <c r="O15" i="4" s="1"/>
  <c r="Q15" i="4" s="1"/>
  <c r="X15" i="4"/>
  <c r="Y15" i="4" s="1"/>
  <c r="R15" i="4"/>
  <c r="S15" i="4" s="1"/>
  <c r="T15" i="4" s="1"/>
  <c r="K29" i="4"/>
  <c r="L29" i="4"/>
  <c r="AD29" i="4"/>
  <c r="AE29" i="4" s="1"/>
  <c r="U29" i="4"/>
  <c r="V29" i="4" s="1"/>
  <c r="W29" i="4" s="1"/>
  <c r="X29" i="4"/>
  <c r="Y29" i="4" s="1"/>
  <c r="N29" i="4"/>
  <c r="O29" i="4" s="1"/>
  <c r="Q29" i="4" s="1"/>
  <c r="R29" i="4"/>
  <c r="S29" i="4" s="1"/>
  <c r="T29" i="4" s="1"/>
  <c r="X79" i="4"/>
  <c r="Y79" i="4" s="1"/>
  <c r="K118" i="4"/>
  <c r="R139" i="4"/>
  <c r="S139" i="4" s="1"/>
  <c r="T139" i="4" s="1"/>
  <c r="R117" i="4"/>
  <c r="S117" i="4" s="1"/>
  <c r="T117" i="4" s="1"/>
  <c r="X164" i="4"/>
  <c r="Y164" i="4" s="1"/>
  <c r="X197" i="4"/>
  <c r="Y197" i="4" s="1"/>
  <c r="AD157" i="4"/>
  <c r="AE157" i="4" s="1"/>
  <c r="K179" i="4"/>
  <c r="R118" i="4"/>
  <c r="S118" i="4" s="1"/>
  <c r="T118" i="4" s="1"/>
  <c r="X149" i="4"/>
  <c r="Y149" i="4" s="1"/>
  <c r="X139" i="4"/>
  <c r="Y139" i="4" s="1"/>
  <c r="L117" i="4"/>
  <c r="AB117" i="4" s="1"/>
  <c r="R164" i="4"/>
  <c r="S164" i="4" s="1"/>
  <c r="T164" i="4" s="1"/>
  <c r="U73" i="4"/>
  <c r="V73" i="4" s="1"/>
  <c r="W73" i="4" s="1"/>
  <c r="L197" i="4"/>
  <c r="N157" i="4"/>
  <c r="O157" i="4" s="1"/>
  <c r="Q157" i="4" s="1"/>
  <c r="R187" i="4"/>
  <c r="S187" i="4" s="1"/>
  <c r="T187" i="4" s="1"/>
  <c r="AD101" i="4"/>
  <c r="AE101" i="4" s="1"/>
  <c r="N142" i="4"/>
  <c r="O142" i="4" s="1"/>
  <c r="Q142" i="4" s="1"/>
  <c r="R144" i="4"/>
  <c r="S144" i="4" s="1"/>
  <c r="T144" i="4" s="1"/>
  <c r="L173" i="4"/>
  <c r="U197" i="4"/>
  <c r="V197" i="4" s="1"/>
  <c r="W197" i="4" s="1"/>
  <c r="R152" i="4"/>
  <c r="S152" i="4" s="1"/>
  <c r="T152" i="4" s="1"/>
  <c r="N152" i="4"/>
  <c r="O152" i="4" s="1"/>
  <c r="Q152" i="4" s="1"/>
  <c r="L152" i="4"/>
  <c r="AF152" i="4" s="1"/>
  <c r="AG152" i="4" s="1"/>
  <c r="AS152" i="4" s="1"/>
  <c r="K84" i="4"/>
  <c r="R84" i="4"/>
  <c r="S84" i="4" s="1"/>
  <c r="T84" i="4" s="1"/>
  <c r="L84" i="4"/>
  <c r="X84" i="4"/>
  <c r="Y84" i="4" s="1"/>
  <c r="AD84" i="4"/>
  <c r="AE84" i="4" s="1"/>
  <c r="N84" i="4"/>
  <c r="O84" i="4" s="1"/>
  <c r="Q84" i="4" s="1"/>
  <c r="U84" i="4"/>
  <c r="V84" i="4" s="1"/>
  <c r="W84" i="4" s="1"/>
  <c r="N95" i="4"/>
  <c r="O95" i="4" s="1"/>
  <c r="Q95" i="4" s="1"/>
  <c r="AD149" i="4"/>
  <c r="AE149" i="4" s="1"/>
  <c r="L205" i="4"/>
  <c r="U118" i="4"/>
  <c r="V118" i="4" s="1"/>
  <c r="W118" i="4" s="1"/>
  <c r="U134" i="4"/>
  <c r="V134" i="4" s="1"/>
  <c r="W134" i="4" s="1"/>
  <c r="K149" i="4"/>
  <c r="N139" i="4"/>
  <c r="O139" i="4" s="1"/>
  <c r="Q139" i="4" s="1"/>
  <c r="AD164" i="4"/>
  <c r="AE164" i="4" s="1"/>
  <c r="N73" i="4"/>
  <c r="O73" i="4" s="1"/>
  <c r="Q73" i="4" s="1"/>
  <c r="K197" i="4"/>
  <c r="R157" i="4"/>
  <c r="S157" i="4" s="1"/>
  <c r="T157" i="4" s="1"/>
  <c r="K187" i="4"/>
  <c r="L142" i="4"/>
  <c r="Z142" i="4" s="1"/>
  <c r="L57" i="4"/>
  <c r="Z57" i="4" s="1"/>
  <c r="L144" i="4"/>
  <c r="R173" i="4"/>
  <c r="S173" i="4" s="1"/>
  <c r="T173" i="4" s="1"/>
  <c r="L168" i="4"/>
  <c r="M168" i="4" s="1"/>
  <c r="AA168" i="4" s="1"/>
  <c r="N207" i="4"/>
  <c r="O207" i="4" s="1"/>
  <c r="Q207" i="4" s="1"/>
  <c r="R207" i="4"/>
  <c r="S207" i="4" s="1"/>
  <c r="T207" i="4" s="1"/>
  <c r="L207" i="4"/>
  <c r="X207" i="4"/>
  <c r="Y207" i="4" s="1"/>
  <c r="U207" i="4"/>
  <c r="V207" i="4" s="1"/>
  <c r="W207" i="4" s="1"/>
  <c r="E108" i="1"/>
  <c r="E107" i="1"/>
  <c r="B221" i="2"/>
  <c r="B222" i="2" s="1"/>
  <c r="B75" i="4"/>
  <c r="B76" i="4" s="1"/>
  <c r="K93" i="4"/>
  <c r="U93" i="4"/>
  <c r="V93" i="4" s="1"/>
  <c r="W93" i="4" s="1"/>
  <c r="L93" i="4"/>
  <c r="R93" i="4"/>
  <c r="S93" i="4" s="1"/>
  <c r="T93" i="4" s="1"/>
  <c r="N93" i="4"/>
  <c r="O93" i="4" s="1"/>
  <c r="Q93" i="4" s="1"/>
  <c r="AD93" i="4"/>
  <c r="AE93" i="4" s="1"/>
  <c r="X93" i="4"/>
  <c r="Y93" i="4" s="1"/>
  <c r="R124" i="4"/>
  <c r="S124" i="4" s="1"/>
  <c r="T124" i="4" s="1"/>
  <c r="N124" i="4"/>
  <c r="O124" i="4" s="1"/>
  <c r="Q124" i="4" s="1"/>
  <c r="L124" i="4"/>
  <c r="U124" i="4"/>
  <c r="V124" i="4" s="1"/>
  <c r="W124" i="4" s="1"/>
  <c r="K108" i="4"/>
  <c r="AD108" i="4"/>
  <c r="AE108" i="4" s="1"/>
  <c r="L108" i="4"/>
  <c r="R108" i="4"/>
  <c r="S108" i="4" s="1"/>
  <c r="T108" i="4" s="1"/>
  <c r="U108" i="4"/>
  <c r="V108" i="4" s="1"/>
  <c r="W108" i="4" s="1"/>
  <c r="N108" i="4"/>
  <c r="O108" i="4" s="1"/>
  <c r="Q108" i="4" s="1"/>
  <c r="X108" i="4"/>
  <c r="Y108" i="4" s="1"/>
  <c r="U139" i="4"/>
  <c r="V139" i="4" s="1"/>
  <c r="W139" i="4" s="1"/>
  <c r="U164" i="4"/>
  <c r="V164" i="4" s="1"/>
  <c r="W164" i="4" s="1"/>
  <c r="N63" i="4"/>
  <c r="O63" i="4" s="1"/>
  <c r="Q63" i="4" s="1"/>
  <c r="K205" i="4"/>
  <c r="AD67" i="4"/>
  <c r="AE67" i="4" s="1"/>
  <c r="AD118" i="4"/>
  <c r="AE118" i="4" s="1"/>
  <c r="AD134" i="4"/>
  <c r="AE134" i="4" s="1"/>
  <c r="L149" i="4"/>
  <c r="M149" i="4" s="1"/>
  <c r="AA149" i="4" s="1"/>
  <c r="N79" i="4"/>
  <c r="O79" i="4" s="1"/>
  <c r="Q79" i="4" s="1"/>
  <c r="K139" i="4"/>
  <c r="AF139" i="4" s="1"/>
  <c r="L79" i="4"/>
  <c r="AF79" i="4" s="1"/>
  <c r="N164" i="4"/>
  <c r="O164" i="4" s="1"/>
  <c r="Q164" i="4" s="1"/>
  <c r="R73" i="4"/>
  <c r="S73" i="4" s="1"/>
  <c r="T73" i="4" s="1"/>
  <c r="N197" i="4"/>
  <c r="O197" i="4" s="1"/>
  <c r="Q197" i="4" s="1"/>
  <c r="L157" i="4"/>
  <c r="M157" i="4" s="1"/>
  <c r="AA157" i="4" s="1"/>
  <c r="R142" i="4"/>
  <c r="S142" i="4" s="1"/>
  <c r="T142" i="4" s="1"/>
  <c r="AD57" i="4"/>
  <c r="AE57" i="4" s="1"/>
  <c r="AD144" i="4"/>
  <c r="AE144" i="4" s="1"/>
  <c r="N173" i="4"/>
  <c r="O173" i="4" s="1"/>
  <c r="Q173" i="4" s="1"/>
  <c r="K18" i="4"/>
  <c r="L18" i="4"/>
  <c r="R18" i="4"/>
  <c r="S18" i="4" s="1"/>
  <c r="T18" i="4" s="1"/>
  <c r="X18" i="4"/>
  <c r="Y18" i="4" s="1"/>
  <c r="AD18" i="4"/>
  <c r="AE18" i="4" s="1"/>
  <c r="K70" i="4"/>
  <c r="AF70" i="4" s="1"/>
  <c r="U70" i="4"/>
  <c r="V70" i="4" s="1"/>
  <c r="W70" i="4" s="1"/>
  <c r="R179" i="4"/>
  <c r="S179" i="4" s="1"/>
  <c r="T179" i="4" s="1"/>
  <c r="L164" i="4"/>
  <c r="AF164" i="4" s="1"/>
  <c r="AG164" i="4" s="1"/>
  <c r="AS164" i="4" s="1"/>
  <c r="AD197" i="4"/>
  <c r="AE197" i="4" s="1"/>
  <c r="K157" i="4"/>
  <c r="R160" i="4"/>
  <c r="S160" i="4" s="1"/>
  <c r="T160" i="4" s="1"/>
  <c r="X142" i="4"/>
  <c r="Y142" i="4" s="1"/>
  <c r="U144" i="4"/>
  <c r="V144" i="4" s="1"/>
  <c r="W144" i="4" s="1"/>
  <c r="R112" i="4"/>
  <c r="S112" i="4" s="1"/>
  <c r="T112" i="4" s="1"/>
  <c r="U173" i="4"/>
  <c r="V173" i="4" s="1"/>
  <c r="W173" i="4" s="1"/>
  <c r="X42" i="4"/>
  <c r="Y42" i="4" s="1"/>
  <c r="AD42" i="4"/>
  <c r="AE42" i="4" s="1"/>
  <c r="K25" i="4"/>
  <c r="Z25" i="4" s="1"/>
  <c r="U25" i="4"/>
  <c r="V25" i="4" s="1"/>
  <c r="W25" i="4" s="1"/>
  <c r="AD25" i="4"/>
  <c r="AE25" i="4" s="1"/>
  <c r="N25" i="4"/>
  <c r="O25" i="4" s="1"/>
  <c r="Q25" i="4" s="1"/>
  <c r="X25" i="4"/>
  <c r="Y25" i="4" s="1"/>
  <c r="R25" i="4"/>
  <c r="S25" i="4" s="1"/>
  <c r="T25" i="4" s="1"/>
  <c r="K16" i="4"/>
  <c r="X16" i="4"/>
  <c r="Y16" i="4" s="1"/>
  <c r="U16" i="4"/>
  <c r="V16" i="4" s="1"/>
  <c r="W16" i="4" s="1"/>
  <c r="R16" i="4"/>
  <c r="S16" i="4" s="1"/>
  <c r="T16" i="4" s="1"/>
  <c r="N16" i="4"/>
  <c r="O16" i="4" s="1"/>
  <c r="Q16" i="4" s="1"/>
  <c r="AD16" i="4"/>
  <c r="AE16" i="4" s="1"/>
  <c r="L16" i="4"/>
  <c r="K71" i="4"/>
  <c r="AD71" i="4"/>
  <c r="AE71" i="4" s="1"/>
  <c r="L71" i="4"/>
  <c r="R71" i="4"/>
  <c r="S71" i="4" s="1"/>
  <c r="T71" i="4" s="1"/>
  <c r="X71" i="4"/>
  <c r="Y71" i="4" s="1"/>
  <c r="N71" i="4"/>
  <c r="O71" i="4" s="1"/>
  <c r="Q71" i="4" s="1"/>
  <c r="U71" i="4"/>
  <c r="V71" i="4" s="1"/>
  <c r="W71" i="4" s="1"/>
  <c r="K63" i="4"/>
  <c r="AF63" i="4" s="1"/>
  <c r="AD63" i="4"/>
  <c r="AE63" i="4" s="1"/>
  <c r="X63" i="4"/>
  <c r="Y63" i="4" s="1"/>
  <c r="U63" i="4"/>
  <c r="V63" i="4" s="1"/>
  <c r="W63" i="4" s="1"/>
  <c r="K21" i="4"/>
  <c r="L21" i="4"/>
  <c r="AD21" i="4"/>
  <c r="AE21" i="4" s="1"/>
  <c r="U21" i="4"/>
  <c r="V21" i="4" s="1"/>
  <c r="W21" i="4" s="1"/>
  <c r="X205" i="4"/>
  <c r="Y205" i="4" s="1"/>
  <c r="L118" i="4"/>
  <c r="L134" i="4"/>
  <c r="AB134" i="4" s="1"/>
  <c r="R149" i="4"/>
  <c r="S149" i="4" s="1"/>
  <c r="T149" i="4" s="1"/>
  <c r="N205" i="4"/>
  <c r="O205" i="4" s="1"/>
  <c r="Q205" i="4" s="1"/>
  <c r="K134" i="4"/>
  <c r="R30" i="4"/>
  <c r="S30" i="4" s="1"/>
  <c r="T30" i="4" s="1"/>
  <c r="R57" i="4"/>
  <c r="S57" i="4" s="1"/>
  <c r="T57" i="4" s="1"/>
  <c r="K112" i="4"/>
  <c r="U22" i="4"/>
  <c r="V22" i="4" s="1"/>
  <c r="W22" i="4" s="1"/>
  <c r="L22" i="4"/>
  <c r="M22" i="4" s="1"/>
  <c r="AA22" i="4" s="1"/>
  <c r="K14" i="4"/>
  <c r="R14" i="4"/>
  <c r="S14" i="4" s="1"/>
  <c r="T14" i="4" s="1"/>
  <c r="L14" i="4"/>
  <c r="N14" i="4"/>
  <c r="O14" i="4" s="1"/>
  <c r="Q14" i="4" s="1"/>
  <c r="AD14" i="4"/>
  <c r="AE14" i="4" s="1"/>
  <c r="U14" i="4"/>
  <c r="V14" i="4" s="1"/>
  <c r="W14" i="4" s="1"/>
  <c r="X14" i="4"/>
  <c r="Y14" i="4" s="1"/>
  <c r="K59" i="4"/>
  <c r="L59" i="4"/>
  <c r="AD59" i="4"/>
  <c r="AE59" i="4" s="1"/>
  <c r="U59" i="4"/>
  <c r="V59" i="4" s="1"/>
  <c r="W59" i="4" s="1"/>
  <c r="R59" i="4"/>
  <c r="S59" i="4" s="1"/>
  <c r="T59" i="4" s="1"/>
  <c r="N59" i="4"/>
  <c r="O59" i="4" s="1"/>
  <c r="Q59" i="4" s="1"/>
  <c r="X59" i="4"/>
  <c r="Y59" i="4" s="1"/>
  <c r="K62" i="4"/>
  <c r="R62" i="4"/>
  <c r="S62" i="4" s="1"/>
  <c r="T62" i="4" s="1"/>
  <c r="L62" i="4"/>
  <c r="K104" i="4"/>
  <c r="R104" i="4"/>
  <c r="S104" i="4" s="1"/>
  <c r="T104" i="4" s="1"/>
  <c r="N104" i="4"/>
  <c r="O104" i="4" s="1"/>
  <c r="Q104" i="4" s="1"/>
  <c r="AD104" i="4"/>
  <c r="AE104" i="4" s="1"/>
  <c r="K102" i="4"/>
  <c r="R102" i="4"/>
  <c r="S102" i="4" s="1"/>
  <c r="T102" i="4" s="1"/>
  <c r="L102" i="4"/>
  <c r="AD102" i="4"/>
  <c r="AE102" i="4" s="1"/>
  <c r="N102" i="4"/>
  <c r="O102" i="4" s="1"/>
  <c r="Q102" i="4" s="1"/>
  <c r="U102" i="4"/>
  <c r="V102" i="4" s="1"/>
  <c r="W102" i="4" s="1"/>
  <c r="X102" i="4"/>
  <c r="Y102" i="4" s="1"/>
  <c r="B51" i="2"/>
  <c r="B74" i="2"/>
  <c r="E36" i="1" s="1"/>
  <c r="B50" i="2"/>
  <c r="G156" i="2"/>
  <c r="B82" i="2"/>
  <c r="E43" i="1" s="1"/>
  <c r="B158" i="2"/>
  <c r="E19" i="1"/>
  <c r="B70" i="2"/>
  <c r="E32" i="1" s="1"/>
  <c r="B72" i="2"/>
  <c r="E34" i="1" s="1"/>
  <c r="E20" i="1"/>
  <c r="B84" i="2"/>
  <c r="E45" i="1" s="1"/>
  <c r="B160" i="2"/>
  <c r="B66" i="2"/>
  <c r="B3" i="6"/>
  <c r="B69" i="2"/>
  <c r="E37" i="1" s="1"/>
  <c r="K42" i="4"/>
  <c r="AF42" i="4" s="1"/>
  <c r="N42" i="4"/>
  <c r="O42" i="4" s="1"/>
  <c r="Q42" i="4" s="1"/>
  <c r="U42" i="4"/>
  <c r="V42" i="4" s="1"/>
  <c r="W42" i="4" s="1"/>
  <c r="AD205" i="4"/>
  <c r="AE205" i="4" s="1"/>
  <c r="N52" i="4"/>
  <c r="O52" i="4" s="1"/>
  <c r="Q52" i="4" s="1"/>
  <c r="L38" i="4"/>
  <c r="AB38" i="4" s="1"/>
  <c r="X177" i="4"/>
  <c r="Y177" i="4" s="1"/>
  <c r="N178" i="4"/>
  <c r="O178" i="4" s="1"/>
  <c r="Q178" i="4" s="1"/>
  <c r="R189" i="4"/>
  <c r="S189" i="4" s="1"/>
  <c r="T189" i="4" s="1"/>
  <c r="AD30" i="4"/>
  <c r="AE30" i="4" s="1"/>
  <c r="X160" i="4"/>
  <c r="Y160" i="4" s="1"/>
  <c r="R10" i="4"/>
  <c r="S10" i="4" s="1"/>
  <c r="T10" i="4" s="1"/>
  <c r="N135" i="4"/>
  <c r="O135" i="4" s="1"/>
  <c r="Q135" i="4" s="1"/>
  <c r="AD141" i="4"/>
  <c r="AE141" i="4" s="1"/>
  <c r="N130" i="4"/>
  <c r="O130" i="4" s="1"/>
  <c r="Q130" i="4" s="1"/>
  <c r="N80" i="4"/>
  <c r="O80" i="4" s="1"/>
  <c r="Q80" i="4" s="1"/>
  <c r="K26" i="4"/>
  <c r="X26" i="4"/>
  <c r="Y26" i="4" s="1"/>
  <c r="K11" i="4"/>
  <c r="U11" i="4"/>
  <c r="V11" i="4" s="1"/>
  <c r="W11" i="4" s="1"/>
  <c r="L11" i="4"/>
  <c r="X11" i="4"/>
  <c r="Y11" i="4" s="1"/>
  <c r="N11" i="4"/>
  <c r="O11" i="4" s="1"/>
  <c r="Q11" i="4" s="1"/>
  <c r="AD11" i="4"/>
  <c r="AE11" i="4" s="1"/>
  <c r="R11" i="4"/>
  <c r="S11" i="4" s="1"/>
  <c r="T11" i="4" s="1"/>
  <c r="K23" i="4"/>
  <c r="U23" i="4"/>
  <c r="V23" i="4" s="1"/>
  <c r="W23" i="4" s="1"/>
  <c r="L23" i="4"/>
  <c r="N23" i="4"/>
  <c r="O23" i="4" s="1"/>
  <c r="Q23" i="4" s="1"/>
  <c r="AD23" i="4"/>
  <c r="AE23" i="4" s="1"/>
  <c r="X23" i="4"/>
  <c r="Y23" i="4" s="1"/>
  <c r="R23" i="4"/>
  <c r="S23" i="4" s="1"/>
  <c r="T23" i="4" s="1"/>
  <c r="X22" i="4"/>
  <c r="Y22" i="4" s="1"/>
  <c r="AD168" i="4"/>
  <c r="AE168" i="4" s="1"/>
  <c r="K168" i="4"/>
  <c r="U67" i="4"/>
  <c r="V67" i="4" s="1"/>
  <c r="W67" i="4" s="1"/>
  <c r="K80" i="4"/>
  <c r="L101" i="4"/>
  <c r="M101" i="4" s="1"/>
  <c r="AA101" i="4" s="1"/>
  <c r="R38" i="4"/>
  <c r="S38" i="4" s="1"/>
  <c r="T38" i="4" s="1"/>
  <c r="R177" i="4"/>
  <c r="S177" i="4" s="1"/>
  <c r="T177" i="4" s="1"/>
  <c r="R55" i="4"/>
  <c r="S55" i="4" s="1"/>
  <c r="T55" i="4" s="1"/>
  <c r="L189" i="4"/>
  <c r="M189" i="4" s="1"/>
  <c r="AA189" i="4" s="1"/>
  <c r="L30" i="4"/>
  <c r="M30" i="4" s="1"/>
  <c r="AA30" i="4" s="1"/>
  <c r="AD52" i="4"/>
  <c r="AE52" i="4" s="1"/>
  <c r="U79" i="4"/>
  <c r="V79" i="4" s="1"/>
  <c r="W79" i="4" s="1"/>
  <c r="U10" i="4"/>
  <c r="V10" i="4" s="1"/>
  <c r="W10" i="4" s="1"/>
  <c r="X135" i="4"/>
  <c r="Y135" i="4" s="1"/>
  <c r="L50" i="4"/>
  <c r="Z50" i="4" s="1"/>
  <c r="N141" i="4"/>
  <c r="O141" i="4" s="1"/>
  <c r="Q141" i="4" s="1"/>
  <c r="R42" i="4"/>
  <c r="S42" i="4" s="1"/>
  <c r="T42" i="4" s="1"/>
  <c r="N21" i="4"/>
  <c r="O21" i="4" s="1"/>
  <c r="Q21" i="4" s="1"/>
  <c r="K43" i="4"/>
  <c r="R43" i="4"/>
  <c r="S43" i="4" s="1"/>
  <c r="T43" i="4" s="1"/>
  <c r="L43" i="4"/>
  <c r="U43" i="4"/>
  <c r="V43" i="4" s="1"/>
  <c r="W43" i="4" s="1"/>
  <c r="AD43" i="4"/>
  <c r="AE43" i="4" s="1"/>
  <c r="X43" i="4"/>
  <c r="Y43" i="4" s="1"/>
  <c r="N43" i="4"/>
  <c r="O43" i="4" s="1"/>
  <c r="Q43" i="4" s="1"/>
  <c r="X137" i="4"/>
  <c r="Y137" i="4" s="1"/>
  <c r="U137" i="4"/>
  <c r="V137" i="4" s="1"/>
  <c r="W137" i="4" s="1"/>
  <c r="R137" i="4"/>
  <c r="S137" i="4" s="1"/>
  <c r="T137" i="4" s="1"/>
  <c r="L137" i="4"/>
  <c r="N137" i="4"/>
  <c r="O137" i="4" s="1"/>
  <c r="Q137" i="4" s="1"/>
  <c r="K92" i="4"/>
  <c r="AD92" i="4"/>
  <c r="AE92" i="4" s="1"/>
  <c r="L92" i="4"/>
  <c r="R92" i="4"/>
  <c r="S92" i="4" s="1"/>
  <c r="T92" i="4" s="1"/>
  <c r="N92" i="4"/>
  <c r="O92" i="4" s="1"/>
  <c r="Q92" i="4" s="1"/>
  <c r="X92" i="4"/>
  <c r="Y92" i="4" s="1"/>
  <c r="U92" i="4"/>
  <c r="V92" i="4" s="1"/>
  <c r="W92" i="4" s="1"/>
  <c r="K47" i="4"/>
  <c r="X47" i="4"/>
  <c r="Y47" i="4" s="1"/>
  <c r="L47" i="4"/>
  <c r="AD47" i="4"/>
  <c r="AE47" i="4" s="1"/>
  <c r="R47" i="4"/>
  <c r="S47" i="4" s="1"/>
  <c r="T47" i="4" s="1"/>
  <c r="U47" i="4"/>
  <c r="V47" i="4" s="1"/>
  <c r="W47" i="4" s="1"/>
  <c r="N47" i="4"/>
  <c r="O47" i="4" s="1"/>
  <c r="Q47" i="4" s="1"/>
  <c r="K189" i="4"/>
  <c r="K160" i="4"/>
  <c r="AF160" i="4" s="1"/>
  <c r="AG160" i="4" s="1"/>
  <c r="AS160" i="4" s="1"/>
  <c r="N10" i="4"/>
  <c r="O10" i="4" s="1"/>
  <c r="Q10" i="4" s="1"/>
  <c r="K135" i="4"/>
  <c r="R141" i="4"/>
  <c r="S141" i="4" s="1"/>
  <c r="T141" i="4" s="1"/>
  <c r="K13" i="4"/>
  <c r="L13" i="4"/>
  <c r="U13" i="4"/>
  <c r="V13" i="4" s="1"/>
  <c r="W13" i="4" s="1"/>
  <c r="X13" i="4"/>
  <c r="Y13" i="4" s="1"/>
  <c r="K74" i="4"/>
  <c r="L74" i="4"/>
  <c r="R74" i="4"/>
  <c r="S74" i="4" s="1"/>
  <c r="T74" i="4" s="1"/>
  <c r="N74" i="4"/>
  <c r="O74" i="4" s="1"/>
  <c r="Q74" i="4" s="1"/>
  <c r="AD74" i="4"/>
  <c r="AE74" i="4" s="1"/>
  <c r="U74" i="4"/>
  <c r="V74" i="4" s="1"/>
  <c r="W74" i="4" s="1"/>
  <c r="N177" i="4"/>
  <c r="O177" i="4" s="1"/>
  <c r="Q177" i="4" s="1"/>
  <c r="U135" i="4"/>
  <c r="V135" i="4" s="1"/>
  <c r="W135" i="4" s="1"/>
  <c r="R63" i="4"/>
  <c r="S63" i="4" s="1"/>
  <c r="T63" i="4" s="1"/>
  <c r="AD95" i="4"/>
  <c r="AE95" i="4" s="1"/>
  <c r="N206" i="4"/>
  <c r="O206" i="4" s="1"/>
  <c r="Q206" i="4" s="1"/>
  <c r="X38" i="4"/>
  <c r="Y38" i="4" s="1"/>
  <c r="N55" i="4"/>
  <c r="O55" i="4" s="1"/>
  <c r="Q55" i="4" s="1"/>
  <c r="R95" i="4"/>
  <c r="S95" i="4" s="1"/>
  <c r="T95" i="4" s="1"/>
  <c r="AD117" i="4"/>
  <c r="AE117" i="4" s="1"/>
  <c r="U38" i="4"/>
  <c r="V38" i="4" s="1"/>
  <c r="W38" i="4" s="1"/>
  <c r="AD177" i="4"/>
  <c r="AE177" i="4" s="1"/>
  <c r="L55" i="4"/>
  <c r="AB55" i="4" s="1"/>
  <c r="U189" i="4"/>
  <c r="V189" i="4" s="1"/>
  <c r="W189" i="4" s="1"/>
  <c r="K30" i="4"/>
  <c r="U160" i="4"/>
  <c r="V160" i="4" s="1"/>
  <c r="W160" i="4" s="1"/>
  <c r="N160" i="4"/>
  <c r="O160" i="4" s="1"/>
  <c r="Q160" i="4" s="1"/>
  <c r="R101" i="4"/>
  <c r="S101" i="4" s="1"/>
  <c r="T101" i="4" s="1"/>
  <c r="R151" i="4"/>
  <c r="S151" i="4" s="1"/>
  <c r="T151" i="4" s="1"/>
  <c r="X10" i="4"/>
  <c r="Y10" i="4" s="1"/>
  <c r="L135" i="4"/>
  <c r="AB135" i="4" s="1"/>
  <c r="N50" i="4"/>
  <c r="O50" i="4" s="1"/>
  <c r="Q50" i="4" s="1"/>
  <c r="U141" i="4"/>
  <c r="V141" i="4" s="1"/>
  <c r="W141" i="4" s="1"/>
  <c r="R22" i="4"/>
  <c r="S22" i="4" s="1"/>
  <c r="T22" i="4" s="1"/>
  <c r="N22" i="4"/>
  <c r="O22" i="4" s="1"/>
  <c r="Q22" i="4" s="1"/>
  <c r="K17" i="4"/>
  <c r="U17" i="4"/>
  <c r="V17" i="4" s="1"/>
  <c r="W17" i="4" s="1"/>
  <c r="L17" i="4"/>
  <c r="N17" i="4"/>
  <c r="O17" i="4" s="1"/>
  <c r="Q17" i="4" s="1"/>
  <c r="R17" i="4"/>
  <c r="S17" i="4" s="1"/>
  <c r="T17" i="4" s="1"/>
  <c r="X17" i="4"/>
  <c r="Y17" i="4" s="1"/>
  <c r="AD17" i="4"/>
  <c r="AE17" i="4" s="1"/>
  <c r="K85" i="4"/>
  <c r="L85" i="4"/>
  <c r="R85" i="4"/>
  <c r="S85" i="4" s="1"/>
  <c r="T85" i="4" s="1"/>
  <c r="X85" i="4"/>
  <c r="Y85" i="4" s="1"/>
  <c r="N85" i="4"/>
  <c r="O85" i="4" s="1"/>
  <c r="Q85" i="4" s="1"/>
  <c r="AD85" i="4"/>
  <c r="AE85" i="4" s="1"/>
  <c r="K98" i="4"/>
  <c r="R98" i="4"/>
  <c r="S98" i="4" s="1"/>
  <c r="T98" i="4" s="1"/>
  <c r="L98" i="4"/>
  <c r="AD98" i="4"/>
  <c r="AE98" i="4" s="1"/>
  <c r="U98" i="4"/>
  <c r="V98" i="4" s="1"/>
  <c r="W98" i="4" s="1"/>
  <c r="X98" i="4"/>
  <c r="Y98" i="4" s="1"/>
  <c r="N98" i="4"/>
  <c r="O98" i="4" s="1"/>
  <c r="Q98" i="4" s="1"/>
  <c r="K28" i="4"/>
  <c r="AF28" i="4" s="1"/>
  <c r="AD28" i="4"/>
  <c r="AE28" i="4" s="1"/>
  <c r="L97" i="4"/>
  <c r="Z97" i="4" s="1"/>
  <c r="AD97" i="4"/>
  <c r="AE97" i="4" s="1"/>
  <c r="K89" i="4"/>
  <c r="AF89" i="4" s="1"/>
  <c r="AG89" i="4" s="1"/>
  <c r="AS89" i="4" s="1"/>
  <c r="U89" i="4"/>
  <c r="V89" i="4" s="1"/>
  <c r="W89" i="4" s="1"/>
  <c r="X89" i="4"/>
  <c r="Y89" i="4" s="1"/>
  <c r="N89" i="4"/>
  <c r="O89" i="4" s="1"/>
  <c r="Q89" i="4" s="1"/>
  <c r="R89" i="4"/>
  <c r="S89" i="4" s="1"/>
  <c r="T89" i="4" s="1"/>
  <c r="R39" i="4"/>
  <c r="S39" i="4" s="1"/>
  <c r="T39" i="4" s="1"/>
  <c r="L112" i="4"/>
  <c r="AB112" i="4" s="1"/>
  <c r="X168" i="4"/>
  <c r="Y168" i="4" s="1"/>
  <c r="L177" i="4"/>
  <c r="M177" i="4" s="1"/>
  <c r="AA177" i="4" s="1"/>
  <c r="R79" i="4"/>
  <c r="S79" i="4" s="1"/>
  <c r="T79" i="4" s="1"/>
  <c r="AD202" i="4"/>
  <c r="AE202" i="4" s="1"/>
  <c r="K117" i="4"/>
  <c r="N38" i="4"/>
  <c r="O38" i="4" s="1"/>
  <c r="Q38" i="4" s="1"/>
  <c r="X55" i="4"/>
  <c r="Y55" i="4" s="1"/>
  <c r="U179" i="4"/>
  <c r="V179" i="4" s="1"/>
  <c r="W179" i="4" s="1"/>
  <c r="L10" i="4"/>
  <c r="M10" i="4" s="1"/>
  <c r="AA10" i="4" s="1"/>
  <c r="L141" i="4"/>
  <c r="X80" i="4"/>
  <c r="Y80" i="4" s="1"/>
  <c r="K83" i="4"/>
  <c r="U83" i="4"/>
  <c r="V83" i="4" s="1"/>
  <c r="W83" i="4" s="1"/>
  <c r="L83" i="4"/>
  <c r="N83" i="4"/>
  <c r="O83" i="4" s="1"/>
  <c r="Q83" i="4" s="1"/>
  <c r="R83" i="4"/>
  <c r="S83" i="4" s="1"/>
  <c r="T83" i="4" s="1"/>
  <c r="AD83" i="4"/>
  <c r="AE83" i="4" s="1"/>
  <c r="X83" i="4"/>
  <c r="Y83" i="4" s="1"/>
  <c r="K60" i="4"/>
  <c r="L60" i="4"/>
  <c r="X60" i="4"/>
  <c r="Y60" i="4" s="1"/>
  <c r="AD60" i="4"/>
  <c r="AE60" i="4" s="1"/>
  <c r="R60" i="4"/>
  <c r="S60" i="4" s="1"/>
  <c r="T60" i="4" s="1"/>
  <c r="U60" i="4"/>
  <c r="V60" i="4" s="1"/>
  <c r="W60" i="4" s="1"/>
  <c r="N60" i="4"/>
  <c r="O60" i="4" s="1"/>
  <c r="Q60" i="4" s="1"/>
  <c r="K77" i="4"/>
  <c r="R77" i="4"/>
  <c r="S77" i="4" s="1"/>
  <c r="T77" i="4" s="1"/>
  <c r="L77" i="4"/>
  <c r="N77" i="4"/>
  <c r="O77" i="4" s="1"/>
  <c r="Q77" i="4" s="1"/>
  <c r="AD77" i="4"/>
  <c r="AE77" i="4" s="1"/>
  <c r="X77" i="4"/>
  <c r="Y77" i="4" s="1"/>
  <c r="U77" i="4"/>
  <c r="V77" i="4" s="1"/>
  <c r="W77" i="4" s="1"/>
  <c r="X182" i="4"/>
  <c r="Y182" i="4" s="1"/>
  <c r="N182" i="4"/>
  <c r="O182" i="4" s="1"/>
  <c r="Q182" i="4" s="1"/>
  <c r="R182" i="4"/>
  <c r="S182" i="4" s="1"/>
  <c r="T182" i="4" s="1"/>
  <c r="L182" i="4"/>
  <c r="AF182" i="4" s="1"/>
  <c r="AG182" i="4" s="1"/>
  <c r="AS182" i="4" s="1"/>
  <c r="N128" i="4"/>
  <c r="O128" i="4" s="1"/>
  <c r="Q128" i="4" s="1"/>
  <c r="L128" i="4"/>
  <c r="K67" i="4"/>
  <c r="Z67" i="4" s="1"/>
  <c r="R67" i="4"/>
  <c r="S67" i="4" s="1"/>
  <c r="T67" i="4" s="1"/>
  <c r="X67" i="4"/>
  <c r="Y67" i="4" s="1"/>
  <c r="L80" i="4"/>
  <c r="AB80" i="4" s="1"/>
  <c r="N67" i="4"/>
  <c r="O67" i="4" s="1"/>
  <c r="Q67" i="4" s="1"/>
  <c r="X202" i="4"/>
  <c r="Y202" i="4" s="1"/>
  <c r="AD55" i="4"/>
  <c r="AE55" i="4" s="1"/>
  <c r="U187" i="4"/>
  <c r="V187" i="4" s="1"/>
  <c r="W187" i="4" s="1"/>
  <c r="X179" i="4"/>
  <c r="Y179" i="4" s="1"/>
  <c r="AD79" i="4"/>
  <c r="AE79" i="4" s="1"/>
  <c r="N101" i="4"/>
  <c r="O101" i="4" s="1"/>
  <c r="Q101" i="4" s="1"/>
  <c r="AD80" i="4"/>
  <c r="AE80" i="4" s="1"/>
  <c r="K12" i="4"/>
  <c r="L12" i="4"/>
  <c r="N12" i="4"/>
  <c r="O12" i="4" s="1"/>
  <c r="Q12" i="4" s="1"/>
  <c r="R12" i="4"/>
  <c r="S12" i="4" s="1"/>
  <c r="T12" i="4" s="1"/>
  <c r="X12" i="4"/>
  <c r="Y12" i="4" s="1"/>
  <c r="AD12" i="4"/>
  <c r="AE12" i="4" s="1"/>
  <c r="U12" i="4"/>
  <c r="V12" i="4" s="1"/>
  <c r="W12" i="4" s="1"/>
  <c r="K87" i="4"/>
  <c r="AD87" i="4"/>
  <c r="AE87" i="4" s="1"/>
  <c r="L87" i="4"/>
  <c r="X87" i="4"/>
  <c r="Y87" i="4" s="1"/>
  <c r="R87" i="4"/>
  <c r="S87" i="4" s="1"/>
  <c r="T87" i="4" s="1"/>
  <c r="U87" i="4"/>
  <c r="V87" i="4" s="1"/>
  <c r="W87" i="4" s="1"/>
  <c r="N87" i="4"/>
  <c r="O87" i="4" s="1"/>
  <c r="Q87" i="4" s="1"/>
  <c r="R180" i="4"/>
  <c r="S180" i="4" s="1"/>
  <c r="T180" i="4" s="1"/>
  <c r="L180" i="4"/>
  <c r="N180" i="4"/>
  <c r="O180" i="4" s="1"/>
  <c r="Q180" i="4" s="1"/>
  <c r="J24" i="4"/>
  <c r="AD24" i="4" s="1"/>
  <c r="AE24" i="4" s="1"/>
  <c r="J109" i="4"/>
  <c r="U109" i="4" s="1"/>
  <c r="V109" i="4" s="1"/>
  <c r="W109" i="4" s="1"/>
  <c r="B68" i="4"/>
  <c r="B69" i="4" s="1"/>
  <c r="L20" i="4"/>
  <c r="AB20" i="4" s="1"/>
  <c r="M68" i="4"/>
  <c r="AA68" i="4" s="1"/>
  <c r="X172" i="4"/>
  <c r="Y172" i="4" s="1"/>
  <c r="J106" i="4"/>
  <c r="X106" i="4" s="1"/>
  <c r="Y106" i="4" s="1"/>
  <c r="AD172" i="4"/>
  <c r="AE172" i="4" s="1"/>
  <c r="N20" i="4"/>
  <c r="O20" i="4" s="1"/>
  <c r="Q20" i="4" s="1"/>
  <c r="N184" i="4"/>
  <c r="O184" i="4" s="1"/>
  <c r="Q184" i="4" s="1"/>
  <c r="AD20" i="4"/>
  <c r="AE20" i="4" s="1"/>
  <c r="Z51" i="4"/>
  <c r="J45" i="4"/>
  <c r="X45" i="4" s="1"/>
  <c r="Y45" i="4" s="1"/>
  <c r="X20" i="4"/>
  <c r="Y20" i="4" s="1"/>
  <c r="K184" i="4"/>
  <c r="Z184" i="4" s="1"/>
  <c r="R20" i="4"/>
  <c r="S20" i="4" s="1"/>
  <c r="T20" i="4" s="1"/>
  <c r="L105" i="4"/>
  <c r="AF105" i="4" s="1"/>
  <c r="J53" i="4"/>
  <c r="AD53" i="4" s="1"/>
  <c r="AE53" i="4" s="1"/>
  <c r="J46" i="4"/>
  <c r="X46" i="4" s="1"/>
  <c r="Y46" i="4" s="1"/>
  <c r="K20" i="4"/>
  <c r="J40" i="4"/>
  <c r="U40" i="4" s="1"/>
  <c r="V40" i="4" s="1"/>
  <c r="W40" i="4" s="1"/>
  <c r="U184" i="4"/>
  <c r="V184" i="4" s="1"/>
  <c r="W184" i="4" s="1"/>
  <c r="AD184" i="4"/>
  <c r="AE184" i="4" s="1"/>
  <c r="AD179" i="4"/>
  <c r="AE179" i="4" s="1"/>
  <c r="AD119" i="4"/>
  <c r="AE119" i="4" s="1"/>
  <c r="J111" i="4"/>
  <c r="AD111" i="4" s="1"/>
  <c r="AE111" i="4" s="1"/>
  <c r="J9" i="4"/>
  <c r="U9" i="4" s="1"/>
  <c r="V9" i="4" s="1"/>
  <c r="W9" i="4" s="1"/>
  <c r="N202" i="4"/>
  <c r="O202" i="4" s="1"/>
  <c r="Q202" i="4" s="1"/>
  <c r="X184" i="4"/>
  <c r="Y184" i="4" s="1"/>
  <c r="X119" i="4"/>
  <c r="Y119" i="4" s="1"/>
  <c r="J113" i="4"/>
  <c r="AD113" i="4" s="1"/>
  <c r="AE113" i="4" s="1"/>
  <c r="AD200" i="4"/>
  <c r="AE200" i="4" s="1"/>
  <c r="R184" i="4"/>
  <c r="S184" i="4" s="1"/>
  <c r="T184" i="4" s="1"/>
  <c r="X95" i="4"/>
  <c r="Y95" i="4" s="1"/>
  <c r="AD99" i="4"/>
  <c r="AE99" i="4" s="1"/>
  <c r="U119" i="4"/>
  <c r="V119" i="4" s="1"/>
  <c r="W119" i="4" s="1"/>
  <c r="U112" i="4"/>
  <c r="V112" i="4" s="1"/>
  <c r="W112" i="4" s="1"/>
  <c r="N172" i="4"/>
  <c r="O172" i="4" s="1"/>
  <c r="Q172" i="4" s="1"/>
  <c r="X86" i="4"/>
  <c r="Y86" i="4" s="1"/>
  <c r="R119" i="4"/>
  <c r="S119" i="4" s="1"/>
  <c r="T119" i="4" s="1"/>
  <c r="AD112" i="4"/>
  <c r="AE112" i="4" s="1"/>
  <c r="J115" i="4"/>
  <c r="AD115" i="4" s="1"/>
  <c r="AE115" i="4" s="1"/>
  <c r="M42" i="4"/>
  <c r="AA42" i="4" s="1"/>
  <c r="AB42" i="4"/>
  <c r="AD50" i="4"/>
  <c r="AE50" i="4" s="1"/>
  <c r="J49" i="4"/>
  <c r="X49" i="4" s="1"/>
  <c r="Y49" i="4" s="1"/>
  <c r="J41" i="4"/>
  <c r="AD41" i="4" s="1"/>
  <c r="AE41" i="4" s="1"/>
  <c r="M153" i="4"/>
  <c r="AA153" i="4" s="1"/>
  <c r="AB153" i="4"/>
  <c r="Z144" i="4"/>
  <c r="AF144" i="4"/>
  <c r="AB144" i="4"/>
  <c r="M144" i="4"/>
  <c r="AA144" i="4" s="1"/>
  <c r="M70" i="4"/>
  <c r="AA70" i="4" s="1"/>
  <c r="AB70" i="4"/>
  <c r="M165" i="4"/>
  <c r="AA165" i="4" s="1"/>
  <c r="AF165" i="4"/>
  <c r="AG165" i="4" s="1"/>
  <c r="AS165" i="4" s="1"/>
  <c r="Z165" i="4"/>
  <c r="AB165" i="4"/>
  <c r="Z32" i="4"/>
  <c r="AB50" i="4"/>
  <c r="U203" i="4"/>
  <c r="V203" i="4" s="1"/>
  <c r="W203" i="4" s="1"/>
  <c r="M28" i="4"/>
  <c r="AA28" i="4" s="1"/>
  <c r="AB28" i="4"/>
  <c r="X36" i="4"/>
  <c r="Y36" i="4" s="1"/>
  <c r="AF35" i="4"/>
  <c r="AG35" i="4" s="1"/>
  <c r="AS35" i="4" s="1"/>
  <c r="M151" i="4"/>
  <c r="AA151" i="4" s="1"/>
  <c r="Z44" i="4"/>
  <c r="R99" i="4"/>
  <c r="S99" i="4" s="1"/>
  <c r="T99" i="4" s="1"/>
  <c r="U95" i="4"/>
  <c r="V95" i="4" s="1"/>
  <c r="W95" i="4" s="1"/>
  <c r="M91" i="4"/>
  <c r="AA91" i="4" s="1"/>
  <c r="AB91" i="4"/>
  <c r="R36" i="4"/>
  <c r="S36" i="4" s="1"/>
  <c r="T36" i="4" s="1"/>
  <c r="U202" i="4"/>
  <c r="V202" i="4" s="1"/>
  <c r="W202" i="4" s="1"/>
  <c r="AF176" i="4"/>
  <c r="AG176" i="4" s="1"/>
  <c r="AS176" i="4" s="1"/>
  <c r="U36" i="4"/>
  <c r="V36" i="4" s="1"/>
  <c r="W36" i="4" s="1"/>
  <c r="U99" i="4"/>
  <c r="V99" i="4" s="1"/>
  <c r="W99" i="4" s="1"/>
  <c r="AD190" i="4"/>
  <c r="AE190" i="4" s="1"/>
  <c r="AD90" i="4"/>
  <c r="AE90" i="4" s="1"/>
  <c r="U200" i="4"/>
  <c r="V200" i="4" s="1"/>
  <c r="W200" i="4" s="1"/>
  <c r="Z170" i="4"/>
  <c r="AB187" i="4"/>
  <c r="M187" i="4"/>
  <c r="AA187" i="4" s="1"/>
  <c r="K90" i="4"/>
  <c r="N90" i="4"/>
  <c r="O90" i="4" s="1"/>
  <c r="Q90" i="4" s="1"/>
  <c r="L90" i="4"/>
  <c r="R90" i="4"/>
  <c r="S90" i="4" s="1"/>
  <c r="T90" i="4" s="1"/>
  <c r="X90" i="4"/>
  <c r="Y90" i="4" s="1"/>
  <c r="K36" i="4"/>
  <c r="N36" i="4"/>
  <c r="O36" i="4" s="1"/>
  <c r="Q36" i="4" s="1"/>
  <c r="L36" i="4"/>
  <c r="M32" i="4"/>
  <c r="AA32" i="4" s="1"/>
  <c r="AB32" i="4"/>
  <c r="M19" i="4"/>
  <c r="AA19" i="4" s="1"/>
  <c r="AB19" i="4"/>
  <c r="AF19" i="4"/>
  <c r="AG19" i="4" s="1"/>
  <c r="AS19" i="4" s="1"/>
  <c r="Z19" i="4"/>
  <c r="M120" i="4"/>
  <c r="AA120" i="4" s="1"/>
  <c r="AB120" i="4"/>
  <c r="L202" i="4"/>
  <c r="Z202" i="4" s="1"/>
  <c r="R202" i="4"/>
  <c r="S202" i="4" s="1"/>
  <c r="T202" i="4" s="1"/>
  <c r="AB103" i="4"/>
  <c r="AF103" i="4"/>
  <c r="AG103" i="4" s="1"/>
  <c r="AS103" i="4" s="1"/>
  <c r="Z103" i="4"/>
  <c r="M103" i="4"/>
  <c r="AA103" i="4" s="1"/>
  <c r="K54" i="4"/>
  <c r="N54" i="4"/>
  <c r="O54" i="4" s="1"/>
  <c r="Q54" i="4" s="1"/>
  <c r="L54" i="4"/>
  <c r="R54" i="4"/>
  <c r="S54" i="4" s="1"/>
  <c r="T54" i="4" s="1"/>
  <c r="Z119" i="4"/>
  <c r="AB119" i="4"/>
  <c r="M119" i="4"/>
  <c r="AA119" i="4" s="1"/>
  <c r="M131" i="4"/>
  <c r="AA131" i="4" s="1"/>
  <c r="AB131" i="4"/>
  <c r="AF131" i="4"/>
  <c r="AG131" i="4" s="1"/>
  <c r="AS131" i="4" s="1"/>
  <c r="Z131" i="4"/>
  <c r="M197" i="4"/>
  <c r="AA197" i="4" s="1"/>
  <c r="AB197" i="4"/>
  <c r="M33" i="4"/>
  <c r="AA33" i="4" s="1"/>
  <c r="AF33" i="4"/>
  <c r="AG33" i="4" s="1"/>
  <c r="AS33" i="4" s="1"/>
  <c r="AB33" i="4"/>
  <c r="AF58" i="4"/>
  <c r="AG58" i="4" s="1"/>
  <c r="AS58" i="4" s="1"/>
  <c r="AB58" i="4"/>
  <c r="Z58" i="4"/>
  <c r="M58" i="4"/>
  <c r="AA58" i="4" s="1"/>
  <c r="X54" i="4"/>
  <c r="Y54" i="4" s="1"/>
  <c r="M55" i="4"/>
  <c r="AA55" i="4" s="1"/>
  <c r="K99" i="4"/>
  <c r="N99" i="4"/>
  <c r="O99" i="4" s="1"/>
  <c r="Q99" i="4" s="1"/>
  <c r="L99" i="4"/>
  <c r="M163" i="4"/>
  <c r="AA163" i="4" s="1"/>
  <c r="Z176" i="4"/>
  <c r="M181" i="4"/>
  <c r="AA181" i="4" s="1"/>
  <c r="AB181" i="4"/>
  <c r="AB170" i="4"/>
  <c r="AF170" i="4"/>
  <c r="AG170" i="4" s="1"/>
  <c r="AS170" i="4" s="1"/>
  <c r="M170" i="4"/>
  <c r="AA170" i="4" s="1"/>
  <c r="K86" i="4"/>
  <c r="R86" i="4"/>
  <c r="S86" i="4" s="1"/>
  <c r="T86" i="4" s="1"/>
  <c r="L86" i="4"/>
  <c r="AB72" i="4"/>
  <c r="Z72" i="4"/>
  <c r="AF72" i="4"/>
  <c r="AG72" i="4" s="1"/>
  <c r="AS72" i="4" s="1"/>
  <c r="N203" i="4"/>
  <c r="O203" i="4" s="1"/>
  <c r="Q203" i="4" s="1"/>
  <c r="R203" i="4"/>
  <c r="S203" i="4" s="1"/>
  <c r="T203" i="4" s="1"/>
  <c r="L203" i="4"/>
  <c r="K203" i="4"/>
  <c r="N190" i="4"/>
  <c r="O190" i="4" s="1"/>
  <c r="Q190" i="4" s="1"/>
  <c r="L190" i="4"/>
  <c r="R190" i="4"/>
  <c r="S190" i="4" s="1"/>
  <c r="T190" i="4" s="1"/>
  <c r="K190" i="4"/>
  <c r="M176" i="4"/>
  <c r="AA176" i="4" s="1"/>
  <c r="AB176" i="4"/>
  <c r="AF34" i="4"/>
  <c r="AB34" i="4"/>
  <c r="Z34" i="4"/>
  <c r="X203" i="4"/>
  <c r="Y203" i="4" s="1"/>
  <c r="Z138" i="4"/>
  <c r="AB138" i="4"/>
  <c r="M138" i="4"/>
  <c r="AA138" i="4" s="1"/>
  <c r="AF138" i="4"/>
  <c r="AG138" i="4" s="1"/>
  <c r="AS138" i="4" s="1"/>
  <c r="K200" i="4"/>
  <c r="N200" i="4"/>
  <c r="O200" i="4" s="1"/>
  <c r="Q200" i="4" s="1"/>
  <c r="R200" i="4"/>
  <c r="S200" i="4" s="1"/>
  <c r="T200" i="4" s="1"/>
  <c r="L200" i="4"/>
  <c r="X190" i="4"/>
  <c r="Y190" i="4" s="1"/>
  <c r="K52" i="4"/>
  <c r="R52" i="4"/>
  <c r="S52" i="4" s="1"/>
  <c r="T52" i="4" s="1"/>
  <c r="L52" i="4"/>
  <c r="AB145" i="4"/>
  <c r="M145" i="4"/>
  <c r="AA145" i="4" s="1"/>
  <c r="M88" i="4"/>
  <c r="AA88" i="4" s="1"/>
  <c r="AB88" i="4"/>
  <c r="AF171" i="4"/>
  <c r="M139" i="4"/>
  <c r="AA139" i="4" s="1"/>
  <c r="AB139" i="4"/>
  <c r="AB67" i="4"/>
  <c r="M67" i="4"/>
  <c r="AA67" i="4" s="1"/>
  <c r="Z95" i="4"/>
  <c r="AB95" i="4"/>
  <c r="AF95" i="4"/>
  <c r="M201" i="4"/>
  <c r="AA201" i="4" s="1"/>
  <c r="AB201" i="4"/>
  <c r="M25" i="4"/>
  <c r="AA25" i="4" s="1"/>
  <c r="AB25" i="4"/>
  <c r="M186" i="4"/>
  <c r="AA186" i="4" s="1"/>
  <c r="AF186" i="4"/>
  <c r="AG186" i="4" s="1"/>
  <c r="AS186" i="4" s="1"/>
  <c r="AB186" i="4"/>
  <c r="Z186" i="4"/>
  <c r="AB118" i="4"/>
  <c r="M118" i="4"/>
  <c r="AA118" i="4" s="1"/>
  <c r="AB196" i="4"/>
  <c r="M196" i="4"/>
  <c r="AA196" i="4" s="1"/>
  <c r="AF207" i="4"/>
  <c r="AG207" i="4" s="1"/>
  <c r="AS207" i="4" s="1"/>
  <c r="B245" i="2"/>
  <c r="D243" i="2" s="1"/>
  <c r="E243" i="2" s="1"/>
  <c r="A44" i="16"/>
  <c r="L44" i="16" s="1"/>
  <c r="L65" i="16" s="1"/>
  <c r="N65" i="16" s="1"/>
  <c r="AB184" i="4"/>
  <c r="M184" i="4"/>
  <c r="AA184" i="4" s="1"/>
  <c r="AF166" i="4"/>
  <c r="AG166" i="4" s="1"/>
  <c r="AS166" i="4" s="1"/>
  <c r="M166" i="4"/>
  <c r="AA166" i="4" s="1"/>
  <c r="Z166" i="4"/>
  <c r="AB166" i="4"/>
  <c r="AF150" i="4"/>
  <c r="AG150" i="4" s="1"/>
  <c r="AS150" i="4" s="1"/>
  <c r="AB150" i="4"/>
  <c r="Z150" i="4"/>
  <c r="M150" i="4"/>
  <c r="AA150" i="4" s="1"/>
  <c r="AB192" i="4"/>
  <c r="M192" i="4"/>
  <c r="AA192" i="4" s="1"/>
  <c r="M183" i="4"/>
  <c r="AA183" i="4" s="1"/>
  <c r="AB183" i="4"/>
  <c r="AF183" i="4"/>
  <c r="AG183" i="4" s="1"/>
  <c r="AS183" i="4" s="1"/>
  <c r="Z183" i="4"/>
  <c r="AB136" i="4"/>
  <c r="M136" i="4"/>
  <c r="AA136" i="4" s="1"/>
  <c r="M191" i="4"/>
  <c r="AA191" i="4" s="1"/>
  <c r="AB191" i="4"/>
  <c r="M48" i="4"/>
  <c r="AA48" i="4" s="1"/>
  <c r="AF48" i="4"/>
  <c r="Z48" i="4"/>
  <c r="AB48" i="4"/>
  <c r="M63" i="4"/>
  <c r="AA63" i="4" s="1"/>
  <c r="AB63" i="4"/>
  <c r="AB110" i="4"/>
  <c r="Z110" i="4"/>
  <c r="M110" i="4"/>
  <c r="AA110" i="4" s="1"/>
  <c r="AF204" i="4"/>
  <c r="Z204" i="4"/>
  <c r="M204" i="4"/>
  <c r="AA204" i="4" s="1"/>
  <c r="AB204" i="4"/>
  <c r="AB129" i="4"/>
  <c r="Z129" i="4"/>
  <c r="M129" i="4"/>
  <c r="AA129" i="4" s="1"/>
  <c r="AF129" i="4"/>
  <c r="AG129" i="4" s="1"/>
  <c r="AS129" i="4" s="1"/>
  <c r="AB188" i="4"/>
  <c r="AB146" i="4"/>
  <c r="M146" i="4"/>
  <c r="AA146" i="4" s="1"/>
  <c r="M185" i="4"/>
  <c r="AA185" i="4" s="1"/>
  <c r="M73" i="4" l="1"/>
  <c r="AA73" i="4" s="1"/>
  <c r="AF158" i="4"/>
  <c r="AG158" i="4" s="1"/>
  <c r="AS158" i="4" s="1"/>
  <c r="L100" i="4"/>
  <c r="M100" i="4" s="1"/>
  <c r="AA100" i="4" s="1"/>
  <c r="R100" i="4"/>
  <c r="S100" i="4" s="1"/>
  <c r="T100" i="4" s="1"/>
  <c r="K10" i="4"/>
  <c r="Z10" i="4" s="1"/>
  <c r="X100" i="4"/>
  <c r="Y100" i="4" s="1"/>
  <c r="AD100" i="4"/>
  <c r="AE100" i="4" s="1"/>
  <c r="Z192" i="4"/>
  <c r="Z101" i="4"/>
  <c r="AB51" i="4"/>
  <c r="M51" i="4"/>
  <c r="AA51" i="4" s="1"/>
  <c r="N125" i="4"/>
  <c r="O125" i="4" s="1"/>
  <c r="Q125" i="4" s="1"/>
  <c r="R125" i="4"/>
  <c r="S125" i="4" s="1"/>
  <c r="T125" i="4" s="1"/>
  <c r="L125" i="4"/>
  <c r="AB89" i="4"/>
  <c r="M134" i="4"/>
  <c r="AA134" i="4" s="1"/>
  <c r="AF196" i="4"/>
  <c r="AG34" i="4"/>
  <c r="AS34" i="4" s="1"/>
  <c r="AF116" i="4"/>
  <c r="AG116" i="4" s="1"/>
  <c r="AS116" i="4" s="1"/>
  <c r="Z116" i="4"/>
  <c r="E68" i="1"/>
  <c r="B135" i="2" s="1"/>
  <c r="B136" i="2" s="1"/>
  <c r="E3" i="8" s="1"/>
  <c r="AB116" i="4"/>
  <c r="AF65" i="4"/>
  <c r="AG65" i="4" s="1"/>
  <c r="Z107" i="4"/>
  <c r="U167" i="4"/>
  <c r="V167" i="4" s="1"/>
  <c r="W167" i="4" s="1"/>
  <c r="K167" i="4"/>
  <c r="R167" i="4"/>
  <c r="S167" i="4" s="1"/>
  <c r="T167" i="4" s="1"/>
  <c r="L167" i="4"/>
  <c r="N167" i="4"/>
  <c r="O167" i="4" s="1"/>
  <c r="Q167" i="4" s="1"/>
  <c r="AB161" i="4"/>
  <c r="Z137" i="4"/>
  <c r="X125" i="4"/>
  <c r="Y125" i="4" s="1"/>
  <c r="AG204" i="4"/>
  <c r="AS204" i="4" s="1"/>
  <c r="AF162" i="4"/>
  <c r="AF123" i="4"/>
  <c r="AG123" i="4" s="1"/>
  <c r="AS123" i="4" s="1"/>
  <c r="Z171" i="4"/>
  <c r="AG201" i="4"/>
  <c r="AS201" i="4" s="1"/>
  <c r="X198" i="4"/>
  <c r="Y198" i="4" s="1"/>
  <c r="K125" i="4"/>
  <c r="AD125" i="4"/>
  <c r="AE125" i="4" s="1"/>
  <c r="AD167" i="4"/>
  <c r="AE167" i="4" s="1"/>
  <c r="M154" i="4"/>
  <c r="AA154" i="4" s="1"/>
  <c r="M171" i="4"/>
  <c r="AA171" i="4" s="1"/>
  <c r="Z88" i="4"/>
  <c r="X167" i="4"/>
  <c r="Y167" i="4" s="1"/>
  <c r="U125" i="4"/>
  <c r="V125" i="4" s="1"/>
  <c r="W125" i="4" s="1"/>
  <c r="AF101" i="4"/>
  <c r="AG101" i="4" s="1"/>
  <c r="AS101" i="4" s="1"/>
  <c r="AB101" i="4"/>
  <c r="AC101" i="4" s="1"/>
  <c r="U133" i="4"/>
  <c r="V133" i="4" s="1"/>
  <c r="W133" i="4" s="1"/>
  <c r="K133" i="4"/>
  <c r="Z33" i="4"/>
  <c r="Z121" i="4"/>
  <c r="AB179" i="4"/>
  <c r="M121" i="4"/>
  <c r="AA121" i="4" s="1"/>
  <c r="AF73" i="4"/>
  <c r="AG73" i="4" s="1"/>
  <c r="AS73" i="4" s="1"/>
  <c r="M56" i="4"/>
  <c r="AA56" i="4" s="1"/>
  <c r="AC56" i="4" s="1"/>
  <c r="N96" i="4"/>
  <c r="O96" i="4" s="1"/>
  <c r="Q96" i="4" s="1"/>
  <c r="Z64" i="4"/>
  <c r="AF56" i="4"/>
  <c r="E67" i="1"/>
  <c r="AF181" i="4"/>
  <c r="AG181" i="4" s="1"/>
  <c r="AS181" i="4" s="1"/>
  <c r="R96" i="4"/>
  <c r="S96" i="4" s="1"/>
  <c r="T96" i="4" s="1"/>
  <c r="Z163" i="4"/>
  <c r="AB154" i="4"/>
  <c r="AF68" i="4"/>
  <c r="AG68" i="4" s="1"/>
  <c r="AS68" i="4" s="1"/>
  <c r="Z180" i="4"/>
  <c r="AB169" i="4"/>
  <c r="AF192" i="4"/>
  <c r="L133" i="4"/>
  <c r="AB133" i="4" s="1"/>
  <c r="AB65" i="4"/>
  <c r="AF104" i="4"/>
  <c r="AG104" i="4" s="1"/>
  <c r="AS104" i="4" s="1"/>
  <c r="AB209" i="4"/>
  <c r="AC209" i="4" s="1"/>
  <c r="AR209" i="4" s="1"/>
  <c r="AF91" i="4"/>
  <c r="AG91" i="4" s="1"/>
  <c r="AS91" i="4" s="1"/>
  <c r="AD96" i="4"/>
  <c r="AE96" i="4" s="1"/>
  <c r="R133" i="4"/>
  <c r="S133" i="4" s="1"/>
  <c r="T133" i="4" s="1"/>
  <c r="M209" i="4"/>
  <c r="AA209" i="4" s="1"/>
  <c r="U96" i="4"/>
  <c r="V96" i="4" s="1"/>
  <c r="W96" i="4" s="1"/>
  <c r="AF137" i="4"/>
  <c r="AG137" i="4" s="1"/>
  <c r="AS137" i="4" s="1"/>
  <c r="L96" i="4"/>
  <c r="AB96" i="4" s="1"/>
  <c r="AF37" i="4"/>
  <c r="AG37" i="4" s="1"/>
  <c r="AS37" i="4" s="1"/>
  <c r="AC64" i="4"/>
  <c r="AR64" i="4" s="1"/>
  <c r="Z172" i="4"/>
  <c r="AF209" i="4"/>
  <c r="AG209" i="4" s="1"/>
  <c r="AS209" i="4" s="1"/>
  <c r="AB172" i="4"/>
  <c r="AD133" i="4"/>
  <c r="AE133" i="4" s="1"/>
  <c r="Z98" i="4"/>
  <c r="Z191" i="4"/>
  <c r="AC191" i="4" s="1"/>
  <c r="Z154" i="4"/>
  <c r="AG48" i="4"/>
  <c r="AS48" i="4" s="1"/>
  <c r="X96" i="4"/>
  <c r="Y96" i="4" s="1"/>
  <c r="X133" i="4"/>
  <c r="Y133" i="4" s="1"/>
  <c r="M158" i="4"/>
  <c r="AA158" i="4" s="1"/>
  <c r="Z104" i="4"/>
  <c r="M35" i="4"/>
  <c r="AA35" i="4" s="1"/>
  <c r="L206" i="4"/>
  <c r="Z123" i="4"/>
  <c r="AB100" i="4"/>
  <c r="X151" i="4"/>
  <c r="Y151" i="4" s="1"/>
  <c r="R206" i="4"/>
  <c r="S206" i="4" s="1"/>
  <c r="T206" i="4" s="1"/>
  <c r="N100" i="4"/>
  <c r="O100" i="4" s="1"/>
  <c r="Q100" i="4" s="1"/>
  <c r="AF180" i="4"/>
  <c r="AG180" i="4" s="1"/>
  <c r="AS180" i="4" s="1"/>
  <c r="AF136" i="4"/>
  <c r="AG136" i="4" s="1"/>
  <c r="AS136" i="4" s="1"/>
  <c r="Z158" i="4"/>
  <c r="AC158" i="4" s="1"/>
  <c r="AR158" i="4" s="1"/>
  <c r="K151" i="4"/>
  <c r="AF151" i="4" s="1"/>
  <c r="AG151" i="4" s="1"/>
  <c r="AS151" i="4" s="1"/>
  <c r="Z188" i="4"/>
  <c r="AC188" i="4" s="1"/>
  <c r="AB149" i="4"/>
  <c r="AG192" i="4"/>
  <c r="AS192" i="4" s="1"/>
  <c r="AB163" i="4"/>
  <c r="AF44" i="4"/>
  <c r="AG44" i="4" s="1"/>
  <c r="AS44" i="4" s="1"/>
  <c r="AF107" i="4"/>
  <c r="AG107" i="4" s="1"/>
  <c r="AS107" i="4" s="1"/>
  <c r="M123" i="4"/>
  <c r="AA123" i="4" s="1"/>
  <c r="AG171" i="4"/>
  <c r="AS171" i="4" s="1"/>
  <c r="M26" i="4"/>
  <c r="AA26" i="4" s="1"/>
  <c r="M175" i="4"/>
  <c r="AA175" i="4" s="1"/>
  <c r="Z182" i="4"/>
  <c r="Z69" i="4"/>
  <c r="Z91" i="4"/>
  <c r="AC91" i="4" s="1"/>
  <c r="AB44" i="4"/>
  <c r="Z141" i="4"/>
  <c r="K206" i="4"/>
  <c r="Z26" i="4"/>
  <c r="L178" i="4"/>
  <c r="AB178" i="4" s="1"/>
  <c r="R178" i="4"/>
  <c r="S178" i="4" s="1"/>
  <c r="T178" i="4" s="1"/>
  <c r="U100" i="4"/>
  <c r="V100" i="4" s="1"/>
  <c r="W100" i="4" s="1"/>
  <c r="U126" i="4"/>
  <c r="V126" i="4" s="1"/>
  <c r="W126" i="4" s="1"/>
  <c r="AF67" i="4"/>
  <c r="AG67" i="4" s="1"/>
  <c r="AS67" i="4" s="1"/>
  <c r="AG144" i="4"/>
  <c r="AS144" i="4" s="1"/>
  <c r="U178" i="4"/>
  <c r="V178" i="4" s="1"/>
  <c r="W178" i="4" s="1"/>
  <c r="AF188" i="4"/>
  <c r="AG188" i="4" s="1"/>
  <c r="AS188" i="4" s="1"/>
  <c r="U151" i="4"/>
  <c r="V151" i="4" s="1"/>
  <c r="W151" i="4" s="1"/>
  <c r="AG154" i="4"/>
  <c r="AS154" i="4" s="1"/>
  <c r="AF172" i="4"/>
  <c r="AG172" i="4" s="1"/>
  <c r="AS172" i="4" s="1"/>
  <c r="AF88" i="4"/>
  <c r="AG88" i="4" s="1"/>
  <c r="AS88" i="4" s="1"/>
  <c r="AF26" i="4"/>
  <c r="AG26" i="4" s="1"/>
  <c r="AS26" i="4" s="1"/>
  <c r="AB104" i="4"/>
  <c r="AF121" i="4"/>
  <c r="AG121" i="4" s="1"/>
  <c r="AS121" i="4" s="1"/>
  <c r="AF191" i="4"/>
  <c r="AG191" i="4" s="1"/>
  <c r="AS191" i="4" s="1"/>
  <c r="AF69" i="4"/>
  <c r="AG69" i="4" s="1"/>
  <c r="AS69" i="4" s="1"/>
  <c r="M112" i="4"/>
  <c r="AA112" i="4" s="1"/>
  <c r="M107" i="4"/>
  <c r="AA107" i="4" s="1"/>
  <c r="U206" i="4"/>
  <c r="V206" i="4" s="1"/>
  <c r="W206" i="4" s="1"/>
  <c r="AD206" i="4"/>
  <c r="AE206" i="4" s="1"/>
  <c r="AB35" i="4"/>
  <c r="X178" i="4"/>
  <c r="Y178" i="4" s="1"/>
  <c r="AF148" i="4"/>
  <c r="AG148" i="4" s="1"/>
  <c r="AS148" i="4" s="1"/>
  <c r="AB189" i="4"/>
  <c r="AF38" i="4"/>
  <c r="AG38" i="4" s="1"/>
  <c r="AS38" i="4" s="1"/>
  <c r="N151" i="4"/>
  <c r="O151" i="4" s="1"/>
  <c r="Q151" i="4" s="1"/>
  <c r="AD178" i="4"/>
  <c r="AE178" i="4" s="1"/>
  <c r="AG153" i="4"/>
  <c r="AS153" i="4" s="1"/>
  <c r="L126" i="4"/>
  <c r="Z126" i="4" s="1"/>
  <c r="J147" i="4"/>
  <c r="J140" i="4"/>
  <c r="R70" i="4"/>
  <c r="S70" i="4" s="1"/>
  <c r="T70" i="4" s="1"/>
  <c r="A683" i="3"/>
  <c r="J199" i="4"/>
  <c r="X199" i="4" s="1"/>
  <c r="Y199" i="4" s="1"/>
  <c r="B147" i="2"/>
  <c r="G16" i="3" s="1"/>
  <c r="H16" i="3" s="1"/>
  <c r="BN16" i="3" s="1"/>
  <c r="B125" i="2"/>
  <c r="R198" i="4"/>
  <c r="S198" i="4" s="1"/>
  <c r="T198" i="4" s="1"/>
  <c r="K198" i="4"/>
  <c r="L198" i="4"/>
  <c r="N198" i="4"/>
  <c r="O198" i="4" s="1"/>
  <c r="Q198" i="4" s="1"/>
  <c r="X70" i="4"/>
  <c r="Y70" i="4" s="1"/>
  <c r="AD70" i="4"/>
  <c r="AE70" i="4" s="1"/>
  <c r="AG70" i="4" s="1"/>
  <c r="AS70" i="4" s="1"/>
  <c r="AD198" i="4"/>
  <c r="AE198" i="4" s="1"/>
  <c r="Z187" i="4"/>
  <c r="AC187" i="4" s="1"/>
  <c r="AR187" i="4" s="1"/>
  <c r="U132" i="4"/>
  <c r="V132" i="4" s="1"/>
  <c r="W132" i="4" s="1"/>
  <c r="AG31" i="4"/>
  <c r="AS31" i="4" s="1"/>
  <c r="Z175" i="4"/>
  <c r="Z74" i="4"/>
  <c r="U193" i="4"/>
  <c r="V193" i="4" s="1"/>
  <c r="W193" i="4" s="1"/>
  <c r="Z28" i="4"/>
  <c r="AC28" i="4" s="1"/>
  <c r="X132" i="4"/>
  <c r="Y132" i="4" s="1"/>
  <c r="X193" i="4"/>
  <c r="Y193" i="4" s="1"/>
  <c r="A72" i="8"/>
  <c r="A86" i="8"/>
  <c r="A99" i="8"/>
  <c r="L195" i="4"/>
  <c r="R195" i="4"/>
  <c r="S195" i="4" s="1"/>
  <c r="T195" i="4" s="1"/>
  <c r="A114" i="8"/>
  <c r="A91" i="8"/>
  <c r="K195" i="4"/>
  <c r="J81" i="4"/>
  <c r="X81" i="4" s="1"/>
  <c r="Y81" i="4" s="1"/>
  <c r="AF118" i="4"/>
  <c r="AG118" i="4" s="1"/>
  <c r="AS118" i="4" s="1"/>
  <c r="A106" i="8"/>
  <c r="A101" i="8"/>
  <c r="X155" i="4"/>
  <c r="Y155" i="4" s="1"/>
  <c r="K155" i="4"/>
  <c r="L155" i="4"/>
  <c r="N155" i="4"/>
  <c r="O155" i="4" s="1"/>
  <c r="Q155" i="4" s="1"/>
  <c r="AQ38" i="3"/>
  <c r="A39" i="3"/>
  <c r="B38" i="3"/>
  <c r="AR38" i="3"/>
  <c r="D38" i="3"/>
  <c r="C38" i="3"/>
  <c r="M65" i="4"/>
  <c r="AA65" i="4" s="1"/>
  <c r="Z65" i="4"/>
  <c r="A76" i="8"/>
  <c r="L193" i="4"/>
  <c r="R193" i="4"/>
  <c r="S193" i="4" s="1"/>
  <c r="T193" i="4" s="1"/>
  <c r="U155" i="4"/>
  <c r="V155" i="4" s="1"/>
  <c r="W155" i="4" s="1"/>
  <c r="Z179" i="4"/>
  <c r="AC179" i="4" s="1"/>
  <c r="J27" i="4"/>
  <c r="U27" i="4" s="1"/>
  <c r="V27" i="4" s="1"/>
  <c r="W27" i="4" s="1"/>
  <c r="Z83" i="4"/>
  <c r="A107" i="8"/>
  <c r="A81" i="8"/>
  <c r="AD155" i="4"/>
  <c r="AE155" i="4" s="1"/>
  <c r="A97" i="8"/>
  <c r="A104" i="8"/>
  <c r="K161" i="4"/>
  <c r="R161" i="4"/>
  <c r="S161" i="4" s="1"/>
  <c r="T161" i="4" s="1"/>
  <c r="F17" i="3"/>
  <c r="BM17" i="3" s="1"/>
  <c r="Z55" i="4"/>
  <c r="AC55" i="4" s="1"/>
  <c r="AF55" i="4"/>
  <c r="R127" i="4"/>
  <c r="S127" i="4" s="1"/>
  <c r="T127" i="4" s="1"/>
  <c r="L127" i="4"/>
  <c r="N127" i="4"/>
  <c r="O127" i="4" s="1"/>
  <c r="Q127" i="4" s="1"/>
  <c r="K127" i="4"/>
  <c r="AF174" i="4"/>
  <c r="AG174" i="4" s="1"/>
  <c r="AS174" i="4" s="1"/>
  <c r="AG196" i="4"/>
  <c r="AS196" i="4" s="1"/>
  <c r="AD127" i="4"/>
  <c r="AE127" i="4" s="1"/>
  <c r="AB174" i="4"/>
  <c r="Z201" i="4"/>
  <c r="AC201" i="4" s="1"/>
  <c r="AR201" i="4" s="1"/>
  <c r="Z174" i="4"/>
  <c r="U127" i="4"/>
  <c r="V127" i="4" s="1"/>
  <c r="W127" i="4" s="1"/>
  <c r="AB164" i="4"/>
  <c r="X127" i="4"/>
  <c r="Y127" i="4" s="1"/>
  <c r="M208" i="4"/>
  <c r="AA208" i="4" s="1"/>
  <c r="AF130" i="4"/>
  <c r="Z208" i="4"/>
  <c r="AF179" i="4"/>
  <c r="AG179" i="4" s="1"/>
  <c r="AS179" i="4" s="1"/>
  <c r="R132" i="4"/>
  <c r="S132" i="4" s="1"/>
  <c r="T132" i="4" s="1"/>
  <c r="L132" i="4"/>
  <c r="K132" i="4"/>
  <c r="N132" i="4"/>
  <c r="O132" i="4" s="1"/>
  <c r="Q132" i="4" s="1"/>
  <c r="Z31" i="4"/>
  <c r="AF208" i="4"/>
  <c r="AG208" i="4" s="1"/>
  <c r="AS208" i="4" s="1"/>
  <c r="AF194" i="4"/>
  <c r="AG194" i="4" s="1"/>
  <c r="AS194" i="4" s="1"/>
  <c r="AF169" i="4"/>
  <c r="AG169" i="4" s="1"/>
  <c r="AS169" i="4" s="1"/>
  <c r="X61" i="4"/>
  <c r="Y61" i="4" s="1"/>
  <c r="M31" i="4"/>
  <c r="AA31" i="4" s="1"/>
  <c r="Z194" i="4"/>
  <c r="AF185" i="4"/>
  <c r="AG185" i="4" s="1"/>
  <c r="AS185" i="4" s="1"/>
  <c r="AF120" i="4"/>
  <c r="AG120" i="4" s="1"/>
  <c r="AS120" i="4" s="1"/>
  <c r="AB194" i="4"/>
  <c r="R14" i="8"/>
  <c r="E28" i="1"/>
  <c r="AB31" i="4"/>
  <c r="AF189" i="4"/>
  <c r="AG189" i="4" s="1"/>
  <c r="AS189" i="4" s="1"/>
  <c r="AF82" i="4"/>
  <c r="AG82" i="4" s="1"/>
  <c r="AS82" i="4" s="1"/>
  <c r="AF197" i="4"/>
  <c r="AG197" i="4" s="1"/>
  <c r="AS197" i="4" s="1"/>
  <c r="Z105" i="4"/>
  <c r="M57" i="4"/>
  <c r="AA57" i="4" s="1"/>
  <c r="AB105" i="4"/>
  <c r="AB57" i="4"/>
  <c r="AF57" i="4"/>
  <c r="AG57" i="4" s="1"/>
  <c r="AS57" i="4" s="1"/>
  <c r="AG139" i="4"/>
  <c r="AS139" i="4" s="1"/>
  <c r="AF163" i="4"/>
  <c r="AG163" i="4" s="1"/>
  <c r="AS163" i="4" s="1"/>
  <c r="N195" i="4"/>
  <c r="O195" i="4" s="1"/>
  <c r="Q195" i="4" s="1"/>
  <c r="X195" i="4"/>
  <c r="Y195" i="4" s="1"/>
  <c r="AD195" i="4"/>
  <c r="AE195" i="4" s="1"/>
  <c r="Z87" i="4"/>
  <c r="Z185" i="4"/>
  <c r="M162" i="4"/>
  <c r="AA162" i="4" s="1"/>
  <c r="AF156" i="4"/>
  <c r="AG156" i="4" s="1"/>
  <c r="AS156" i="4" s="1"/>
  <c r="AF50" i="4"/>
  <c r="AG50" i="4" s="1"/>
  <c r="AS50" i="4" s="1"/>
  <c r="AC130" i="4"/>
  <c r="AR130" i="4" s="1"/>
  <c r="AB162" i="4"/>
  <c r="M156" i="4"/>
  <c r="AA156" i="4" s="1"/>
  <c r="AB156" i="4"/>
  <c r="AB69" i="4"/>
  <c r="Z118" i="4"/>
  <c r="AC118" i="4" s="1"/>
  <c r="AB37" i="4"/>
  <c r="Z38" i="4"/>
  <c r="Z120" i="4"/>
  <c r="AC120" i="4" s="1"/>
  <c r="AR120" i="4" s="1"/>
  <c r="Z159" i="4"/>
  <c r="AC159" i="4" s="1"/>
  <c r="AR159" i="4" s="1"/>
  <c r="Z122" i="4"/>
  <c r="M37" i="4"/>
  <c r="AA37" i="4" s="1"/>
  <c r="M142" i="4"/>
  <c r="AA142" i="4" s="1"/>
  <c r="AG130" i="4"/>
  <c r="AS130" i="4" s="1"/>
  <c r="AF202" i="4"/>
  <c r="AG202" i="4" s="1"/>
  <c r="AS202" i="4" s="1"/>
  <c r="AB122" i="4"/>
  <c r="AB142" i="4"/>
  <c r="Z73" i="4"/>
  <c r="AC73" i="4" s="1"/>
  <c r="AF122" i="4"/>
  <c r="AG122" i="4" s="1"/>
  <c r="AS122" i="4" s="1"/>
  <c r="Z189" i="4"/>
  <c r="AF142" i="4"/>
  <c r="AG142" i="4" s="1"/>
  <c r="AS142" i="4" s="1"/>
  <c r="AF112" i="4"/>
  <c r="AG112" i="4" s="1"/>
  <c r="AS112" i="4" s="1"/>
  <c r="M143" i="4"/>
  <c r="AA143" i="4" s="1"/>
  <c r="AG79" i="4"/>
  <c r="AS79" i="4" s="1"/>
  <c r="Z178" i="4"/>
  <c r="AG42" i="4"/>
  <c r="AS42" i="4" s="1"/>
  <c r="AG63" i="4"/>
  <c r="AS63" i="4" s="1"/>
  <c r="AF175" i="4"/>
  <c r="AG175" i="4" s="1"/>
  <c r="AS175" i="4" s="1"/>
  <c r="Z169" i="4"/>
  <c r="AC169" i="4" s="1"/>
  <c r="AR169" i="4" s="1"/>
  <c r="M133" i="4"/>
  <c r="AA133" i="4" s="1"/>
  <c r="AG105" i="4"/>
  <c r="AS105" i="4" s="1"/>
  <c r="R61" i="4"/>
  <c r="S61" i="4" s="1"/>
  <c r="T61" i="4" s="1"/>
  <c r="AF145" i="4"/>
  <c r="AG145" i="4" s="1"/>
  <c r="AS145" i="4" s="1"/>
  <c r="AF143" i="4"/>
  <c r="AG143" i="4" s="1"/>
  <c r="AS143" i="4" s="1"/>
  <c r="AF187" i="4"/>
  <c r="AG187" i="4" s="1"/>
  <c r="AS187" i="4" s="1"/>
  <c r="Z134" i="4"/>
  <c r="AF205" i="4"/>
  <c r="AG205" i="4" s="1"/>
  <c r="AS205" i="4" s="1"/>
  <c r="AS65" i="4"/>
  <c r="M79" i="4"/>
  <c r="AA79" i="4" s="1"/>
  <c r="M50" i="4"/>
  <c r="AA50" i="4" s="1"/>
  <c r="AC50" i="4" s="1"/>
  <c r="AF80" i="4"/>
  <c r="AG80" i="4" s="1"/>
  <c r="AS80" i="4" s="1"/>
  <c r="Z79" i="4"/>
  <c r="M82" i="4"/>
  <c r="AA82" i="4" s="1"/>
  <c r="Z76" i="4"/>
  <c r="AC76" i="4" s="1"/>
  <c r="Z80" i="4"/>
  <c r="Z139" i="4"/>
  <c r="AC139" i="4" s="1"/>
  <c r="Z82" i="4"/>
  <c r="AF76" i="4"/>
  <c r="AG76" i="4" s="1"/>
  <c r="AS76" i="4" s="1"/>
  <c r="Z85" i="4"/>
  <c r="AF146" i="4"/>
  <c r="AG146" i="4" s="1"/>
  <c r="AS146" i="4" s="1"/>
  <c r="AG119" i="4"/>
  <c r="AS119" i="4" s="1"/>
  <c r="AB66" i="4"/>
  <c r="AB82" i="4"/>
  <c r="AB76" i="4"/>
  <c r="Z112" i="4"/>
  <c r="Z42" i="4"/>
  <c r="AC42" i="4" s="1"/>
  <c r="Z66" i="4"/>
  <c r="AF20" i="4"/>
  <c r="AG20" i="4" s="1"/>
  <c r="AS20" i="4" s="1"/>
  <c r="Z114" i="4"/>
  <c r="Z30" i="4"/>
  <c r="AF66" i="4"/>
  <c r="AG66" i="4" s="1"/>
  <c r="AS66" i="4" s="1"/>
  <c r="AB141" i="4"/>
  <c r="Z37" i="4"/>
  <c r="M80" i="4"/>
  <c r="AA80" i="4" s="1"/>
  <c r="AB114" i="4"/>
  <c r="AF168" i="4"/>
  <c r="AG168" i="4" s="1"/>
  <c r="AS168" i="4" s="1"/>
  <c r="AB30" i="4"/>
  <c r="AF10" i="4"/>
  <c r="AG10" i="4" s="1"/>
  <c r="AS10" i="4" s="1"/>
  <c r="M141" i="4"/>
  <c r="AA141" i="4" s="1"/>
  <c r="Z100" i="4"/>
  <c r="AF114" i="4"/>
  <c r="AG114" i="4" s="1"/>
  <c r="AS114" i="4" s="1"/>
  <c r="Z168" i="4"/>
  <c r="AF30" i="4"/>
  <c r="AG30" i="4" s="1"/>
  <c r="AS30" i="4" s="1"/>
  <c r="AF100" i="4"/>
  <c r="AG100" i="4" s="1"/>
  <c r="AS100" i="4" s="1"/>
  <c r="AB79" i="4"/>
  <c r="Z63" i="4"/>
  <c r="AC63" i="4" s="1"/>
  <c r="AG162" i="4"/>
  <c r="AS162" i="4" s="1"/>
  <c r="M164" i="4"/>
  <c r="AA164" i="4" s="1"/>
  <c r="AB56" i="4"/>
  <c r="Z68" i="4"/>
  <c r="AC68" i="4" s="1"/>
  <c r="AR68" i="4" s="1"/>
  <c r="M135" i="4"/>
  <c r="AA135" i="4" s="1"/>
  <c r="Z152" i="4"/>
  <c r="N61" i="4"/>
  <c r="O61" i="4" s="1"/>
  <c r="Q61" i="4" s="1"/>
  <c r="U61" i="4"/>
  <c r="V61" i="4" s="1"/>
  <c r="W61" i="4" s="1"/>
  <c r="L61" i="4"/>
  <c r="AD61" i="4"/>
  <c r="AE61" i="4" s="1"/>
  <c r="M20" i="4"/>
  <c r="AA20" i="4" s="1"/>
  <c r="AG56" i="4"/>
  <c r="AS56" i="4" s="1"/>
  <c r="Z47" i="4"/>
  <c r="Z108" i="4"/>
  <c r="AB148" i="4"/>
  <c r="Z205" i="4"/>
  <c r="AF141" i="4"/>
  <c r="AG141" i="4" s="1"/>
  <c r="AS141" i="4" s="1"/>
  <c r="Z60" i="4"/>
  <c r="Z148" i="4"/>
  <c r="AB205" i="4"/>
  <c r="M205" i="4"/>
  <c r="AA205" i="4" s="1"/>
  <c r="Z20" i="4"/>
  <c r="AG28" i="4"/>
  <c r="AS28" i="4" s="1"/>
  <c r="Z89" i="4"/>
  <c r="AC89" i="4" s="1"/>
  <c r="AR89" i="4" s="1"/>
  <c r="Z146" i="4"/>
  <c r="AC146" i="4" s="1"/>
  <c r="AF134" i="4"/>
  <c r="AG134" i="4" s="1"/>
  <c r="AS134" i="4" s="1"/>
  <c r="Z145" i="4"/>
  <c r="AC145" i="4" s="1"/>
  <c r="AG95" i="4"/>
  <c r="AS95" i="4" s="1"/>
  <c r="Z143" i="4"/>
  <c r="AB78" i="4"/>
  <c r="Z78" i="4"/>
  <c r="AF25" i="4"/>
  <c r="AG25" i="4" s="1"/>
  <c r="AS25" i="4" s="1"/>
  <c r="AF78" i="4"/>
  <c r="AG78" i="4" s="1"/>
  <c r="AS78" i="4" s="1"/>
  <c r="M38" i="4"/>
  <c r="AA38" i="4" s="1"/>
  <c r="Z94" i="4"/>
  <c r="AG55" i="4"/>
  <c r="AS55" i="4" s="1"/>
  <c r="AC153" i="4"/>
  <c r="AR153" i="4" s="1"/>
  <c r="Z197" i="4"/>
  <c r="AC197" i="4" s="1"/>
  <c r="Z93" i="4"/>
  <c r="Z164" i="4"/>
  <c r="Z77" i="4"/>
  <c r="AB94" i="4"/>
  <c r="AF94" i="4"/>
  <c r="AG94" i="4" s="1"/>
  <c r="AS94" i="4" s="1"/>
  <c r="AF173" i="4"/>
  <c r="AG173" i="4" s="1"/>
  <c r="AS173" i="4" s="1"/>
  <c r="X109" i="4"/>
  <c r="Y109" i="4" s="1"/>
  <c r="AF157" i="4"/>
  <c r="AG157" i="4" s="1"/>
  <c r="AS157" i="4" s="1"/>
  <c r="AB157" i="4"/>
  <c r="Z157" i="4"/>
  <c r="AF149" i="4"/>
  <c r="AG149" i="4" s="1"/>
  <c r="AS149" i="4" s="1"/>
  <c r="AB177" i="4"/>
  <c r="M117" i="4"/>
  <c r="AA117" i="4" s="1"/>
  <c r="Z177" i="4"/>
  <c r="AF22" i="4"/>
  <c r="AG22" i="4" s="1"/>
  <c r="AS22" i="4" s="1"/>
  <c r="Z117" i="4"/>
  <c r="AF177" i="4"/>
  <c r="AG177" i="4" s="1"/>
  <c r="AS177" i="4" s="1"/>
  <c r="AB22" i="4"/>
  <c r="AF117" i="4"/>
  <c r="AG117" i="4" s="1"/>
  <c r="AS117" i="4" s="1"/>
  <c r="Z22" i="4"/>
  <c r="AF135" i="4"/>
  <c r="AG135" i="4" s="1"/>
  <c r="AS135" i="4" s="1"/>
  <c r="AB10" i="4"/>
  <c r="X9" i="4"/>
  <c r="Y9" i="4" s="1"/>
  <c r="M105" i="4"/>
  <c r="AA105" i="4" s="1"/>
  <c r="AD9" i="4"/>
  <c r="AE9" i="4" s="1"/>
  <c r="AB85" i="4"/>
  <c r="AF85" i="4"/>
  <c r="AG85" i="4" s="1"/>
  <c r="AS85" i="4" s="1"/>
  <c r="M85" i="4"/>
  <c r="AA85" i="4" s="1"/>
  <c r="M43" i="4"/>
  <c r="AA43" i="4" s="1"/>
  <c r="AF43" i="4"/>
  <c r="AG43" i="4" s="1"/>
  <c r="AS43" i="4" s="1"/>
  <c r="AB43" i="4"/>
  <c r="AB59" i="4"/>
  <c r="AF59" i="4"/>
  <c r="AG59" i="4" s="1"/>
  <c r="AS59" i="4" s="1"/>
  <c r="M59" i="4"/>
  <c r="AA59" i="4" s="1"/>
  <c r="M124" i="4"/>
  <c r="AA124" i="4" s="1"/>
  <c r="AB124" i="4"/>
  <c r="M207" i="4"/>
  <c r="AA207" i="4" s="1"/>
  <c r="AB207" i="4"/>
  <c r="M23" i="4"/>
  <c r="AA23" i="4" s="1"/>
  <c r="AB23" i="4"/>
  <c r="AF23" i="4"/>
  <c r="AG23" i="4" s="1"/>
  <c r="AS23" i="4" s="1"/>
  <c r="Z23" i="4"/>
  <c r="M12" i="4"/>
  <c r="AA12" i="4" s="1"/>
  <c r="Z12" i="4"/>
  <c r="AF12" i="4"/>
  <c r="AG12" i="4" s="1"/>
  <c r="AS12" i="4" s="1"/>
  <c r="AB12" i="4"/>
  <c r="M182" i="4"/>
  <c r="AA182" i="4" s="1"/>
  <c r="AB182" i="4"/>
  <c r="M60" i="4"/>
  <c r="AA60" i="4" s="1"/>
  <c r="AB60" i="4"/>
  <c r="AF60" i="4"/>
  <c r="AG60" i="4" s="1"/>
  <c r="AS60" i="4" s="1"/>
  <c r="M102" i="4"/>
  <c r="AA102" i="4" s="1"/>
  <c r="Z102" i="4"/>
  <c r="AB102" i="4"/>
  <c r="AF102" i="4"/>
  <c r="AG102" i="4" s="1"/>
  <c r="AS102" i="4" s="1"/>
  <c r="AD46" i="4"/>
  <c r="AE46" i="4" s="1"/>
  <c r="M97" i="4"/>
  <c r="AA97" i="4" s="1"/>
  <c r="AB97" i="4"/>
  <c r="M15" i="4"/>
  <c r="AA15" i="4" s="1"/>
  <c r="AB15" i="4"/>
  <c r="AF15" i="4"/>
  <c r="AG15" i="4" s="1"/>
  <c r="AS15" i="4" s="1"/>
  <c r="Z15" i="4"/>
  <c r="M180" i="4"/>
  <c r="AA180" i="4" s="1"/>
  <c r="AB180" i="4"/>
  <c r="M71" i="4"/>
  <c r="AA71" i="4" s="1"/>
  <c r="AB71" i="4"/>
  <c r="AF71" i="4"/>
  <c r="AG71" i="4" s="1"/>
  <c r="AS71" i="4" s="1"/>
  <c r="Z18" i="4"/>
  <c r="AB18" i="4"/>
  <c r="M18" i="4"/>
  <c r="AA18" i="4" s="1"/>
  <c r="AF18" i="4"/>
  <c r="AG18" i="4" s="1"/>
  <c r="AS18" i="4" s="1"/>
  <c r="Z70" i="4"/>
  <c r="M92" i="4"/>
  <c r="AA92" i="4" s="1"/>
  <c r="AB92" i="4"/>
  <c r="AF92" i="4"/>
  <c r="AG92" i="4" s="1"/>
  <c r="AS92" i="4" s="1"/>
  <c r="X113" i="4"/>
  <c r="Y113" i="4" s="1"/>
  <c r="M17" i="4"/>
  <c r="AA17" i="4" s="1"/>
  <c r="AB17" i="4"/>
  <c r="AF17" i="4"/>
  <c r="AG17" i="4" s="1"/>
  <c r="AS17" i="4" s="1"/>
  <c r="Z17" i="4"/>
  <c r="AF11" i="4"/>
  <c r="AG11" i="4" s="1"/>
  <c r="AS11" i="4" s="1"/>
  <c r="AB11" i="4"/>
  <c r="M11" i="4"/>
  <c r="AA11" i="4" s="1"/>
  <c r="Z11" i="4"/>
  <c r="M14" i="4"/>
  <c r="AA14" i="4" s="1"/>
  <c r="AF14" i="4"/>
  <c r="AG14" i="4" s="1"/>
  <c r="AS14" i="4" s="1"/>
  <c r="AB14" i="4"/>
  <c r="Z14" i="4"/>
  <c r="M16" i="4"/>
  <c r="AA16" i="4" s="1"/>
  <c r="AF16" i="4"/>
  <c r="AG16" i="4" s="1"/>
  <c r="AS16" i="4" s="1"/>
  <c r="AB16" i="4"/>
  <c r="Z16" i="4"/>
  <c r="AF124" i="4"/>
  <c r="AG124" i="4" s="1"/>
  <c r="AS124" i="4" s="1"/>
  <c r="M173" i="4"/>
  <c r="AA173" i="4" s="1"/>
  <c r="AF83" i="4"/>
  <c r="AG83" i="4" s="1"/>
  <c r="AS83" i="4" s="1"/>
  <c r="M83" i="4"/>
  <c r="AA83" i="4" s="1"/>
  <c r="AB83" i="4"/>
  <c r="M93" i="4"/>
  <c r="AA93" i="4" s="1"/>
  <c r="AB93" i="4"/>
  <c r="AF93" i="4"/>
  <c r="AG93" i="4" s="1"/>
  <c r="AS93" i="4" s="1"/>
  <c r="Z124" i="4"/>
  <c r="AB173" i="4"/>
  <c r="M137" i="4"/>
  <c r="AA137" i="4" s="1"/>
  <c r="AB137" i="4"/>
  <c r="Z62" i="4"/>
  <c r="AB62" i="4"/>
  <c r="M62" i="4"/>
  <c r="AA62" i="4" s="1"/>
  <c r="AF62" i="4"/>
  <c r="AG62" i="4" s="1"/>
  <c r="AS62" i="4" s="1"/>
  <c r="Z149" i="4"/>
  <c r="AC103" i="4"/>
  <c r="AR103" i="4" s="1"/>
  <c r="Z173" i="4"/>
  <c r="M87" i="4"/>
  <c r="AA87" i="4" s="1"/>
  <c r="AB87" i="4"/>
  <c r="AF87" i="4"/>
  <c r="AG87" i="4" s="1"/>
  <c r="AS87" i="4" s="1"/>
  <c r="M77" i="4"/>
  <c r="AA77" i="4" s="1"/>
  <c r="AF77" i="4"/>
  <c r="AG77" i="4" s="1"/>
  <c r="AS77" i="4" s="1"/>
  <c r="AB77" i="4"/>
  <c r="M98" i="4"/>
  <c r="AA98" i="4" s="1"/>
  <c r="AF98" i="4"/>
  <c r="AG98" i="4" s="1"/>
  <c r="AS98" i="4" s="1"/>
  <c r="AB98" i="4"/>
  <c r="M74" i="4"/>
  <c r="AA74" i="4" s="1"/>
  <c r="AF74" i="4"/>
  <c r="AG74" i="4" s="1"/>
  <c r="AS74" i="4" s="1"/>
  <c r="AB74" i="4"/>
  <c r="AB21" i="4"/>
  <c r="Z21" i="4"/>
  <c r="AF21" i="4"/>
  <c r="AG21" i="4" s="1"/>
  <c r="AS21" i="4" s="1"/>
  <c r="M21" i="4"/>
  <c r="AA21" i="4" s="1"/>
  <c r="M84" i="4"/>
  <c r="AA84" i="4" s="1"/>
  <c r="Z84" i="4"/>
  <c r="AF84" i="4"/>
  <c r="AG84" i="4" s="1"/>
  <c r="AS84" i="4" s="1"/>
  <c r="AB84" i="4"/>
  <c r="Z43" i="4"/>
  <c r="AF97" i="4"/>
  <c r="AG97" i="4" s="1"/>
  <c r="AS97" i="4" s="1"/>
  <c r="B59" i="2"/>
  <c r="R22" i="8" s="1"/>
  <c r="S22" i="8" s="1"/>
  <c r="B55" i="2"/>
  <c r="M128" i="4"/>
  <c r="AA128" i="4" s="1"/>
  <c r="AB128" i="4"/>
  <c r="Z128" i="4"/>
  <c r="Z160" i="4"/>
  <c r="AC160" i="4" s="1"/>
  <c r="AO160" i="4" s="1"/>
  <c r="AQ160" i="4" s="1"/>
  <c r="AU160" i="4" s="1"/>
  <c r="Z92" i="4"/>
  <c r="U24" i="4"/>
  <c r="V24" i="4" s="1"/>
  <c r="W24" i="4" s="1"/>
  <c r="M47" i="4"/>
  <c r="AA47" i="4" s="1"/>
  <c r="AB47" i="4"/>
  <c r="AF47" i="4"/>
  <c r="AG47" i="4" s="1"/>
  <c r="AS47" i="4" s="1"/>
  <c r="AB29" i="4"/>
  <c r="AF29" i="4"/>
  <c r="AG29" i="4" s="1"/>
  <c r="AS29" i="4" s="1"/>
  <c r="M29" i="4"/>
  <c r="AA29" i="4" s="1"/>
  <c r="Z29" i="4"/>
  <c r="AB75" i="4"/>
  <c r="AF75" i="4"/>
  <c r="AG75" i="4" s="1"/>
  <c r="AS75" i="4" s="1"/>
  <c r="M75" i="4"/>
  <c r="AA75" i="4" s="1"/>
  <c r="Z75" i="4"/>
  <c r="E27" i="1"/>
  <c r="D48" i="16"/>
  <c r="M108" i="4"/>
  <c r="AA108" i="4" s="1"/>
  <c r="AB108" i="4"/>
  <c r="AF108" i="4"/>
  <c r="AG108" i="4" s="1"/>
  <c r="AS108" i="4" s="1"/>
  <c r="M152" i="4"/>
  <c r="AA152" i="4" s="1"/>
  <c r="AB152" i="4"/>
  <c r="Z135" i="4"/>
  <c r="Z71" i="4"/>
  <c r="AB168" i="4"/>
  <c r="AC168" i="4" s="1"/>
  <c r="M13" i="4"/>
  <c r="AA13" i="4" s="1"/>
  <c r="AB13" i="4"/>
  <c r="AF13" i="4"/>
  <c r="AG13" i="4" s="1"/>
  <c r="AS13" i="4" s="1"/>
  <c r="Z13" i="4"/>
  <c r="Z207" i="4"/>
  <c r="AF39" i="4"/>
  <c r="AG39" i="4" s="1"/>
  <c r="AS39" i="4" s="1"/>
  <c r="Z39" i="4"/>
  <c r="M39" i="4"/>
  <c r="AA39" i="4" s="1"/>
  <c r="AB39" i="4"/>
  <c r="AF128" i="4"/>
  <c r="AG128" i="4" s="1"/>
  <c r="AS128" i="4" s="1"/>
  <c r="Z59" i="4"/>
  <c r="AD109" i="4"/>
  <c r="AE109" i="4" s="1"/>
  <c r="K115" i="4"/>
  <c r="X115" i="4"/>
  <c r="Y115" i="4" s="1"/>
  <c r="N115" i="4"/>
  <c r="O115" i="4" s="1"/>
  <c r="Q115" i="4" s="1"/>
  <c r="L115" i="4"/>
  <c r="R115" i="4"/>
  <c r="S115" i="4" s="1"/>
  <c r="T115" i="4" s="1"/>
  <c r="U115" i="4"/>
  <c r="V115" i="4" s="1"/>
  <c r="W115" i="4" s="1"/>
  <c r="K45" i="4"/>
  <c r="AD45" i="4"/>
  <c r="AE45" i="4" s="1"/>
  <c r="U45" i="4"/>
  <c r="V45" i="4" s="1"/>
  <c r="W45" i="4" s="1"/>
  <c r="N45" i="4"/>
  <c r="O45" i="4" s="1"/>
  <c r="Q45" i="4" s="1"/>
  <c r="L45" i="4"/>
  <c r="R45" i="4"/>
  <c r="S45" i="4" s="1"/>
  <c r="T45" i="4" s="1"/>
  <c r="K9" i="4"/>
  <c r="R9" i="4"/>
  <c r="S9" i="4" s="1"/>
  <c r="T9" i="4" s="1"/>
  <c r="L9" i="4"/>
  <c r="N9" i="4"/>
  <c r="O9" i="4" s="1"/>
  <c r="Q9" i="4" s="1"/>
  <c r="AC165" i="4"/>
  <c r="L111" i="4"/>
  <c r="K111" i="4"/>
  <c r="X111" i="4"/>
  <c r="Y111" i="4" s="1"/>
  <c r="N111" i="4"/>
  <c r="O111" i="4" s="1"/>
  <c r="Q111" i="4" s="1"/>
  <c r="U111" i="4"/>
  <c r="V111" i="4" s="1"/>
  <c r="W111" i="4" s="1"/>
  <c r="R111" i="4"/>
  <c r="S111" i="4" s="1"/>
  <c r="T111" i="4" s="1"/>
  <c r="AC172" i="4"/>
  <c r="K41" i="4"/>
  <c r="U41" i="4"/>
  <c r="V41" i="4" s="1"/>
  <c r="W41" i="4" s="1"/>
  <c r="R41" i="4"/>
  <c r="S41" i="4" s="1"/>
  <c r="T41" i="4" s="1"/>
  <c r="N41" i="4"/>
  <c r="O41" i="4" s="1"/>
  <c r="Q41" i="4" s="1"/>
  <c r="X41" i="4"/>
  <c r="Y41" i="4" s="1"/>
  <c r="L41" i="4"/>
  <c r="AF184" i="4"/>
  <c r="AG184" i="4" s="1"/>
  <c r="AS184" i="4" s="1"/>
  <c r="AD49" i="4"/>
  <c r="AE49" i="4" s="1"/>
  <c r="R113" i="4"/>
  <c r="S113" i="4" s="1"/>
  <c r="T113" i="4" s="1"/>
  <c r="L113" i="4"/>
  <c r="K113" i="4"/>
  <c r="N113" i="4"/>
  <c r="O113" i="4" s="1"/>
  <c r="Q113" i="4" s="1"/>
  <c r="U46" i="4"/>
  <c r="V46" i="4" s="1"/>
  <c r="W46" i="4" s="1"/>
  <c r="C225" i="2"/>
  <c r="B225" i="2" s="1"/>
  <c r="B226" i="2" s="1"/>
  <c r="C79" i="4"/>
  <c r="B79" i="4" s="1"/>
  <c r="B80" i="4" s="1"/>
  <c r="B70" i="4"/>
  <c r="X24" i="4"/>
  <c r="Y24" i="4" s="1"/>
  <c r="U113" i="4"/>
  <c r="V113" i="4" s="1"/>
  <c r="W113" i="4" s="1"/>
  <c r="K49" i="4"/>
  <c r="R49" i="4"/>
  <c r="S49" i="4" s="1"/>
  <c r="T49" i="4" s="1"/>
  <c r="L49" i="4"/>
  <c r="N49" i="4"/>
  <c r="O49" i="4" s="1"/>
  <c r="Q49" i="4" s="1"/>
  <c r="U49" i="4"/>
  <c r="V49" i="4" s="1"/>
  <c r="W49" i="4" s="1"/>
  <c r="K46" i="4"/>
  <c r="R46" i="4"/>
  <c r="S46" i="4" s="1"/>
  <c r="T46" i="4" s="1"/>
  <c r="N46" i="4"/>
  <c r="O46" i="4" s="1"/>
  <c r="Q46" i="4" s="1"/>
  <c r="L46" i="4"/>
  <c r="K24" i="4"/>
  <c r="R24" i="4"/>
  <c r="S24" i="4" s="1"/>
  <c r="T24" i="4" s="1"/>
  <c r="L24" i="4"/>
  <c r="N24" i="4"/>
  <c r="O24" i="4" s="1"/>
  <c r="Q24" i="4" s="1"/>
  <c r="AC33" i="4"/>
  <c r="AR33" i="4" s="1"/>
  <c r="K109" i="4"/>
  <c r="R109" i="4"/>
  <c r="S109" i="4" s="1"/>
  <c r="T109" i="4" s="1"/>
  <c r="L109" i="4"/>
  <c r="N109" i="4"/>
  <c r="O109" i="4" s="1"/>
  <c r="Q109" i="4" s="1"/>
  <c r="K40" i="4"/>
  <c r="R40" i="4"/>
  <c r="S40" i="4" s="1"/>
  <c r="T40" i="4" s="1"/>
  <c r="L40" i="4"/>
  <c r="N40" i="4"/>
  <c r="O40" i="4" s="1"/>
  <c r="Q40" i="4" s="1"/>
  <c r="K106" i="4"/>
  <c r="R106" i="4"/>
  <c r="S106" i="4" s="1"/>
  <c r="T106" i="4" s="1"/>
  <c r="L106" i="4"/>
  <c r="N106" i="4"/>
  <c r="O106" i="4" s="1"/>
  <c r="Q106" i="4" s="1"/>
  <c r="AD40" i="4"/>
  <c r="AE40" i="4" s="1"/>
  <c r="K53" i="4"/>
  <c r="L53" i="4"/>
  <c r="R53" i="4"/>
  <c r="S53" i="4" s="1"/>
  <c r="T53" i="4" s="1"/>
  <c r="X53" i="4"/>
  <c r="Y53" i="4" s="1"/>
  <c r="U53" i="4"/>
  <c r="V53" i="4" s="1"/>
  <c r="W53" i="4" s="1"/>
  <c r="N53" i="4"/>
  <c r="O53" i="4" s="1"/>
  <c r="Q53" i="4" s="1"/>
  <c r="U106" i="4"/>
  <c r="V106" i="4" s="1"/>
  <c r="W106" i="4" s="1"/>
  <c r="X40" i="4"/>
  <c r="Y40" i="4" s="1"/>
  <c r="AD106" i="4"/>
  <c r="AE106" i="4" s="1"/>
  <c r="AC144" i="4"/>
  <c r="AC44" i="4"/>
  <c r="AC58" i="4"/>
  <c r="AR58" i="4" s="1"/>
  <c r="AC170" i="4"/>
  <c r="AR170" i="4" s="1"/>
  <c r="AC181" i="4"/>
  <c r="AR181" i="4" s="1"/>
  <c r="AC88" i="4"/>
  <c r="AO88" i="4" s="1"/>
  <c r="AQ88" i="4" s="1"/>
  <c r="AU88" i="4" s="1"/>
  <c r="AC204" i="4"/>
  <c r="AR204" i="4" s="1"/>
  <c r="M190" i="4"/>
  <c r="AA190" i="4" s="1"/>
  <c r="AB190" i="4"/>
  <c r="Z190" i="4"/>
  <c r="AF190" i="4"/>
  <c r="AG190" i="4" s="1"/>
  <c r="AS190" i="4" s="1"/>
  <c r="M52" i="4"/>
  <c r="AA52" i="4" s="1"/>
  <c r="AB52" i="4"/>
  <c r="AF52" i="4"/>
  <c r="AG52" i="4" s="1"/>
  <c r="AS52" i="4" s="1"/>
  <c r="Z52" i="4"/>
  <c r="AC34" i="4"/>
  <c r="M36" i="4"/>
  <c r="AA36" i="4" s="1"/>
  <c r="AB36" i="4"/>
  <c r="Z36" i="4"/>
  <c r="AF36" i="4"/>
  <c r="AG36" i="4" s="1"/>
  <c r="AS36" i="4" s="1"/>
  <c r="AC48" i="4"/>
  <c r="AR48" i="4" s="1"/>
  <c r="AC184" i="4"/>
  <c r="AR184" i="4" s="1"/>
  <c r="AC131" i="4"/>
  <c r="M99" i="4"/>
  <c r="AA99" i="4" s="1"/>
  <c r="Z99" i="4"/>
  <c r="AF99" i="4"/>
  <c r="AG99" i="4" s="1"/>
  <c r="AS99" i="4" s="1"/>
  <c r="AB99" i="4"/>
  <c r="AC176" i="4"/>
  <c r="AC192" i="4"/>
  <c r="AR192" i="4" s="1"/>
  <c r="AC72" i="4"/>
  <c r="AC119" i="4"/>
  <c r="Z200" i="4"/>
  <c r="AF200" i="4"/>
  <c r="AG200" i="4" s="1"/>
  <c r="AS200" i="4" s="1"/>
  <c r="AB200" i="4"/>
  <c r="M200" i="4"/>
  <c r="AA200" i="4" s="1"/>
  <c r="AC19" i="4"/>
  <c r="M203" i="4"/>
  <c r="AA203" i="4" s="1"/>
  <c r="AF203" i="4"/>
  <c r="AG203" i="4" s="1"/>
  <c r="AS203" i="4" s="1"/>
  <c r="AB203" i="4"/>
  <c r="Z203" i="4"/>
  <c r="AC32" i="4"/>
  <c r="M202" i="4"/>
  <c r="AA202" i="4" s="1"/>
  <c r="AB202" i="4"/>
  <c r="AF90" i="4"/>
  <c r="AG90" i="4" s="1"/>
  <c r="AS90" i="4" s="1"/>
  <c r="AB90" i="4"/>
  <c r="M90" i="4"/>
  <c r="AA90" i="4" s="1"/>
  <c r="Z90" i="4"/>
  <c r="M54" i="4"/>
  <c r="AA54" i="4" s="1"/>
  <c r="Z54" i="4"/>
  <c r="AF54" i="4"/>
  <c r="AG54" i="4" s="1"/>
  <c r="AS54" i="4" s="1"/>
  <c r="AB54" i="4"/>
  <c r="AC95" i="4"/>
  <c r="AF86" i="4"/>
  <c r="AG86" i="4" s="1"/>
  <c r="AS86" i="4" s="1"/>
  <c r="AB86" i="4"/>
  <c r="M86" i="4"/>
  <c r="AA86" i="4" s="1"/>
  <c r="Z86" i="4"/>
  <c r="AC136" i="4"/>
  <c r="AR136" i="4" s="1"/>
  <c r="AC138" i="4"/>
  <c r="AC110" i="4"/>
  <c r="AC150" i="4"/>
  <c r="AC166" i="4"/>
  <c r="AC183" i="4"/>
  <c r="AC129" i="4"/>
  <c r="AC185" i="4"/>
  <c r="AC196" i="4"/>
  <c r="AC67" i="4"/>
  <c r="AC186" i="4"/>
  <c r="AC171" i="4"/>
  <c r="AC25" i="4"/>
  <c r="AC162" i="4"/>
  <c r="AC116" i="4"/>
  <c r="F35" i="3" l="1"/>
  <c r="BM35" i="3" s="1"/>
  <c r="F32" i="3"/>
  <c r="BM32" i="3" s="1"/>
  <c r="B78" i="1"/>
  <c r="G9" i="3"/>
  <c r="H9" i="3" s="1"/>
  <c r="BN9" i="3" s="1"/>
  <c r="F36" i="3"/>
  <c r="BM36" i="3" s="1"/>
  <c r="G25" i="3"/>
  <c r="H25" i="3" s="1"/>
  <c r="BN25" i="3" s="1"/>
  <c r="F31" i="3"/>
  <c r="BM31" i="3" s="1"/>
  <c r="G682" i="3"/>
  <c r="H682" i="3" s="1"/>
  <c r="G26" i="3"/>
  <c r="H26" i="3" s="1"/>
  <c r="BN26" i="3" s="1"/>
  <c r="G12" i="3"/>
  <c r="H12" i="3" s="1"/>
  <c r="BN12" i="3" s="1"/>
  <c r="G22" i="3"/>
  <c r="H22" i="3" s="1"/>
  <c r="BN22" i="3" s="1"/>
  <c r="F22" i="3"/>
  <c r="BM22" i="3" s="1"/>
  <c r="G24" i="3"/>
  <c r="H24" i="3" s="1"/>
  <c r="BN24" i="3" s="1"/>
  <c r="G19" i="3"/>
  <c r="H19" i="3" s="1"/>
  <c r="BN19" i="3" s="1"/>
  <c r="G38" i="3"/>
  <c r="H38" i="3" s="1"/>
  <c r="BN38" i="3" s="1"/>
  <c r="G18" i="3"/>
  <c r="H18" i="3" s="1"/>
  <c r="BN18" i="3" s="1"/>
  <c r="G31" i="3"/>
  <c r="H31" i="3" s="1"/>
  <c r="BN31" i="3" s="1"/>
  <c r="F10" i="3"/>
  <c r="BM10" i="3" s="1"/>
  <c r="B77" i="1"/>
  <c r="G11" i="3"/>
  <c r="H11" i="3" s="1"/>
  <c r="BN11" i="3" s="1"/>
  <c r="G32" i="3"/>
  <c r="H32" i="3" s="1"/>
  <c r="BN32" i="3" s="1"/>
  <c r="R9" i="8"/>
  <c r="S9" i="8" s="1"/>
  <c r="S30" i="8" s="1"/>
  <c r="C77" i="1" s="1"/>
  <c r="F682" i="3"/>
  <c r="F13" i="3"/>
  <c r="BM13" i="3" s="1"/>
  <c r="AC154" i="4"/>
  <c r="AC123" i="4"/>
  <c r="AC163" i="4"/>
  <c r="AR163" i="4" s="1"/>
  <c r="AC104" i="4"/>
  <c r="AC51" i="4"/>
  <c r="AO51" i="4" s="1"/>
  <c r="AQ51" i="4" s="1"/>
  <c r="AU51" i="4" s="1"/>
  <c r="AC141" i="4"/>
  <c r="AC107" i="4"/>
  <c r="AO107" i="4" s="1"/>
  <c r="AQ107" i="4" s="1"/>
  <c r="AU107" i="4" s="1"/>
  <c r="Z96" i="4"/>
  <c r="AC30" i="4"/>
  <c r="AR30" i="4" s="1"/>
  <c r="AC69" i="4"/>
  <c r="AC134" i="4"/>
  <c r="AC189" i="4"/>
  <c r="AO189" i="4" s="1"/>
  <c r="AQ189" i="4" s="1"/>
  <c r="AU189" i="4" s="1"/>
  <c r="M96" i="4"/>
  <c r="AA96" i="4" s="1"/>
  <c r="AC35" i="4"/>
  <c r="AC112" i="4"/>
  <c r="AF96" i="4"/>
  <c r="Z206" i="4"/>
  <c r="AR51" i="4"/>
  <c r="AC121" i="4"/>
  <c r="AO153" i="4"/>
  <c r="AQ153" i="4" s="1"/>
  <c r="AU153" i="4" s="1"/>
  <c r="Z133" i="4"/>
  <c r="AO130" i="4"/>
  <c r="AQ130" i="4" s="1"/>
  <c r="AU130" i="4" s="1"/>
  <c r="AC38" i="4"/>
  <c r="AF133" i="4"/>
  <c r="AG133" i="4" s="1"/>
  <c r="AS133" i="4" s="1"/>
  <c r="AF125" i="4"/>
  <c r="AG125" i="4" s="1"/>
  <c r="AS125" i="4" s="1"/>
  <c r="M125" i="4"/>
  <c r="AA125" i="4" s="1"/>
  <c r="AB125" i="4"/>
  <c r="Z125" i="4"/>
  <c r="AC208" i="4"/>
  <c r="AC174" i="4"/>
  <c r="AR174" i="4" s="1"/>
  <c r="AB167" i="4"/>
  <c r="M167" i="4"/>
  <c r="AA167" i="4" s="1"/>
  <c r="AF167" i="4"/>
  <c r="AG167" i="4" s="1"/>
  <c r="AS167" i="4" s="1"/>
  <c r="Z167" i="4"/>
  <c r="AR107" i="4"/>
  <c r="AC70" i="4"/>
  <c r="AC26" i="4"/>
  <c r="AR26" i="4" s="1"/>
  <c r="AC100" i="4"/>
  <c r="AR100" i="4" s="1"/>
  <c r="AC142" i="4"/>
  <c r="AO142" i="4" s="1"/>
  <c r="AQ142" i="4" s="1"/>
  <c r="AU142" i="4" s="1"/>
  <c r="AC175" i="4"/>
  <c r="U199" i="4"/>
  <c r="V199" i="4" s="1"/>
  <c r="W199" i="4" s="1"/>
  <c r="AG96" i="4"/>
  <c r="AS96" i="4" s="1"/>
  <c r="AO64" i="4"/>
  <c r="AQ64" i="4" s="1"/>
  <c r="AU64" i="4" s="1"/>
  <c r="AD199" i="4"/>
  <c r="AE199" i="4" s="1"/>
  <c r="AC82" i="4"/>
  <c r="AC20" i="4"/>
  <c r="AO20" i="4" s="1"/>
  <c r="AQ20" i="4" s="1"/>
  <c r="AU20" i="4" s="1"/>
  <c r="AB126" i="4"/>
  <c r="M126" i="4"/>
  <c r="AA126" i="4" s="1"/>
  <c r="Z151" i="4"/>
  <c r="AC151" i="4" s="1"/>
  <c r="AF178" i="4"/>
  <c r="AG178" i="4" s="1"/>
  <c r="AS178" i="4" s="1"/>
  <c r="AB206" i="4"/>
  <c r="M206" i="4"/>
  <c r="AA206" i="4" s="1"/>
  <c r="AO159" i="4"/>
  <c r="AQ159" i="4" s="1"/>
  <c r="AU159" i="4" s="1"/>
  <c r="AC149" i="4"/>
  <c r="AO149" i="4" s="1"/>
  <c r="AQ149" i="4" s="1"/>
  <c r="AU149" i="4" s="1"/>
  <c r="AF206" i="4"/>
  <c r="AG206" i="4" s="1"/>
  <c r="AS206" i="4" s="1"/>
  <c r="M178" i="4"/>
  <c r="AA178" i="4" s="1"/>
  <c r="AF126" i="4"/>
  <c r="AG126" i="4" s="1"/>
  <c r="AS126" i="4" s="1"/>
  <c r="F23" i="3"/>
  <c r="BM23" i="3" s="1"/>
  <c r="F25" i="3"/>
  <c r="BM25" i="3" s="1"/>
  <c r="G20" i="3"/>
  <c r="H20" i="3" s="1"/>
  <c r="BN20" i="3" s="1"/>
  <c r="G14" i="3"/>
  <c r="H14" i="3" s="1"/>
  <c r="BN14" i="3" s="1"/>
  <c r="G10" i="3"/>
  <c r="H10" i="3" s="1"/>
  <c r="BN10" i="3" s="1"/>
  <c r="G13" i="3"/>
  <c r="H13" i="3" s="1"/>
  <c r="BN13" i="3" s="1"/>
  <c r="G27" i="3"/>
  <c r="H27" i="3" s="1"/>
  <c r="BN27" i="3" s="1"/>
  <c r="G15" i="3"/>
  <c r="H15" i="3" s="1"/>
  <c r="BN15" i="3" s="1"/>
  <c r="G21" i="3"/>
  <c r="H21" i="3" s="1"/>
  <c r="BN21" i="3" s="1"/>
  <c r="F29" i="3"/>
  <c r="BM29" i="3" s="1"/>
  <c r="F28" i="3"/>
  <c r="BM28" i="3" s="1"/>
  <c r="G28" i="3"/>
  <c r="H28" i="3" s="1"/>
  <c r="BN28" i="3" s="1"/>
  <c r="G36" i="3"/>
  <c r="H36" i="3" s="1"/>
  <c r="BN36" i="3" s="1"/>
  <c r="F11" i="3"/>
  <c r="BM11" i="3" s="1"/>
  <c r="G37" i="3"/>
  <c r="H37" i="3" s="1"/>
  <c r="BN37" i="3" s="1"/>
  <c r="G17" i="3"/>
  <c r="H17" i="3" s="1"/>
  <c r="BN17" i="3" s="1"/>
  <c r="F37" i="3"/>
  <c r="BM37" i="3" s="1"/>
  <c r="F9" i="3"/>
  <c r="BM9" i="3" s="1"/>
  <c r="F21" i="3"/>
  <c r="BM21" i="3" s="1"/>
  <c r="G30" i="3"/>
  <c r="H30" i="3" s="1"/>
  <c r="BN30" i="3" s="1"/>
  <c r="F27" i="3"/>
  <c r="BM27" i="3" s="1"/>
  <c r="F33" i="3"/>
  <c r="BM33" i="3" s="1"/>
  <c r="G33" i="3"/>
  <c r="H33" i="3" s="1"/>
  <c r="BN33" i="3" s="1"/>
  <c r="F14" i="3"/>
  <c r="BM14" i="3" s="1"/>
  <c r="G35" i="3"/>
  <c r="H35" i="3" s="1"/>
  <c r="BN35" i="3" s="1"/>
  <c r="F24" i="3"/>
  <c r="BM24" i="3" s="1"/>
  <c r="G29" i="3"/>
  <c r="H29" i="3" s="1"/>
  <c r="BN29" i="3" s="1"/>
  <c r="G23" i="3"/>
  <c r="H23" i="3" s="1"/>
  <c r="BN23" i="3" s="1"/>
  <c r="F30" i="3"/>
  <c r="BM30" i="3" s="1"/>
  <c r="F15" i="3"/>
  <c r="BM15" i="3" s="1"/>
  <c r="F18" i="3"/>
  <c r="BM18" i="3" s="1"/>
  <c r="F20" i="3"/>
  <c r="BM20" i="3" s="1"/>
  <c r="F26" i="3"/>
  <c r="BM26" i="3" s="1"/>
  <c r="F12" i="3"/>
  <c r="BM12" i="3" s="1"/>
  <c r="G34" i="3"/>
  <c r="H34" i="3" s="1"/>
  <c r="BN34" i="3" s="1"/>
  <c r="F34" i="3"/>
  <c r="BM34" i="3" s="1"/>
  <c r="F16" i="3"/>
  <c r="BM16" i="3" s="1"/>
  <c r="R140" i="4"/>
  <c r="S140" i="4" s="1"/>
  <c r="T140" i="4" s="1"/>
  <c r="L140" i="4"/>
  <c r="K140" i="4"/>
  <c r="X140" i="4"/>
  <c r="Y140" i="4" s="1"/>
  <c r="N140" i="4"/>
  <c r="O140" i="4" s="1"/>
  <c r="Q140" i="4" s="1"/>
  <c r="AD140" i="4"/>
  <c r="AE140" i="4" s="1"/>
  <c r="E62" i="1"/>
  <c r="B132" i="2"/>
  <c r="U140" i="4"/>
  <c r="V140" i="4" s="1"/>
  <c r="W140" i="4" s="1"/>
  <c r="R147" i="4"/>
  <c r="S147" i="4" s="1"/>
  <c r="T147" i="4" s="1"/>
  <c r="K147" i="4"/>
  <c r="N147" i="4"/>
  <c r="O147" i="4" s="1"/>
  <c r="Q147" i="4" s="1"/>
  <c r="L147" i="4"/>
  <c r="F38" i="3"/>
  <c r="BM38" i="3" s="1"/>
  <c r="AB198" i="4"/>
  <c r="M198" i="4"/>
  <c r="AA198" i="4" s="1"/>
  <c r="AF198" i="4"/>
  <c r="AG198" i="4" s="1"/>
  <c r="AS198" i="4" s="1"/>
  <c r="Z198" i="4"/>
  <c r="U147" i="4"/>
  <c r="V147" i="4" s="1"/>
  <c r="W147" i="4" s="1"/>
  <c r="N199" i="4"/>
  <c r="O199" i="4" s="1"/>
  <c r="Q199" i="4" s="1"/>
  <c r="K199" i="4"/>
  <c r="L199" i="4"/>
  <c r="R199" i="4"/>
  <c r="S199" i="4" s="1"/>
  <c r="T199" i="4" s="1"/>
  <c r="AD147" i="4"/>
  <c r="AE147" i="4" s="1"/>
  <c r="AC79" i="4"/>
  <c r="AR79" i="4" s="1"/>
  <c r="F19" i="3"/>
  <c r="BM19" i="3" s="1"/>
  <c r="AQ683" i="3"/>
  <c r="G683" i="3"/>
  <c r="H683" i="3" s="1"/>
  <c r="AR683" i="3"/>
  <c r="B683" i="3"/>
  <c r="C683" i="3"/>
  <c r="D683" i="3"/>
  <c r="F683" i="3"/>
  <c r="X147" i="4"/>
  <c r="Y147" i="4" s="1"/>
  <c r="AC57" i="4"/>
  <c r="AR57" i="4" s="1"/>
  <c r="AD27" i="4"/>
  <c r="AE27" i="4" s="1"/>
  <c r="AC65" i="4"/>
  <c r="AR65" i="4" s="1"/>
  <c r="AC194" i="4"/>
  <c r="AR194" i="4" s="1"/>
  <c r="A116" i="8"/>
  <c r="A40" i="3"/>
  <c r="AQ39" i="3"/>
  <c r="AR39" i="3"/>
  <c r="B39" i="3"/>
  <c r="D39" i="3"/>
  <c r="C39" i="3"/>
  <c r="F39" i="3"/>
  <c r="BM39" i="3" s="1"/>
  <c r="G39" i="3"/>
  <c r="H39" i="3" s="1"/>
  <c r="K81" i="4"/>
  <c r="R81" i="4"/>
  <c r="S81" i="4" s="1"/>
  <c r="T81" i="4" s="1"/>
  <c r="L81" i="4"/>
  <c r="N81" i="4"/>
  <c r="O81" i="4" s="1"/>
  <c r="Q81" i="4" s="1"/>
  <c r="AC156" i="4"/>
  <c r="AR156" i="4" s="1"/>
  <c r="Z161" i="4"/>
  <c r="AC161" i="4" s="1"/>
  <c r="AF161" i="4"/>
  <c r="AG161" i="4" s="1"/>
  <c r="AS161" i="4" s="1"/>
  <c r="A109" i="8"/>
  <c r="U81" i="4"/>
  <c r="V81" i="4" s="1"/>
  <c r="W81" i="4" s="1"/>
  <c r="A84" i="8"/>
  <c r="AC31" i="4"/>
  <c r="AR31" i="4" s="1"/>
  <c r="AB193" i="4"/>
  <c r="M193" i="4"/>
  <c r="AA193" i="4" s="1"/>
  <c r="Z193" i="4"/>
  <c r="AF193" i="4"/>
  <c r="AG193" i="4" s="1"/>
  <c r="AS193" i="4" s="1"/>
  <c r="AD81" i="4"/>
  <c r="AE81" i="4" s="1"/>
  <c r="A103" i="8"/>
  <c r="AC177" i="4"/>
  <c r="AO177" i="4" s="1"/>
  <c r="AQ177" i="4" s="1"/>
  <c r="AU177" i="4" s="1"/>
  <c r="Z155" i="4"/>
  <c r="AB155" i="4"/>
  <c r="AF155" i="4"/>
  <c r="AG155" i="4" s="1"/>
  <c r="AS155" i="4" s="1"/>
  <c r="M155" i="4"/>
  <c r="AA155" i="4" s="1"/>
  <c r="A111" i="8"/>
  <c r="A98" i="8"/>
  <c r="X27" i="4"/>
  <c r="Y27" i="4" s="1"/>
  <c r="R27" i="4"/>
  <c r="S27" i="4" s="1"/>
  <c r="T27" i="4" s="1"/>
  <c r="N27" i="4"/>
  <c r="O27" i="4" s="1"/>
  <c r="Q27" i="4" s="1"/>
  <c r="L27" i="4"/>
  <c r="K27" i="4"/>
  <c r="A88" i="8"/>
  <c r="A93" i="8"/>
  <c r="A119" i="8"/>
  <c r="A113" i="8"/>
  <c r="A118" i="8"/>
  <c r="A126" i="8"/>
  <c r="Z195" i="4"/>
  <c r="AB195" i="4"/>
  <c r="AF195" i="4"/>
  <c r="AG195" i="4" s="1"/>
  <c r="AS195" i="4" s="1"/>
  <c r="M195" i="4"/>
  <c r="AA195" i="4" s="1"/>
  <c r="AC105" i="4"/>
  <c r="AC66" i="4"/>
  <c r="AO66" i="4" s="1"/>
  <c r="AQ66" i="4" s="1"/>
  <c r="AU66" i="4" s="1"/>
  <c r="AC178" i="4"/>
  <c r="AR178" i="4" s="1"/>
  <c r="AC122" i="4"/>
  <c r="AO122" i="4" s="1"/>
  <c r="AQ122" i="4" s="1"/>
  <c r="AU122" i="4" s="1"/>
  <c r="Z132" i="4"/>
  <c r="AB132" i="4"/>
  <c r="M132" i="4"/>
  <c r="AA132" i="4" s="1"/>
  <c r="AF132" i="4"/>
  <c r="AG132" i="4" s="1"/>
  <c r="AS132" i="4" s="1"/>
  <c r="AC135" i="4"/>
  <c r="AO135" i="4" s="1"/>
  <c r="AQ135" i="4" s="1"/>
  <c r="AU135" i="4" s="1"/>
  <c r="AC78" i="4"/>
  <c r="AO78" i="4" s="1"/>
  <c r="AQ78" i="4" s="1"/>
  <c r="AU78" i="4" s="1"/>
  <c r="AC164" i="4"/>
  <c r="AR164" i="4" s="1"/>
  <c r="AC114" i="4"/>
  <c r="AR114" i="4" s="1"/>
  <c r="AC133" i="4"/>
  <c r="AR133" i="4" s="1"/>
  <c r="AC148" i="4"/>
  <c r="AR148" i="4" s="1"/>
  <c r="AC80" i="4"/>
  <c r="AR80" i="4" s="1"/>
  <c r="M127" i="4"/>
  <c r="AA127" i="4" s="1"/>
  <c r="AF127" i="4"/>
  <c r="AG127" i="4" s="1"/>
  <c r="AS127" i="4" s="1"/>
  <c r="AB127" i="4"/>
  <c r="Z127" i="4"/>
  <c r="AC94" i="4"/>
  <c r="AO94" i="4" s="1"/>
  <c r="AQ94" i="4" s="1"/>
  <c r="AU94" i="4" s="1"/>
  <c r="AC117" i="4"/>
  <c r="AR117" i="4" s="1"/>
  <c r="AO141" i="4"/>
  <c r="AQ141" i="4" s="1"/>
  <c r="AU141" i="4" s="1"/>
  <c r="Z111" i="4"/>
  <c r="AC60" i="4"/>
  <c r="AC180" i="4"/>
  <c r="AR180" i="4" s="1"/>
  <c r="AC143" i="4"/>
  <c r="AO143" i="4" s="1"/>
  <c r="AQ143" i="4" s="1"/>
  <c r="AU143" i="4" s="1"/>
  <c r="AC37" i="4"/>
  <c r="AO37" i="4" s="1"/>
  <c r="AQ37" i="4" s="1"/>
  <c r="AU37" i="4" s="1"/>
  <c r="AC157" i="4"/>
  <c r="AR157" i="4" s="1"/>
  <c r="M61" i="4"/>
  <c r="AA61" i="4" s="1"/>
  <c r="AB61" i="4"/>
  <c r="Z61" i="4"/>
  <c r="AF61" i="4"/>
  <c r="AG61" i="4" s="1"/>
  <c r="AS61" i="4" s="1"/>
  <c r="AC152" i="4"/>
  <c r="AR152" i="4" s="1"/>
  <c r="AC39" i="4"/>
  <c r="AR39" i="4" s="1"/>
  <c r="AO26" i="4"/>
  <c r="AQ26" i="4" s="1"/>
  <c r="AU26" i="4" s="1"/>
  <c r="AC205" i="4"/>
  <c r="AR205" i="4" s="1"/>
  <c r="AC10" i="4"/>
  <c r="AR10" i="4" s="1"/>
  <c r="AC93" i="4"/>
  <c r="AO93" i="4" s="1"/>
  <c r="AQ93" i="4" s="1"/>
  <c r="AU93" i="4" s="1"/>
  <c r="AO163" i="4"/>
  <c r="AQ163" i="4" s="1"/>
  <c r="AU163" i="4" s="1"/>
  <c r="AC22" i="4"/>
  <c r="AR22" i="4" s="1"/>
  <c r="AO33" i="4"/>
  <c r="AQ33" i="4" s="1"/>
  <c r="AU33" i="4" s="1"/>
  <c r="AC83" i="4"/>
  <c r="AO83" i="4" s="1"/>
  <c r="AQ83" i="4" s="1"/>
  <c r="AU83" i="4" s="1"/>
  <c r="AC173" i="4"/>
  <c r="AO173" i="4" s="1"/>
  <c r="AQ173" i="4" s="1"/>
  <c r="AU173" i="4" s="1"/>
  <c r="AC98" i="4"/>
  <c r="AR98" i="4" s="1"/>
  <c r="AC108" i="4"/>
  <c r="AR108" i="4" s="1"/>
  <c r="AO103" i="4"/>
  <c r="AQ103" i="4" s="1"/>
  <c r="AU103" i="4" s="1"/>
  <c r="AR141" i="4"/>
  <c r="AC71" i="4"/>
  <c r="AR71" i="4" s="1"/>
  <c r="AC77" i="4"/>
  <c r="AO77" i="4" s="1"/>
  <c r="AQ77" i="4" s="1"/>
  <c r="AU77" i="4" s="1"/>
  <c r="AC84" i="4"/>
  <c r="AO84" i="4" s="1"/>
  <c r="AQ84" i="4" s="1"/>
  <c r="AU84" i="4" s="1"/>
  <c r="AR160" i="4"/>
  <c r="AC124" i="4"/>
  <c r="AR124" i="4" s="1"/>
  <c r="AO169" i="4"/>
  <c r="AQ169" i="4" s="1"/>
  <c r="AU169" i="4" s="1"/>
  <c r="AC87" i="4"/>
  <c r="AR87" i="4" s="1"/>
  <c r="AC182" i="4"/>
  <c r="AR182" i="4" s="1"/>
  <c r="AC137" i="4"/>
  <c r="AO137" i="4" s="1"/>
  <c r="AQ137" i="4" s="1"/>
  <c r="AU137" i="4" s="1"/>
  <c r="AC97" i="4"/>
  <c r="AR97" i="4" s="1"/>
  <c r="AC85" i="4"/>
  <c r="AO85" i="4" s="1"/>
  <c r="AQ85" i="4" s="1"/>
  <c r="AU85" i="4" s="1"/>
  <c r="AO170" i="4"/>
  <c r="AQ170" i="4" s="1"/>
  <c r="AU170" i="4" s="1"/>
  <c r="AC47" i="4"/>
  <c r="AO47" i="4" s="1"/>
  <c r="AQ47" i="4" s="1"/>
  <c r="AU47" i="4" s="1"/>
  <c r="AC59" i="4"/>
  <c r="AO59" i="4" s="1"/>
  <c r="AQ59" i="4" s="1"/>
  <c r="AU59" i="4" s="1"/>
  <c r="AC11" i="4"/>
  <c r="AO11" i="4" s="1"/>
  <c r="AQ11" i="4" s="1"/>
  <c r="AU11" i="4" s="1"/>
  <c r="AC17" i="4"/>
  <c r="AR17" i="4" s="1"/>
  <c r="AC207" i="4"/>
  <c r="AR207" i="4" s="1"/>
  <c r="AC128" i="4"/>
  <c r="AR128" i="4" s="1"/>
  <c r="AC74" i="4"/>
  <c r="AR74" i="4" s="1"/>
  <c r="AR168" i="4"/>
  <c r="AO168" i="4"/>
  <c r="AQ168" i="4" s="1"/>
  <c r="AU168" i="4" s="1"/>
  <c r="AC12" i="4"/>
  <c r="AC21" i="4"/>
  <c r="AC13" i="4"/>
  <c r="AC18" i="4"/>
  <c r="AC75" i="4"/>
  <c r="B64" i="2"/>
  <c r="R6" i="8"/>
  <c r="S6" i="8" s="1"/>
  <c r="B56" i="2" s="1"/>
  <c r="R5" i="8"/>
  <c r="S5" i="8" s="1"/>
  <c r="AC23" i="4"/>
  <c r="B265" i="2"/>
  <c r="C265" i="2"/>
  <c r="B60" i="2"/>
  <c r="A265" i="2" s="1"/>
  <c r="AO201" i="4"/>
  <c r="AQ201" i="4" s="1"/>
  <c r="AU201" i="4" s="1"/>
  <c r="AO68" i="4"/>
  <c r="AQ68" i="4" s="1"/>
  <c r="AU68" i="4" s="1"/>
  <c r="AC62" i="4"/>
  <c r="AC102" i="4"/>
  <c r="AO89" i="4"/>
  <c r="AQ89" i="4" s="1"/>
  <c r="AU89" i="4" s="1"/>
  <c r="AC43" i="4"/>
  <c r="AC29" i="4"/>
  <c r="AC16" i="4"/>
  <c r="AC92" i="4"/>
  <c r="AR88" i="4"/>
  <c r="AC15" i="4"/>
  <c r="AO209" i="4"/>
  <c r="AQ209" i="4" s="1"/>
  <c r="AU209" i="4" s="1"/>
  <c r="B308" i="2" s="1"/>
  <c r="AC14" i="4"/>
  <c r="M46" i="4"/>
  <c r="AA46" i="4" s="1"/>
  <c r="AF46" i="4"/>
  <c r="AG46" i="4" s="1"/>
  <c r="AS46" i="4" s="1"/>
  <c r="AB46" i="4"/>
  <c r="Z46" i="4"/>
  <c r="AB45" i="4"/>
  <c r="AF45" i="4"/>
  <c r="AG45" i="4" s="1"/>
  <c r="AS45" i="4" s="1"/>
  <c r="Z45" i="4"/>
  <c r="M45" i="4"/>
  <c r="AA45" i="4" s="1"/>
  <c r="Z40" i="4"/>
  <c r="M40" i="4"/>
  <c r="AA40" i="4" s="1"/>
  <c r="AB40" i="4"/>
  <c r="AF40" i="4"/>
  <c r="AG40" i="4" s="1"/>
  <c r="AS40" i="4" s="1"/>
  <c r="AR172" i="4"/>
  <c r="AO172" i="4"/>
  <c r="AQ172" i="4" s="1"/>
  <c r="AU172" i="4" s="1"/>
  <c r="M113" i="4"/>
  <c r="AA113" i="4" s="1"/>
  <c r="AB113" i="4"/>
  <c r="AF113" i="4"/>
  <c r="AG113" i="4" s="1"/>
  <c r="AS113" i="4" s="1"/>
  <c r="Z113" i="4"/>
  <c r="AF53" i="4"/>
  <c r="AG53" i="4" s="1"/>
  <c r="AS53" i="4" s="1"/>
  <c r="Z53" i="4"/>
  <c r="AB53" i="4"/>
  <c r="M53" i="4"/>
  <c r="AA53" i="4" s="1"/>
  <c r="AB109" i="4"/>
  <c r="M109" i="4"/>
  <c r="AA109" i="4" s="1"/>
  <c r="AF109" i="4"/>
  <c r="AG109" i="4" s="1"/>
  <c r="AS109" i="4" s="1"/>
  <c r="Z109" i="4"/>
  <c r="M49" i="4"/>
  <c r="AA49" i="4" s="1"/>
  <c r="AB49" i="4"/>
  <c r="AF49" i="4"/>
  <c r="AG49" i="4" s="1"/>
  <c r="AS49" i="4" s="1"/>
  <c r="Z49" i="4"/>
  <c r="AO174" i="4"/>
  <c r="AQ174" i="4" s="1"/>
  <c r="AU174" i="4" s="1"/>
  <c r="AO181" i="4"/>
  <c r="AQ181" i="4" s="1"/>
  <c r="AU181" i="4" s="1"/>
  <c r="AF111" i="4"/>
  <c r="AG111" i="4" s="1"/>
  <c r="AS111" i="4" s="1"/>
  <c r="M111" i="4"/>
  <c r="AA111" i="4" s="1"/>
  <c r="AB111" i="4"/>
  <c r="Z115" i="4"/>
  <c r="AF115" i="4"/>
  <c r="AG115" i="4" s="1"/>
  <c r="AS115" i="4" s="1"/>
  <c r="AB115" i="4"/>
  <c r="M115" i="4"/>
  <c r="AA115" i="4" s="1"/>
  <c r="AR42" i="4"/>
  <c r="AO42" i="4"/>
  <c r="AQ42" i="4" s="1"/>
  <c r="AU42" i="4" s="1"/>
  <c r="AR165" i="4"/>
  <c r="AO165" i="4"/>
  <c r="AQ165" i="4" s="1"/>
  <c r="AU165" i="4" s="1"/>
  <c r="AR56" i="4"/>
  <c r="AO56" i="4"/>
  <c r="AQ56" i="4" s="1"/>
  <c r="AU56" i="4" s="1"/>
  <c r="AR50" i="4"/>
  <c r="AO50" i="4"/>
  <c r="AQ50" i="4" s="1"/>
  <c r="AU50" i="4" s="1"/>
  <c r="M41" i="4"/>
  <c r="AA41" i="4" s="1"/>
  <c r="AF41" i="4"/>
  <c r="AG41" i="4" s="1"/>
  <c r="AS41" i="4" s="1"/>
  <c r="Z41" i="4"/>
  <c r="AB41" i="4"/>
  <c r="M106" i="4"/>
  <c r="AA106" i="4" s="1"/>
  <c r="AF106" i="4"/>
  <c r="AG106" i="4" s="1"/>
  <c r="AS106" i="4" s="1"/>
  <c r="Z106" i="4"/>
  <c r="AB106" i="4"/>
  <c r="M24" i="4"/>
  <c r="AA24" i="4" s="1"/>
  <c r="AB24" i="4"/>
  <c r="AF24" i="4"/>
  <c r="AG24" i="4" s="1"/>
  <c r="AS24" i="4" s="1"/>
  <c r="Z24" i="4"/>
  <c r="AB9" i="4"/>
  <c r="Z9" i="4"/>
  <c r="M9" i="4"/>
  <c r="AA9" i="4" s="1"/>
  <c r="AF9" i="4"/>
  <c r="AG9" i="4" s="1"/>
  <c r="AS9" i="4" s="1"/>
  <c r="AR70" i="4"/>
  <c r="AO70" i="4"/>
  <c r="AQ70" i="4" s="1"/>
  <c r="AU70" i="4" s="1"/>
  <c r="AC202" i="4"/>
  <c r="AO202" i="4" s="1"/>
  <c r="AQ202" i="4" s="1"/>
  <c r="AU202" i="4" s="1"/>
  <c r="AR91" i="4"/>
  <c r="AO91" i="4"/>
  <c r="AQ91" i="4" s="1"/>
  <c r="AU91" i="4" s="1"/>
  <c r="AR142" i="4"/>
  <c r="AR151" i="4"/>
  <c r="AO151" i="4"/>
  <c r="AQ151" i="4" s="1"/>
  <c r="AU151" i="4" s="1"/>
  <c r="AR144" i="4"/>
  <c r="AO144" i="4"/>
  <c r="AQ144" i="4" s="1"/>
  <c r="AU144" i="4" s="1"/>
  <c r="AR105" i="4"/>
  <c r="AO105" i="4"/>
  <c r="AQ105" i="4" s="1"/>
  <c r="AU105" i="4" s="1"/>
  <c r="AR28" i="4"/>
  <c r="AO28" i="4"/>
  <c r="AQ28" i="4" s="1"/>
  <c r="AU28" i="4" s="1"/>
  <c r="AO58" i="4"/>
  <c r="AQ58" i="4" s="1"/>
  <c r="AU58" i="4" s="1"/>
  <c r="AR35" i="4"/>
  <c r="AO35" i="4"/>
  <c r="AQ35" i="4" s="1"/>
  <c r="AU35" i="4" s="1"/>
  <c r="AO204" i="4"/>
  <c r="AQ204" i="4" s="1"/>
  <c r="AU204" i="4" s="1"/>
  <c r="AR112" i="4"/>
  <c r="AO112" i="4"/>
  <c r="AQ112" i="4" s="1"/>
  <c r="AU112" i="4" s="1"/>
  <c r="AO48" i="4"/>
  <c r="AQ48" i="4" s="1"/>
  <c r="AU48" i="4" s="1"/>
  <c r="AO76" i="4"/>
  <c r="AQ76" i="4" s="1"/>
  <c r="AU76" i="4" s="1"/>
  <c r="AR76" i="4"/>
  <c r="AO158" i="4"/>
  <c r="AQ158" i="4" s="1"/>
  <c r="AU158" i="4" s="1"/>
  <c r="AO44" i="4"/>
  <c r="AQ44" i="4" s="1"/>
  <c r="AU44" i="4" s="1"/>
  <c r="AR44" i="4"/>
  <c r="AO120" i="4"/>
  <c r="AQ120" i="4" s="1"/>
  <c r="AU120" i="4" s="1"/>
  <c r="AO187" i="4"/>
  <c r="AQ187" i="4" s="1"/>
  <c r="AU187" i="4" s="1"/>
  <c r="AC52" i="4"/>
  <c r="AO52" i="4" s="1"/>
  <c r="AQ52" i="4" s="1"/>
  <c r="AU52" i="4" s="1"/>
  <c r="AO197" i="4"/>
  <c r="AQ197" i="4" s="1"/>
  <c r="AU197" i="4" s="1"/>
  <c r="AR197" i="4"/>
  <c r="AO136" i="4"/>
  <c r="AQ136" i="4" s="1"/>
  <c r="AU136" i="4" s="1"/>
  <c r="AR37" i="4"/>
  <c r="AC54" i="4"/>
  <c r="AR32" i="4"/>
  <c r="AO32" i="4"/>
  <c r="AQ32" i="4" s="1"/>
  <c r="AU32" i="4" s="1"/>
  <c r="AR179" i="4"/>
  <c r="AO179" i="4"/>
  <c r="AQ179" i="4" s="1"/>
  <c r="AU179" i="4" s="1"/>
  <c r="AR55" i="4"/>
  <c r="AO55" i="4"/>
  <c r="AQ55" i="4" s="1"/>
  <c r="AU55" i="4" s="1"/>
  <c r="AO72" i="4"/>
  <c r="AQ72" i="4" s="1"/>
  <c r="AU72" i="4" s="1"/>
  <c r="AR72" i="4"/>
  <c r="AR138" i="4"/>
  <c r="AO138" i="4"/>
  <c r="AQ138" i="4" s="1"/>
  <c r="AU138" i="4" s="1"/>
  <c r="AR176" i="4"/>
  <c r="AO176" i="4"/>
  <c r="AQ176" i="4" s="1"/>
  <c r="AU176" i="4" s="1"/>
  <c r="AR69" i="4"/>
  <c r="AO69" i="4"/>
  <c r="AQ69" i="4" s="1"/>
  <c r="AU69" i="4" s="1"/>
  <c r="AC203" i="4"/>
  <c r="AO114" i="4"/>
  <c r="AQ114" i="4" s="1"/>
  <c r="AU114" i="4" s="1"/>
  <c r="AC36" i="4"/>
  <c r="AC190" i="4"/>
  <c r="AR119" i="4"/>
  <c r="AO119" i="4"/>
  <c r="AQ119" i="4" s="1"/>
  <c r="AU119" i="4" s="1"/>
  <c r="AO192" i="4"/>
  <c r="AQ192" i="4" s="1"/>
  <c r="AU192" i="4" s="1"/>
  <c r="AC90" i="4"/>
  <c r="AR19" i="4"/>
  <c r="AO19" i="4"/>
  <c r="AQ19" i="4" s="1"/>
  <c r="AU19" i="4" s="1"/>
  <c r="AC86" i="4"/>
  <c r="AO184" i="4"/>
  <c r="AQ184" i="4" s="1"/>
  <c r="AU184" i="4" s="1"/>
  <c r="AO73" i="4"/>
  <c r="AQ73" i="4" s="1"/>
  <c r="AU73" i="4" s="1"/>
  <c r="AR73" i="4"/>
  <c r="AC99" i="4"/>
  <c r="AR38" i="4"/>
  <c r="AO38" i="4"/>
  <c r="AQ38" i="4" s="1"/>
  <c r="AU38" i="4" s="1"/>
  <c r="AR189" i="4"/>
  <c r="AR95" i="4"/>
  <c r="AO95" i="4"/>
  <c r="AQ95" i="4" s="1"/>
  <c r="AU95" i="4" s="1"/>
  <c r="AR177" i="4"/>
  <c r="AC200" i="4"/>
  <c r="AR34" i="4"/>
  <c r="AO34" i="4"/>
  <c r="AQ34" i="4" s="1"/>
  <c r="AU34" i="4" s="1"/>
  <c r="AR82" i="4"/>
  <c r="AO82" i="4"/>
  <c r="AQ82" i="4" s="1"/>
  <c r="AU82" i="4" s="1"/>
  <c r="AR131" i="4"/>
  <c r="AO131" i="4"/>
  <c r="AQ131" i="4" s="1"/>
  <c r="AU131" i="4" s="1"/>
  <c r="AR134" i="4"/>
  <c r="AO134" i="4"/>
  <c r="AQ134" i="4" s="1"/>
  <c r="AU134" i="4" s="1"/>
  <c r="AR175" i="4"/>
  <c r="AO175" i="4"/>
  <c r="AQ175" i="4" s="1"/>
  <c r="AU175" i="4" s="1"/>
  <c r="AR145" i="4"/>
  <c r="AO145" i="4"/>
  <c r="AQ145" i="4" s="1"/>
  <c r="AU145" i="4" s="1"/>
  <c r="AR196" i="4"/>
  <c r="AO196" i="4"/>
  <c r="AQ196" i="4" s="1"/>
  <c r="AU196" i="4" s="1"/>
  <c r="B142" i="2"/>
  <c r="C53" i="16"/>
  <c r="D53" i="16" s="1"/>
  <c r="AR122" i="4"/>
  <c r="AR123" i="4"/>
  <c r="AO123" i="4"/>
  <c r="AQ123" i="4" s="1"/>
  <c r="AU123" i="4" s="1"/>
  <c r="AR183" i="4"/>
  <c r="AO183" i="4"/>
  <c r="AQ183" i="4" s="1"/>
  <c r="AU183" i="4" s="1"/>
  <c r="AR139" i="4"/>
  <c r="AO139" i="4"/>
  <c r="AQ139" i="4" s="1"/>
  <c r="AU139" i="4" s="1"/>
  <c r="AR171" i="4"/>
  <c r="AO171" i="4"/>
  <c r="AQ171" i="4" s="1"/>
  <c r="AU171" i="4" s="1"/>
  <c r="AR104" i="4"/>
  <c r="AO104" i="4"/>
  <c r="AQ104" i="4" s="1"/>
  <c r="AU104" i="4" s="1"/>
  <c r="AR150" i="4"/>
  <c r="AO150" i="4"/>
  <c r="AQ150" i="4" s="1"/>
  <c r="AU150" i="4" s="1"/>
  <c r="AR208" i="4"/>
  <c r="AO208" i="4"/>
  <c r="AQ208" i="4" s="1"/>
  <c r="AU208" i="4" s="1"/>
  <c r="AR118" i="4"/>
  <c r="AO118" i="4"/>
  <c r="AQ118" i="4" s="1"/>
  <c r="AU118" i="4" s="1"/>
  <c r="AR185" i="4"/>
  <c r="AO185" i="4"/>
  <c r="AQ185" i="4" s="1"/>
  <c r="AU185" i="4" s="1"/>
  <c r="AR110" i="4"/>
  <c r="AO110" i="4"/>
  <c r="AQ110" i="4" s="1"/>
  <c r="AU110" i="4" s="1"/>
  <c r="AR154" i="4"/>
  <c r="AO154" i="4"/>
  <c r="AQ154" i="4" s="1"/>
  <c r="AU154" i="4" s="1"/>
  <c r="AR129" i="4"/>
  <c r="AO129" i="4"/>
  <c r="AQ129" i="4" s="1"/>
  <c r="AU129" i="4" s="1"/>
  <c r="AR188" i="4"/>
  <c r="AO188" i="4"/>
  <c r="AQ188" i="4" s="1"/>
  <c r="AU188" i="4" s="1"/>
  <c r="AR162" i="4"/>
  <c r="AO162" i="4"/>
  <c r="AQ162" i="4" s="1"/>
  <c r="AU162" i="4" s="1"/>
  <c r="AR121" i="4"/>
  <c r="AO121" i="4"/>
  <c r="AQ121" i="4" s="1"/>
  <c r="AU121" i="4" s="1"/>
  <c r="AR191" i="4"/>
  <c r="AO191" i="4"/>
  <c r="AQ191" i="4" s="1"/>
  <c r="AU191" i="4" s="1"/>
  <c r="AR78" i="4"/>
  <c r="AR63" i="4"/>
  <c r="AO63" i="4"/>
  <c r="AQ63" i="4" s="1"/>
  <c r="AU63" i="4" s="1"/>
  <c r="AR67" i="4"/>
  <c r="AO67" i="4"/>
  <c r="AQ67" i="4" s="1"/>
  <c r="AU67" i="4" s="1"/>
  <c r="AR149" i="4"/>
  <c r="AR25" i="4"/>
  <c r="AO25" i="4"/>
  <c r="AQ25" i="4" s="1"/>
  <c r="AU25" i="4" s="1"/>
  <c r="AO80" i="4"/>
  <c r="AQ80" i="4" s="1"/>
  <c r="AU80" i="4" s="1"/>
  <c r="AR146" i="4"/>
  <c r="AO146" i="4"/>
  <c r="AQ146" i="4" s="1"/>
  <c r="AU146" i="4" s="1"/>
  <c r="AR186" i="4"/>
  <c r="AO186" i="4"/>
  <c r="AQ186" i="4" s="1"/>
  <c r="AU186" i="4" s="1"/>
  <c r="AR116" i="4"/>
  <c r="AO116" i="4"/>
  <c r="AQ116" i="4" s="1"/>
  <c r="AU116" i="4" s="1"/>
  <c r="AR101" i="4"/>
  <c r="AO101" i="4"/>
  <c r="AQ101" i="4" s="1"/>
  <c r="AU101" i="4" s="1"/>
  <c r="AR166" i="4"/>
  <c r="AO166" i="4"/>
  <c r="AQ166" i="4" s="1"/>
  <c r="AU166" i="4" s="1"/>
  <c r="R30" i="8" l="1"/>
  <c r="AO180" i="4"/>
  <c r="AQ180" i="4" s="1"/>
  <c r="AU180" i="4" s="1"/>
  <c r="AC96" i="4"/>
  <c r="AO30" i="4"/>
  <c r="AQ30" i="4" s="1"/>
  <c r="AU30" i="4" s="1"/>
  <c r="AO156" i="4"/>
  <c r="AQ156" i="4" s="1"/>
  <c r="AU156" i="4" s="1"/>
  <c r="AR94" i="4"/>
  <c r="AO65" i="4"/>
  <c r="AQ65" i="4" s="1"/>
  <c r="AU65" i="4" s="1"/>
  <c r="AC167" i="4"/>
  <c r="AO100" i="4"/>
  <c r="AQ100" i="4" s="1"/>
  <c r="AU100" i="4" s="1"/>
  <c r="BN39" i="3"/>
  <c r="AC125" i="4"/>
  <c r="AC126" i="4"/>
  <c r="AR126" i="4" s="1"/>
  <c r="AR20" i="4"/>
  <c r="AO161" i="4"/>
  <c r="AQ161" i="4" s="1"/>
  <c r="AU161" i="4" s="1"/>
  <c r="AO79" i="4"/>
  <c r="AQ79" i="4" s="1"/>
  <c r="AU79" i="4" s="1"/>
  <c r="AO117" i="4"/>
  <c r="AQ117" i="4" s="1"/>
  <c r="AU117" i="4" s="1"/>
  <c r="AO133" i="4"/>
  <c r="AQ133" i="4" s="1"/>
  <c r="AU133" i="4" s="1"/>
  <c r="AC206" i="4"/>
  <c r="AR161" i="4"/>
  <c r="AO148" i="4"/>
  <c r="AQ148" i="4" s="1"/>
  <c r="AU148" i="4" s="1"/>
  <c r="AO194" i="4"/>
  <c r="AQ194" i="4" s="1"/>
  <c r="AU194" i="4" s="1"/>
  <c r="AC195" i="4"/>
  <c r="AO195" i="4" s="1"/>
  <c r="AQ195" i="4" s="1"/>
  <c r="AU195" i="4" s="1"/>
  <c r="Z140" i="4"/>
  <c r="AF140" i="4"/>
  <c r="AG140" i="4" s="1"/>
  <c r="AS140" i="4" s="1"/>
  <c r="M140" i="4"/>
  <c r="AA140" i="4" s="1"/>
  <c r="AB140" i="4"/>
  <c r="AO57" i="4"/>
  <c r="AQ57" i="4" s="1"/>
  <c r="AU57" i="4" s="1"/>
  <c r="R8" i="8"/>
  <c r="S8" i="8" s="1"/>
  <c r="B74" i="1"/>
  <c r="B133" i="2"/>
  <c r="AR143" i="4"/>
  <c r="AO152" i="4"/>
  <c r="AQ152" i="4" s="1"/>
  <c r="AU152" i="4" s="1"/>
  <c r="AC198" i="4"/>
  <c r="AB199" i="4"/>
  <c r="M199" i="4"/>
  <c r="AA199" i="4" s="1"/>
  <c r="AF199" i="4"/>
  <c r="AG199" i="4" s="1"/>
  <c r="AS199" i="4" s="1"/>
  <c r="Z199" i="4"/>
  <c r="AR66" i="4"/>
  <c r="M147" i="4"/>
  <c r="AA147" i="4" s="1"/>
  <c r="Z147" i="4"/>
  <c r="AB147" i="4"/>
  <c r="AF147" i="4"/>
  <c r="AG147" i="4" s="1"/>
  <c r="AS147" i="4" s="1"/>
  <c r="AO178" i="4"/>
  <c r="AQ178" i="4" s="1"/>
  <c r="AU178" i="4" s="1"/>
  <c r="AO31" i="4"/>
  <c r="AQ31" i="4" s="1"/>
  <c r="AU31" i="4" s="1"/>
  <c r="AR85" i="4"/>
  <c r="A110" i="8"/>
  <c r="A130" i="8"/>
  <c r="A96" i="8"/>
  <c r="M81" i="4"/>
  <c r="AA81" i="4" s="1"/>
  <c r="AB81" i="4"/>
  <c r="Z81" i="4"/>
  <c r="AF81" i="4"/>
  <c r="AG81" i="4" s="1"/>
  <c r="AS81" i="4" s="1"/>
  <c r="A138" i="8"/>
  <c r="A125" i="8"/>
  <c r="AC155" i="4"/>
  <c r="AC193" i="4"/>
  <c r="AO39" i="4"/>
  <c r="AQ39" i="4" s="1"/>
  <c r="AU39" i="4" s="1"/>
  <c r="A121" i="8"/>
  <c r="AR40" i="3"/>
  <c r="B40" i="3"/>
  <c r="AQ40" i="3"/>
  <c r="A41" i="3"/>
  <c r="C40" i="3"/>
  <c r="D40" i="3"/>
  <c r="F40" i="3"/>
  <c r="G40" i="3"/>
  <c r="H40" i="3" s="1"/>
  <c r="A128" i="8"/>
  <c r="A100" i="8"/>
  <c r="A105" i="8"/>
  <c r="A115" i="8"/>
  <c r="AF27" i="4"/>
  <c r="AG27" i="4" s="1"/>
  <c r="AS27" i="4" s="1"/>
  <c r="AB27" i="4"/>
  <c r="Z27" i="4"/>
  <c r="M27" i="4"/>
  <c r="AA27" i="4" s="1"/>
  <c r="AR202" i="4"/>
  <c r="A131" i="8"/>
  <c r="A123" i="8"/>
  <c r="AC132" i="4"/>
  <c r="AO164" i="4"/>
  <c r="AQ164" i="4" s="1"/>
  <c r="AU164" i="4" s="1"/>
  <c r="AR173" i="4"/>
  <c r="AR135" i="4"/>
  <c r="AC127" i="4"/>
  <c r="AO22" i="4"/>
  <c r="AQ22" i="4" s="1"/>
  <c r="AU22" i="4" s="1"/>
  <c r="AO157" i="4"/>
  <c r="AQ157" i="4" s="1"/>
  <c r="AU157" i="4" s="1"/>
  <c r="AR93" i="4"/>
  <c r="AO10" i="4"/>
  <c r="AQ10" i="4" s="1"/>
  <c r="AU10" i="4" s="1"/>
  <c r="AO71" i="4"/>
  <c r="AQ71" i="4" s="1"/>
  <c r="AU71" i="4" s="1"/>
  <c r="AC61" i="4"/>
  <c r="AR77" i="4"/>
  <c r="AR47" i="4"/>
  <c r="AO205" i="4"/>
  <c r="AQ205" i="4" s="1"/>
  <c r="AU205" i="4" s="1"/>
  <c r="AR60" i="4"/>
  <c r="AO60" i="4"/>
  <c r="AQ60" i="4" s="1"/>
  <c r="AU60" i="4" s="1"/>
  <c r="AO98" i="4"/>
  <c r="AQ98" i="4" s="1"/>
  <c r="AU98" i="4" s="1"/>
  <c r="AO182" i="4"/>
  <c r="AQ182" i="4" s="1"/>
  <c r="AU182" i="4" s="1"/>
  <c r="AO17" i="4"/>
  <c r="AQ17" i="4" s="1"/>
  <c r="AU17" i="4" s="1"/>
  <c r="AR11" i="4"/>
  <c r="AR83" i="4"/>
  <c r="AO108" i="4"/>
  <c r="AQ108" i="4" s="1"/>
  <c r="AU108" i="4" s="1"/>
  <c r="AR59" i="4"/>
  <c r="AR84" i="4"/>
  <c r="AO74" i="4"/>
  <c r="AQ74" i="4" s="1"/>
  <c r="AU74" i="4" s="1"/>
  <c r="AO124" i="4"/>
  <c r="AQ124" i="4" s="1"/>
  <c r="AU124" i="4" s="1"/>
  <c r="AO97" i="4"/>
  <c r="AQ97" i="4" s="1"/>
  <c r="AU97" i="4" s="1"/>
  <c r="AR137" i="4"/>
  <c r="AO87" i="4"/>
  <c r="AQ87" i="4" s="1"/>
  <c r="AU87" i="4" s="1"/>
  <c r="AO207" i="4"/>
  <c r="AQ207" i="4" s="1"/>
  <c r="AU207" i="4" s="1"/>
  <c r="AO128" i="4"/>
  <c r="AQ128" i="4" s="1"/>
  <c r="AU128" i="4" s="1"/>
  <c r="AC111" i="4"/>
  <c r="AR111" i="4" s="1"/>
  <c r="AR102" i="4"/>
  <c r="AO102" i="4"/>
  <c r="AQ102" i="4" s="1"/>
  <c r="AU102" i="4" s="1"/>
  <c r="AR18" i="4"/>
  <c r="AO18" i="4"/>
  <c r="AQ18" i="4" s="1"/>
  <c r="AU18" i="4" s="1"/>
  <c r="AR62" i="4"/>
  <c r="AO62" i="4"/>
  <c r="AQ62" i="4" s="1"/>
  <c r="AU62" i="4" s="1"/>
  <c r="AR13" i="4"/>
  <c r="AO13" i="4"/>
  <c r="AQ13" i="4" s="1"/>
  <c r="AU13" i="4" s="1"/>
  <c r="AR21" i="4"/>
  <c r="AO21" i="4"/>
  <c r="AQ21" i="4" s="1"/>
  <c r="AU21" i="4" s="1"/>
  <c r="AR15" i="4"/>
  <c r="AO15" i="4"/>
  <c r="AQ15" i="4" s="1"/>
  <c r="AU15" i="4" s="1"/>
  <c r="AR12" i="4"/>
  <c r="AO12" i="4"/>
  <c r="AQ12" i="4" s="1"/>
  <c r="AU12" i="4" s="1"/>
  <c r="AC106" i="4"/>
  <c r="AO92" i="4"/>
  <c r="AQ92" i="4" s="1"/>
  <c r="AU92" i="4" s="1"/>
  <c r="AR92" i="4"/>
  <c r="AR23" i="4"/>
  <c r="AO23" i="4"/>
  <c r="AQ23" i="4" s="1"/>
  <c r="AU23" i="4" s="1"/>
  <c r="AR16" i="4"/>
  <c r="AO16" i="4"/>
  <c r="AQ16" i="4" s="1"/>
  <c r="AU16" i="4" s="1"/>
  <c r="AR29" i="4"/>
  <c r="AO29" i="4"/>
  <c r="AQ29" i="4" s="1"/>
  <c r="AU29" i="4" s="1"/>
  <c r="A264" i="2"/>
  <c r="B264" i="2"/>
  <c r="B268" i="2" s="1"/>
  <c r="C264" i="2"/>
  <c r="C268" i="2" s="1"/>
  <c r="E26" i="1"/>
  <c r="C54" i="16" s="1"/>
  <c r="D54" i="16" s="1"/>
  <c r="AC109" i="4"/>
  <c r="R23" i="8"/>
  <c r="R13" i="8"/>
  <c r="H3" i="8"/>
  <c r="AO43" i="4"/>
  <c r="AQ43" i="4" s="1"/>
  <c r="AU43" i="4" s="1"/>
  <c r="AR43" i="4"/>
  <c r="AR75" i="4"/>
  <c r="AO75" i="4"/>
  <c r="AQ75" i="4" s="1"/>
  <c r="AU75" i="4" s="1"/>
  <c r="AR14" i="4"/>
  <c r="AO14" i="4"/>
  <c r="AQ14" i="4" s="1"/>
  <c r="AU14" i="4" s="1"/>
  <c r="AC53" i="4"/>
  <c r="AC45" i="4"/>
  <c r="AC113" i="4"/>
  <c r="AC24" i="4"/>
  <c r="AC49" i="4"/>
  <c r="AC46" i="4"/>
  <c r="AC9" i="4"/>
  <c r="AC41" i="4"/>
  <c r="AC115" i="4"/>
  <c r="AC40" i="4"/>
  <c r="AR52" i="4"/>
  <c r="AR36" i="4"/>
  <c r="AO36" i="4"/>
  <c r="AQ36" i="4" s="1"/>
  <c r="AU36" i="4" s="1"/>
  <c r="AR203" i="4"/>
  <c r="AO203" i="4"/>
  <c r="AQ203" i="4" s="1"/>
  <c r="AU203" i="4" s="1"/>
  <c r="AR99" i="4"/>
  <c r="AO99" i="4"/>
  <c r="AQ99" i="4" s="1"/>
  <c r="AU99" i="4" s="1"/>
  <c r="AR86" i="4"/>
  <c r="AO86" i="4"/>
  <c r="AQ86" i="4" s="1"/>
  <c r="AU86" i="4" s="1"/>
  <c r="AR200" i="4"/>
  <c r="AO200" i="4"/>
  <c r="AQ200" i="4" s="1"/>
  <c r="AU200" i="4" s="1"/>
  <c r="AR90" i="4"/>
  <c r="AO90" i="4"/>
  <c r="AQ90" i="4" s="1"/>
  <c r="AU90" i="4" s="1"/>
  <c r="AO54" i="4"/>
  <c r="AQ54" i="4" s="1"/>
  <c r="AU54" i="4" s="1"/>
  <c r="AR54" i="4"/>
  <c r="AR190" i="4"/>
  <c r="AO190" i="4"/>
  <c r="AQ190" i="4" s="1"/>
  <c r="AU190" i="4" s="1"/>
  <c r="B256" i="2"/>
  <c r="A256" i="2"/>
  <c r="AR96" i="4" l="1"/>
  <c r="AO96" i="4"/>
  <c r="AQ96" i="4" s="1"/>
  <c r="AU96" i="4" s="1"/>
  <c r="AO126" i="4"/>
  <c r="AQ126" i="4" s="1"/>
  <c r="AU126" i="4" s="1"/>
  <c r="AR167" i="4"/>
  <c r="AO167" i="4"/>
  <c r="AQ167" i="4" s="1"/>
  <c r="AU167" i="4" s="1"/>
  <c r="BN40" i="3"/>
  <c r="BM40" i="3"/>
  <c r="AR125" i="4"/>
  <c r="AO125" i="4"/>
  <c r="AQ125" i="4" s="1"/>
  <c r="AU125" i="4" s="1"/>
  <c r="AR195" i="4"/>
  <c r="AR206" i="4"/>
  <c r="AO206" i="4"/>
  <c r="AQ206" i="4" s="1"/>
  <c r="AU206" i="4" s="1"/>
  <c r="S27" i="8"/>
  <c r="C74" i="1" s="1"/>
  <c r="R27" i="8"/>
  <c r="AC199" i="4"/>
  <c r="AC140" i="4"/>
  <c r="AC147" i="4"/>
  <c r="AO198" i="4"/>
  <c r="AQ198" i="4" s="1"/>
  <c r="AU198" i="4" s="1"/>
  <c r="AR198" i="4"/>
  <c r="C3" i="8"/>
  <c r="B75" i="1"/>
  <c r="B134" i="2"/>
  <c r="A135" i="8"/>
  <c r="A112" i="8"/>
  <c r="A122" i="8"/>
  <c r="AR193" i="4"/>
  <c r="AO193" i="4"/>
  <c r="AQ193" i="4" s="1"/>
  <c r="AU193" i="4" s="1"/>
  <c r="A137" i="8"/>
  <c r="A150" i="8"/>
  <c r="AR155" i="4"/>
  <c r="AO155" i="4"/>
  <c r="AQ155" i="4" s="1"/>
  <c r="AU155" i="4" s="1"/>
  <c r="A108" i="8"/>
  <c r="A142" i="8"/>
  <c r="A143" i="8"/>
  <c r="A133" i="8"/>
  <c r="A117" i="8"/>
  <c r="A140" i="8"/>
  <c r="AC27" i="4"/>
  <c r="AR41" i="3"/>
  <c r="A42" i="3"/>
  <c r="B41" i="3"/>
  <c r="AQ41" i="3"/>
  <c r="D41" i="3"/>
  <c r="C41" i="3"/>
  <c r="F41" i="3"/>
  <c r="G41" i="3"/>
  <c r="H41" i="3" s="1"/>
  <c r="A127" i="8"/>
  <c r="AC81" i="4"/>
  <c r="AO127" i="4"/>
  <c r="AQ127" i="4" s="1"/>
  <c r="AU127" i="4" s="1"/>
  <c r="AR127" i="4"/>
  <c r="AR132" i="4"/>
  <c r="AO132" i="4"/>
  <c r="AQ132" i="4" s="1"/>
  <c r="AU132" i="4" s="1"/>
  <c r="AR61" i="4"/>
  <c r="AO61" i="4"/>
  <c r="AQ61" i="4" s="1"/>
  <c r="AU61" i="4" s="1"/>
  <c r="AO111" i="4"/>
  <c r="AQ111" i="4" s="1"/>
  <c r="AU111" i="4" s="1"/>
  <c r="AR106" i="4"/>
  <c r="AO106" i="4"/>
  <c r="AQ106" i="4" s="1"/>
  <c r="AU106" i="4" s="1"/>
  <c r="AR109" i="4"/>
  <c r="AO109" i="4"/>
  <c r="AQ109" i="4" s="1"/>
  <c r="AU109" i="4" s="1"/>
  <c r="B309" i="2" s="1"/>
  <c r="AR9" i="4"/>
  <c r="AO9" i="4"/>
  <c r="AQ9" i="4" s="1"/>
  <c r="AU9" i="4" s="1"/>
  <c r="AR113" i="4"/>
  <c r="AO113" i="4"/>
  <c r="AQ113" i="4" s="1"/>
  <c r="AU113" i="4" s="1"/>
  <c r="AO115" i="4"/>
  <c r="AQ115" i="4" s="1"/>
  <c r="AU115" i="4" s="1"/>
  <c r="AR115" i="4"/>
  <c r="AO45" i="4"/>
  <c r="AQ45" i="4" s="1"/>
  <c r="AU45" i="4" s="1"/>
  <c r="AR45" i="4"/>
  <c r="AR40" i="4"/>
  <c r="AO40" i="4"/>
  <c r="AQ40" i="4" s="1"/>
  <c r="AU40" i="4" s="1"/>
  <c r="AO41" i="4"/>
  <c r="AQ41" i="4" s="1"/>
  <c r="AU41" i="4" s="1"/>
  <c r="AR41" i="4"/>
  <c r="AR46" i="4"/>
  <c r="AO46" i="4"/>
  <c r="AQ46" i="4" s="1"/>
  <c r="AU46" i="4" s="1"/>
  <c r="AR49" i="4"/>
  <c r="AO49" i="4"/>
  <c r="AQ49" i="4" s="1"/>
  <c r="AU49" i="4" s="1"/>
  <c r="AR24" i="4"/>
  <c r="AO24" i="4"/>
  <c r="AQ24" i="4" s="1"/>
  <c r="AU24" i="4" s="1"/>
  <c r="AO53" i="4"/>
  <c r="AQ53" i="4" s="1"/>
  <c r="AU53" i="4" s="1"/>
  <c r="AR53" i="4"/>
  <c r="BM41" i="3" l="1"/>
  <c r="BN41" i="3"/>
  <c r="AR147" i="4"/>
  <c r="AO147" i="4"/>
  <c r="AQ147" i="4" s="1"/>
  <c r="AU147" i="4" s="1"/>
  <c r="AR140" i="4"/>
  <c r="AO140" i="4"/>
  <c r="AQ140" i="4" s="1"/>
  <c r="AU140" i="4" s="1"/>
  <c r="AR199" i="4"/>
  <c r="AO199" i="4"/>
  <c r="AQ199" i="4" s="1"/>
  <c r="AU199" i="4" s="1"/>
  <c r="D3" i="8"/>
  <c r="B76" i="1"/>
  <c r="C52" i="16"/>
  <c r="D52" i="16" s="1"/>
  <c r="B139" i="2"/>
  <c r="A237" i="2"/>
  <c r="B237" i="2"/>
  <c r="AQ42" i="3"/>
  <c r="B42" i="3"/>
  <c r="A43" i="3"/>
  <c r="AR42" i="3"/>
  <c r="C42" i="3"/>
  <c r="D42" i="3"/>
  <c r="F42" i="3"/>
  <c r="G42" i="3"/>
  <c r="H42" i="3" s="1"/>
  <c r="A152" i="8"/>
  <c r="A139" i="8"/>
  <c r="A120" i="8"/>
  <c r="AR81" i="4"/>
  <c r="AO81" i="4"/>
  <c r="AQ81" i="4" s="1"/>
  <c r="AU81" i="4" s="1"/>
  <c r="A134" i="8"/>
  <c r="AR27" i="4"/>
  <c r="AO27" i="4"/>
  <c r="AQ27" i="4" s="1"/>
  <c r="AU27" i="4" s="1"/>
  <c r="A155" i="8"/>
  <c r="A154" i="8"/>
  <c r="A149" i="8"/>
  <c r="A129" i="8"/>
  <c r="A145" i="8"/>
  <c r="A147" i="8"/>
  <c r="A124" i="8"/>
  <c r="A253" i="2" l="1"/>
  <c r="B253" i="2"/>
  <c r="A136" i="8"/>
  <c r="A157" i="8"/>
  <c r="AR43" i="3"/>
  <c r="A44" i="3"/>
  <c r="B43" i="3"/>
  <c r="AQ43" i="3"/>
  <c r="D43" i="3"/>
  <c r="C43" i="3"/>
  <c r="G43" i="3"/>
  <c r="H43" i="3" s="1"/>
  <c r="F43" i="3"/>
  <c r="A159" i="8"/>
  <c r="A141" i="8"/>
  <c r="BN42" i="3"/>
  <c r="A146" i="8"/>
  <c r="A132" i="8"/>
  <c r="A151" i="8"/>
  <c r="BM42" i="3"/>
  <c r="BM43" i="3" l="1"/>
  <c r="BN43" i="3"/>
  <c r="A158" i="8"/>
  <c r="A148" i="8"/>
  <c r="A153" i="8"/>
  <c r="N159" i="8"/>
  <c r="N158" i="8" s="1"/>
  <c r="M159" i="8"/>
  <c r="M158" i="8"/>
  <c r="I159" i="8"/>
  <c r="I158" i="8" s="1"/>
  <c r="L159" i="8"/>
  <c r="L158" i="8" s="1"/>
  <c r="K159" i="8"/>
  <c r="K158" i="8" s="1"/>
  <c r="J159" i="8"/>
  <c r="J158" i="8" s="1"/>
  <c r="B158" i="8"/>
  <c r="B157" i="8" s="1"/>
  <c r="B159" i="8"/>
  <c r="F159" i="8"/>
  <c r="F158" i="8" s="1"/>
  <c r="F157" i="8" s="1"/>
  <c r="G159" i="8"/>
  <c r="G158" i="8" s="1"/>
  <c r="G157" i="8" s="1"/>
  <c r="E159" i="8"/>
  <c r="E158" i="8" s="1"/>
  <c r="E157" i="8" s="1"/>
  <c r="C159" i="8"/>
  <c r="C158" i="8" s="1"/>
  <c r="C157" i="8" s="1"/>
  <c r="D159" i="8"/>
  <c r="D158" i="8" s="1"/>
  <c r="D157" i="8" s="1"/>
  <c r="H159" i="8"/>
  <c r="H158" i="8" s="1"/>
  <c r="H157" i="8" s="1"/>
  <c r="A144" i="8"/>
  <c r="AR44" i="3"/>
  <c r="B44" i="3"/>
  <c r="AQ44" i="3"/>
  <c r="A45" i="3"/>
  <c r="C44" i="3"/>
  <c r="D44" i="3"/>
  <c r="G44" i="3"/>
  <c r="H44" i="3" s="1"/>
  <c r="F44" i="3"/>
  <c r="BM44" i="3" l="1"/>
  <c r="D156" i="8"/>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BN44" i="3"/>
  <c r="AR45" i="3"/>
  <c r="A46" i="3"/>
  <c r="B45" i="3"/>
  <c r="C45" i="3"/>
  <c r="AQ45" i="3"/>
  <c r="D45" i="3"/>
  <c r="G45" i="3"/>
  <c r="H45" i="3" s="1"/>
  <c r="BN45" i="3" s="1"/>
  <c r="F45" i="3"/>
  <c r="F156" i="8"/>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N157" i="8"/>
  <c r="L157" i="8"/>
  <c r="I157" i="8"/>
  <c r="M157" i="8"/>
  <c r="K157" i="8"/>
  <c r="J157" i="8"/>
  <c r="A156" i="8"/>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91" i="2" l="1"/>
  <c r="E50" i="1" s="1"/>
  <c r="C45" i="16" s="1"/>
  <c r="D45" i="16" s="1"/>
  <c r="B276" i="2"/>
  <c r="S29" i="8"/>
  <c r="C76" i="1" s="1"/>
  <c r="R29" i="8"/>
  <c r="AQ46" i="3"/>
  <c r="B46" i="3"/>
  <c r="A47" i="3"/>
  <c r="AR46" i="3"/>
  <c r="C46" i="3"/>
  <c r="D46" i="3"/>
  <c r="F46" i="3"/>
  <c r="BM46" i="3" s="1"/>
  <c r="G46" i="3"/>
  <c r="H46" i="3" s="1"/>
  <c r="BM45" i="3"/>
  <c r="G156" i="8"/>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E156" i="8"/>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J155" i="8"/>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N156" i="8"/>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L156" i="8"/>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6" i="8"/>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6" i="8"/>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J156" i="8"/>
  <c r="M156" i="8"/>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C156" i="8"/>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H156" i="8"/>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C270" i="2" l="1"/>
  <c r="B266" i="2"/>
  <c r="C266" i="2"/>
  <c r="B270" i="2"/>
  <c r="R12" i="8"/>
  <c r="R28" i="8"/>
  <c r="S28" i="8"/>
  <c r="C75" i="1" s="1"/>
  <c r="AQ47" i="3"/>
  <c r="AR47" i="3"/>
  <c r="A48" i="3"/>
  <c r="B47" i="3"/>
  <c r="C47" i="3"/>
  <c r="D47" i="3"/>
  <c r="G47" i="3"/>
  <c r="H47" i="3" s="1"/>
  <c r="BN47" i="3" s="1"/>
  <c r="F47" i="3"/>
  <c r="BM47" i="3" s="1"/>
  <c r="BN46" i="3"/>
  <c r="B141" i="2"/>
  <c r="C40" i="16"/>
  <c r="D40" i="16" s="1"/>
  <c r="S31" i="8"/>
  <c r="C78" i="1" s="1"/>
  <c r="R31" i="8"/>
  <c r="C41" i="16" l="1"/>
  <c r="D41" i="16" s="1"/>
  <c r="B143" i="2"/>
  <c r="B255" i="2"/>
  <c r="A255" i="2"/>
  <c r="C42" i="16"/>
  <c r="D42" i="16"/>
  <c r="C39" i="16"/>
  <c r="D39" i="16" s="1"/>
  <c r="B140" i="2"/>
  <c r="M11" i="3" s="1"/>
  <c r="AR48" i="3"/>
  <c r="B48" i="3"/>
  <c r="AQ48" i="3"/>
  <c r="A49" i="3"/>
  <c r="C48" i="3"/>
  <c r="D48" i="3"/>
  <c r="F48" i="3"/>
  <c r="G48" i="3"/>
  <c r="H48" i="3" s="1"/>
  <c r="AF48" i="3" l="1"/>
  <c r="AF22" i="3"/>
  <c r="AF21" i="3"/>
  <c r="BM48" i="3"/>
  <c r="AF682" i="3"/>
  <c r="AF27" i="3"/>
  <c r="AF31" i="3"/>
  <c r="AF38" i="3"/>
  <c r="AF36" i="3"/>
  <c r="AF32" i="3"/>
  <c r="AF45" i="3"/>
  <c r="AF28" i="3"/>
  <c r="AF9" i="3"/>
  <c r="AQ49" i="3"/>
  <c r="AR49" i="3"/>
  <c r="A50" i="3"/>
  <c r="B49" i="3"/>
  <c r="D49" i="3"/>
  <c r="C49" i="3"/>
  <c r="F49" i="3"/>
  <c r="G49" i="3"/>
  <c r="H49" i="3" s="1"/>
  <c r="AF16" i="3"/>
  <c r="AF41" i="3"/>
  <c r="AF23" i="3"/>
  <c r="AF43" i="3"/>
  <c r="AF24" i="3"/>
  <c r="AF44" i="3"/>
  <c r="AF14" i="3"/>
  <c r="AF37" i="3"/>
  <c r="AF35" i="3"/>
  <c r="AF25" i="3"/>
  <c r="AF17" i="3"/>
  <c r="AF26" i="3"/>
  <c r="AF18" i="3"/>
  <c r="AF12" i="3"/>
  <c r="AF20" i="3"/>
  <c r="AF34" i="3"/>
  <c r="AF39" i="3"/>
  <c r="AF19" i="3"/>
  <c r="AF13" i="3"/>
  <c r="AF30" i="3"/>
  <c r="AF40" i="3"/>
  <c r="AF11" i="3"/>
  <c r="AF33" i="3"/>
  <c r="AF46" i="3"/>
  <c r="AF683" i="3"/>
  <c r="BN48" i="3"/>
  <c r="B254" i="2"/>
  <c r="AD682" i="3"/>
  <c r="AD17" i="3"/>
  <c r="AD14" i="3"/>
  <c r="AD35" i="3"/>
  <c r="AD32" i="3"/>
  <c r="AD41" i="3"/>
  <c r="AD40" i="3"/>
  <c r="AD20" i="3"/>
  <c r="AD29" i="3"/>
  <c r="AD45" i="3"/>
  <c r="AD16" i="3"/>
  <c r="AD39" i="3"/>
  <c r="AD50" i="3"/>
  <c r="AD15" i="3"/>
  <c r="AD44" i="3"/>
  <c r="AD34" i="3"/>
  <c r="AD22" i="3"/>
  <c r="AD30" i="3"/>
  <c r="AD23" i="3"/>
  <c r="AD12" i="3"/>
  <c r="AD31" i="3"/>
  <c r="AD11" i="3"/>
  <c r="AD9" i="3"/>
  <c r="AD10" i="3"/>
  <c r="AD24" i="3"/>
  <c r="AD21" i="3"/>
  <c r="AD26" i="3"/>
  <c r="AD43" i="3"/>
  <c r="AD27" i="3"/>
  <c r="AD46" i="3"/>
  <c r="AD37" i="3"/>
  <c r="AD36" i="3"/>
  <c r="AD38" i="3"/>
  <c r="AD33" i="3"/>
  <c r="AD49" i="3"/>
  <c r="AD18" i="3"/>
  <c r="AD28" i="3"/>
  <c r="AD19" i="3"/>
  <c r="AD42" i="3"/>
  <c r="AD13" i="3"/>
  <c r="AD683" i="3"/>
  <c r="AD25" i="3"/>
  <c r="B149" i="2"/>
  <c r="AD47" i="3"/>
  <c r="AD48" i="3"/>
  <c r="A254" i="2"/>
  <c r="M15" i="3"/>
  <c r="M29" i="3"/>
  <c r="AE45" i="3"/>
  <c r="M33" i="3"/>
  <c r="M39" i="3"/>
  <c r="AE30" i="3"/>
  <c r="M16" i="3"/>
  <c r="AE23" i="3"/>
  <c r="M47" i="3"/>
  <c r="AE49" i="3"/>
  <c r="AE21" i="3"/>
  <c r="M13" i="3"/>
  <c r="M18" i="3"/>
  <c r="M683" i="3"/>
  <c r="AE48" i="3"/>
  <c r="M23" i="3"/>
  <c r="AE28" i="3"/>
  <c r="AE37" i="3"/>
  <c r="AE10" i="3"/>
  <c r="AE683" i="3"/>
  <c r="M20" i="3"/>
  <c r="M25" i="3"/>
  <c r="M24" i="3"/>
  <c r="M32" i="3"/>
  <c r="AE17" i="3"/>
  <c r="AE22" i="3"/>
  <c r="AE24" i="3"/>
  <c r="AE16" i="3"/>
  <c r="AE44" i="3"/>
  <c r="AE47" i="3"/>
  <c r="B152" i="2"/>
  <c r="U49" i="3" s="1"/>
  <c r="M12" i="3"/>
  <c r="AE27" i="3"/>
  <c r="AE50" i="3"/>
  <c r="M30" i="3"/>
  <c r="AE46" i="3"/>
  <c r="M46" i="3"/>
  <c r="AE29" i="3"/>
  <c r="M37" i="3"/>
  <c r="M43" i="3"/>
  <c r="M31" i="3"/>
  <c r="M19" i="3"/>
  <c r="AE31" i="3"/>
  <c r="M9" i="3"/>
  <c r="AE12" i="3"/>
  <c r="AE20" i="3"/>
  <c r="AE11" i="3"/>
  <c r="AE15" i="3"/>
  <c r="M38" i="3"/>
  <c r="M50" i="3"/>
  <c r="M35" i="3"/>
  <c r="AE26" i="3"/>
  <c r="M41" i="3"/>
  <c r="AE36" i="3"/>
  <c r="M682" i="3"/>
  <c r="AE9" i="3"/>
  <c r="AE19" i="3"/>
  <c r="AE35" i="3"/>
  <c r="AE34" i="3"/>
  <c r="M17" i="3"/>
  <c r="AE43" i="3"/>
  <c r="AE18" i="3"/>
  <c r="AE41" i="3"/>
  <c r="M34" i="3"/>
  <c r="AE14" i="3"/>
  <c r="M14" i="3"/>
  <c r="AE13" i="3"/>
  <c r="AE38" i="3"/>
  <c r="M10" i="3"/>
  <c r="M22" i="3"/>
  <c r="AE25" i="3"/>
  <c r="M49" i="3"/>
  <c r="M21" i="3"/>
  <c r="M48" i="3"/>
  <c r="AE40" i="3"/>
  <c r="AE32" i="3"/>
  <c r="M28" i="3"/>
  <c r="AE682" i="3"/>
  <c r="M44" i="3"/>
  <c r="M27" i="3"/>
  <c r="AE39" i="3"/>
  <c r="M40" i="3"/>
  <c r="AE42" i="3"/>
  <c r="M26" i="3"/>
  <c r="M36" i="3"/>
  <c r="M42" i="3"/>
  <c r="AE33" i="3"/>
  <c r="M45" i="3"/>
  <c r="AF49" i="3"/>
  <c r="AF15" i="3"/>
  <c r="B150" i="2"/>
  <c r="Q49" i="3" s="1"/>
  <c r="AK29" i="3"/>
  <c r="AK15" i="3"/>
  <c r="AK12" i="3"/>
  <c r="AM15" i="3"/>
  <c r="AK43" i="3"/>
  <c r="AK41" i="3"/>
  <c r="AM28" i="3"/>
  <c r="AM32" i="3"/>
  <c r="AK32" i="3"/>
  <c r="AK46" i="3"/>
  <c r="AK38" i="3"/>
  <c r="AK19" i="3"/>
  <c r="AM48" i="3"/>
  <c r="AK25" i="3"/>
  <c r="AM29" i="3"/>
  <c r="AM16" i="3"/>
  <c r="AK35" i="3"/>
  <c r="B151" i="2"/>
  <c r="AK48" i="3"/>
  <c r="AK28" i="3"/>
  <c r="AK30" i="3"/>
  <c r="AM47" i="3"/>
  <c r="AK682" i="3"/>
  <c r="AM20" i="3"/>
  <c r="AM22" i="3"/>
  <c r="AM39" i="3"/>
  <c r="AK13" i="3"/>
  <c r="AK26" i="3"/>
  <c r="AM26" i="3"/>
  <c r="AK14" i="3"/>
  <c r="AK40" i="3"/>
  <c r="AK21" i="3"/>
  <c r="AM9" i="3"/>
  <c r="AM13" i="3"/>
  <c r="AK27" i="3"/>
  <c r="AK24" i="3"/>
  <c r="AM17" i="3"/>
  <c r="AM11" i="3"/>
  <c r="AM42" i="3"/>
  <c r="AK33" i="3"/>
  <c r="AM46" i="3"/>
  <c r="AK9" i="3"/>
  <c r="AK47" i="3"/>
  <c r="AK683" i="3"/>
  <c r="AM23" i="3"/>
  <c r="AM34" i="3"/>
  <c r="AM36" i="3"/>
  <c r="AM44" i="3"/>
  <c r="AK36" i="3"/>
  <c r="AM33" i="3"/>
  <c r="AM41" i="3"/>
  <c r="AM35" i="3"/>
  <c r="AM18" i="3"/>
  <c r="AM14" i="3"/>
  <c r="AN14" i="3" s="1"/>
  <c r="AK16" i="3"/>
  <c r="AK42" i="3"/>
  <c r="AM30" i="3"/>
  <c r="AM31" i="3"/>
  <c r="AK44" i="3"/>
  <c r="AK10" i="3"/>
  <c r="AM45" i="3"/>
  <c r="AK37" i="3"/>
  <c r="AK39" i="3"/>
  <c r="A257" i="2"/>
  <c r="AM38" i="3"/>
  <c r="AK49" i="3"/>
  <c r="AM43" i="3"/>
  <c r="AK34" i="3"/>
  <c r="AM25" i="3"/>
  <c r="AM683" i="3"/>
  <c r="AK20" i="3"/>
  <c r="AK31" i="3"/>
  <c r="AM24" i="3"/>
  <c r="AK45" i="3"/>
  <c r="AM40" i="3"/>
  <c r="AM10" i="3"/>
  <c r="AK18" i="3"/>
  <c r="AK23" i="3"/>
  <c r="AM682" i="3"/>
  <c r="AN682" i="3" s="1"/>
  <c r="AM19" i="3"/>
  <c r="B257" i="2"/>
  <c r="AK50" i="3"/>
  <c r="AM50" i="3"/>
  <c r="AM12" i="3"/>
  <c r="AM37" i="3"/>
  <c r="AK22" i="3"/>
  <c r="AO22" i="3" s="1"/>
  <c r="AM27" i="3"/>
  <c r="AK11" i="3"/>
  <c r="AM21" i="3"/>
  <c r="AN21" i="3" s="1"/>
  <c r="AM49" i="3"/>
  <c r="AN49" i="3" s="1"/>
  <c r="AK17" i="3"/>
  <c r="AF47" i="3"/>
  <c r="AF29" i="3"/>
  <c r="AF42" i="3"/>
  <c r="AF10" i="3"/>
  <c r="AN10" i="3" l="1"/>
  <c r="AG682" i="3"/>
  <c r="AG32" i="3"/>
  <c r="AG24" i="3"/>
  <c r="AG27" i="3"/>
  <c r="AG18" i="3"/>
  <c r="AO16" i="3"/>
  <c r="AO20" i="3"/>
  <c r="AG19" i="3"/>
  <c r="AN26" i="3"/>
  <c r="AN19" i="3"/>
  <c r="AG22" i="3"/>
  <c r="AG48" i="3"/>
  <c r="AG17" i="3"/>
  <c r="AN40" i="3"/>
  <c r="AG36" i="3"/>
  <c r="AG20" i="3"/>
  <c r="AN24" i="3"/>
  <c r="AO42" i="3"/>
  <c r="AG34" i="3"/>
  <c r="AN46" i="3"/>
  <c r="AG26" i="3"/>
  <c r="AO31" i="3"/>
  <c r="AO39" i="3"/>
  <c r="AO23" i="3"/>
  <c r="AH49" i="3"/>
  <c r="AG23" i="3"/>
  <c r="BN49" i="3"/>
  <c r="BM49" i="3"/>
  <c r="AG43" i="3"/>
  <c r="AG12" i="3"/>
  <c r="AN38" i="3"/>
  <c r="AG21" i="3"/>
  <c r="AG45" i="3"/>
  <c r="AG39" i="3"/>
  <c r="AN27" i="3"/>
  <c r="AN12" i="3"/>
  <c r="AN35" i="3"/>
  <c r="AG14" i="3"/>
  <c r="AG28" i="3"/>
  <c r="AO29" i="3"/>
  <c r="AN44" i="3"/>
  <c r="AO33" i="3"/>
  <c r="AO37" i="3"/>
  <c r="AH40" i="3"/>
  <c r="AO50" i="3"/>
  <c r="AG9" i="3"/>
  <c r="AO45" i="3"/>
  <c r="AO9" i="3"/>
  <c r="AG44" i="3"/>
  <c r="AH16" i="3"/>
  <c r="AN18" i="3"/>
  <c r="AN30" i="3"/>
  <c r="AO32" i="3"/>
  <c r="AG38" i="3"/>
  <c r="AG46" i="3"/>
  <c r="AG683" i="3"/>
  <c r="AH21" i="3"/>
  <c r="AG31" i="3"/>
  <c r="AO11" i="3"/>
  <c r="AN36" i="3"/>
  <c r="AG37" i="3"/>
  <c r="AH13" i="3"/>
  <c r="AO34" i="3"/>
  <c r="AO683" i="3"/>
  <c r="AO28" i="3"/>
  <c r="AN15" i="3"/>
  <c r="AG25" i="3"/>
  <c r="AG41" i="3"/>
  <c r="AG11" i="3"/>
  <c r="AH48" i="3"/>
  <c r="AN25" i="3"/>
  <c r="AO17" i="3"/>
  <c r="AN43" i="3"/>
  <c r="AN41" i="3"/>
  <c r="AO47" i="3"/>
  <c r="AO13" i="3"/>
  <c r="AO48" i="3"/>
  <c r="AG30" i="3"/>
  <c r="AH35" i="3"/>
  <c r="AN33" i="3"/>
  <c r="AO24" i="3"/>
  <c r="AN13" i="3"/>
  <c r="AO21" i="3"/>
  <c r="AO682" i="3"/>
  <c r="AO25" i="3"/>
  <c r="AN22" i="3"/>
  <c r="AO30" i="3"/>
  <c r="AG47" i="3"/>
  <c r="AH10" i="3"/>
  <c r="AN37" i="3"/>
  <c r="AN50" i="3"/>
  <c r="AN11" i="3"/>
  <c r="AG29" i="3"/>
  <c r="AN45" i="3"/>
  <c r="AO44" i="3"/>
  <c r="AN28" i="3"/>
  <c r="AO36" i="3"/>
  <c r="AN34" i="3"/>
  <c r="AN9" i="3"/>
  <c r="AN20" i="3"/>
  <c r="AO43" i="3"/>
  <c r="O23" i="3"/>
  <c r="P36" i="3"/>
  <c r="O18" i="3"/>
  <c r="P11" i="3"/>
  <c r="O43" i="3"/>
  <c r="O13" i="3"/>
  <c r="P35" i="3"/>
  <c r="O24" i="3"/>
  <c r="P26" i="3"/>
  <c r="O28" i="3"/>
  <c r="O40" i="3"/>
  <c r="O10" i="3"/>
  <c r="P37" i="3"/>
  <c r="P34" i="3"/>
  <c r="O45" i="3"/>
  <c r="P32" i="3"/>
  <c r="O31" i="3"/>
  <c r="A684" i="3"/>
  <c r="P12" i="3"/>
  <c r="P9" i="3"/>
  <c r="P43" i="3"/>
  <c r="P30" i="3"/>
  <c r="O25" i="3"/>
  <c r="P17" i="3"/>
  <c r="P44" i="3"/>
  <c r="P25" i="3"/>
  <c r="P46" i="3"/>
  <c r="P27" i="3"/>
  <c r="O19" i="3"/>
  <c r="P39" i="3"/>
  <c r="P40" i="3"/>
  <c r="O22" i="3"/>
  <c r="O21" i="3"/>
  <c r="P23" i="3"/>
  <c r="O20" i="3"/>
  <c r="P21" i="3"/>
  <c r="P682" i="3"/>
  <c r="O44" i="3"/>
  <c r="O38" i="3"/>
  <c r="P20" i="3"/>
  <c r="O39" i="3"/>
  <c r="F74" i="1"/>
  <c r="O37" i="3"/>
  <c r="O14" i="3"/>
  <c r="O29" i="3"/>
  <c r="O26" i="3"/>
  <c r="P28" i="3"/>
  <c r="P24" i="3"/>
  <c r="O682" i="3"/>
  <c r="O35" i="3"/>
  <c r="O33" i="3"/>
  <c r="P47" i="3"/>
  <c r="P48" i="3"/>
  <c r="O15" i="3"/>
  <c r="P33" i="3"/>
  <c r="O17" i="3"/>
  <c r="O27" i="3"/>
  <c r="P41" i="3"/>
  <c r="P18" i="3"/>
  <c r="P38" i="3"/>
  <c r="P31" i="3"/>
  <c r="P50" i="3"/>
  <c r="O34" i="3"/>
  <c r="P49" i="3"/>
  <c r="P10" i="3"/>
  <c r="O36" i="3"/>
  <c r="P15" i="3"/>
  <c r="O9" i="3"/>
  <c r="O12" i="3"/>
  <c r="P16" i="3"/>
  <c r="O41" i="3"/>
  <c r="P14" i="3"/>
  <c r="P29" i="3"/>
  <c r="P45" i="3"/>
  <c r="P22" i="3"/>
  <c r="O30" i="3"/>
  <c r="P19" i="3"/>
  <c r="O42" i="3"/>
  <c r="O32" i="3"/>
  <c r="O11" i="3"/>
  <c r="P42" i="3"/>
  <c r="P13" i="3"/>
  <c r="O16" i="3"/>
  <c r="P683" i="3"/>
  <c r="O683" i="3"/>
  <c r="O46" i="3"/>
  <c r="O47" i="3"/>
  <c r="O48" i="3"/>
  <c r="O49" i="3"/>
  <c r="AN42" i="3"/>
  <c r="AN17" i="3"/>
  <c r="AO27" i="3"/>
  <c r="AO40" i="3"/>
  <c r="AO14" i="3"/>
  <c r="T10" i="3"/>
  <c r="S14" i="3"/>
  <c r="T39" i="3"/>
  <c r="S43" i="3"/>
  <c r="T40" i="3"/>
  <c r="S29" i="3"/>
  <c r="T35" i="3"/>
  <c r="S24" i="3"/>
  <c r="S28" i="3"/>
  <c r="T47" i="3"/>
  <c r="T28" i="3"/>
  <c r="S11" i="3"/>
  <c r="T27" i="3"/>
  <c r="T21" i="3"/>
  <c r="S32" i="3"/>
  <c r="S37" i="3"/>
  <c r="T682" i="3"/>
  <c r="T34" i="3"/>
  <c r="T32" i="3"/>
  <c r="T23" i="3"/>
  <c r="S10" i="3"/>
  <c r="S25" i="3"/>
  <c r="T22" i="3"/>
  <c r="T14" i="3"/>
  <c r="T13" i="3"/>
  <c r="S13" i="3"/>
  <c r="T25" i="3"/>
  <c r="T17" i="3"/>
  <c r="T49" i="3"/>
  <c r="T11" i="3"/>
  <c r="T16" i="3"/>
  <c r="T24" i="3"/>
  <c r="S23" i="3"/>
  <c r="T42" i="3"/>
  <c r="T45" i="3"/>
  <c r="S42" i="3"/>
  <c r="S18" i="3"/>
  <c r="T15" i="3"/>
  <c r="T36" i="3"/>
  <c r="S26" i="3"/>
  <c r="T38" i="3"/>
  <c r="T48" i="3"/>
  <c r="T46" i="3"/>
  <c r="F76" i="1"/>
  <c r="S36" i="3"/>
  <c r="T29" i="3"/>
  <c r="T37" i="3"/>
  <c r="T12" i="3"/>
  <c r="S31" i="3"/>
  <c r="S41" i="3"/>
  <c r="S44" i="3"/>
  <c r="T50" i="3"/>
  <c r="T41" i="3"/>
  <c r="T30" i="3"/>
  <c r="T18" i="3"/>
  <c r="T9" i="3"/>
  <c r="S15" i="3"/>
  <c r="S19" i="3"/>
  <c r="S20" i="3"/>
  <c r="T19" i="3"/>
  <c r="S16" i="3"/>
  <c r="T26" i="3"/>
  <c r="T31" i="3"/>
  <c r="S17" i="3"/>
  <c r="S9" i="3"/>
  <c r="S21" i="3"/>
  <c r="S22" i="3"/>
  <c r="S30" i="3"/>
  <c r="S34" i="3"/>
  <c r="T44" i="3"/>
  <c r="S35" i="3"/>
  <c r="S39" i="3"/>
  <c r="S40" i="3"/>
  <c r="T33" i="3"/>
  <c r="A686" i="3"/>
  <c r="S683" i="3"/>
  <c r="S682" i="3"/>
  <c r="S33" i="3"/>
  <c r="S27" i="3"/>
  <c r="T683" i="3"/>
  <c r="T20" i="3"/>
  <c r="T43" i="3"/>
  <c r="S38" i="3"/>
  <c r="S12" i="3"/>
  <c r="S45" i="3"/>
  <c r="S46" i="3"/>
  <c r="S47" i="3"/>
  <c r="S48" i="3"/>
  <c r="S49" i="3"/>
  <c r="AO35" i="3"/>
  <c r="AG13" i="3"/>
  <c r="AO18" i="3"/>
  <c r="AN683" i="3"/>
  <c r="AO49" i="3"/>
  <c r="AO10" i="3"/>
  <c r="AN31" i="3"/>
  <c r="AN23" i="3"/>
  <c r="AO26" i="3"/>
  <c r="AN39" i="3"/>
  <c r="AN47" i="3"/>
  <c r="AO19" i="3"/>
  <c r="AG15" i="3"/>
  <c r="AH28" i="3"/>
  <c r="AH36" i="3"/>
  <c r="AH43" i="3"/>
  <c r="AH41" i="3"/>
  <c r="AQ50" i="3"/>
  <c r="B50" i="3"/>
  <c r="A51" i="3"/>
  <c r="P51" i="3" s="1"/>
  <c r="AR50" i="3"/>
  <c r="C50" i="3"/>
  <c r="D50" i="3"/>
  <c r="F50" i="3"/>
  <c r="G50" i="3"/>
  <c r="H50" i="3" s="1"/>
  <c r="Q50" i="3"/>
  <c r="S50" i="3"/>
  <c r="O50" i="3"/>
  <c r="U50" i="3"/>
  <c r="AF50" i="3"/>
  <c r="AH50" i="3" s="1"/>
  <c r="AG33" i="3"/>
  <c r="AG42" i="3"/>
  <c r="AG40" i="3"/>
  <c r="AH25" i="3"/>
  <c r="AH24" i="3"/>
  <c r="AH44" i="3"/>
  <c r="AH39" i="3"/>
  <c r="AH682" i="3"/>
  <c r="AN16" i="3"/>
  <c r="AO38" i="3"/>
  <c r="AG16" i="3"/>
  <c r="AH683" i="3"/>
  <c r="AH33" i="3"/>
  <c r="AH38" i="3"/>
  <c r="AH45" i="3"/>
  <c r="AH20" i="3"/>
  <c r="AH17" i="3"/>
  <c r="AH18" i="3"/>
  <c r="AO12" i="3"/>
  <c r="AH9" i="3"/>
  <c r="AH34" i="3"/>
  <c r="AO46" i="3"/>
  <c r="R43" i="3"/>
  <c r="Q11" i="3"/>
  <c r="Q15" i="3"/>
  <c r="R25" i="3"/>
  <c r="R15" i="3"/>
  <c r="Q16" i="3"/>
  <c r="R11" i="3"/>
  <c r="Q44" i="3"/>
  <c r="Q682" i="3"/>
  <c r="Q29" i="3"/>
  <c r="R30" i="3"/>
  <c r="Q25" i="3"/>
  <c r="R12" i="3"/>
  <c r="R42" i="3"/>
  <c r="R32" i="3"/>
  <c r="R45" i="3"/>
  <c r="Q23" i="3"/>
  <c r="R34" i="3"/>
  <c r="Q40" i="3"/>
  <c r="Q35" i="3"/>
  <c r="Q30" i="3"/>
  <c r="R20" i="3"/>
  <c r="R51" i="3"/>
  <c r="R24" i="3"/>
  <c r="R31" i="3"/>
  <c r="Q24" i="3"/>
  <c r="Q26" i="3"/>
  <c r="R40" i="3"/>
  <c r="R46" i="3"/>
  <c r="Q31" i="3"/>
  <c r="R47" i="3"/>
  <c r="Q19" i="3"/>
  <c r="R29" i="3"/>
  <c r="Q12" i="3"/>
  <c r="Q32" i="3"/>
  <c r="Q33" i="3"/>
  <c r="R35" i="3"/>
  <c r="R14" i="3"/>
  <c r="R44" i="3"/>
  <c r="Q34" i="3"/>
  <c r="Q27" i="3"/>
  <c r="F75" i="1"/>
  <c r="R50" i="3"/>
  <c r="R36" i="3"/>
  <c r="Q41" i="3"/>
  <c r="R41" i="3"/>
  <c r="R9" i="3"/>
  <c r="R28" i="3"/>
  <c r="R23" i="3"/>
  <c r="R22" i="3"/>
  <c r="R16" i="3"/>
  <c r="Q37" i="3"/>
  <c r="R38" i="3"/>
  <c r="R13" i="3"/>
  <c r="Q43" i="3"/>
  <c r="R21" i="3"/>
  <c r="R18" i="3"/>
  <c r="Q42" i="3"/>
  <c r="Q14" i="3"/>
  <c r="R49" i="3"/>
  <c r="R39" i="3"/>
  <c r="Q22" i="3"/>
  <c r="Q10" i="3"/>
  <c r="A685" i="3"/>
  <c r="U685" i="3" s="1"/>
  <c r="Q17" i="3"/>
  <c r="Q21" i="3"/>
  <c r="Q38" i="3"/>
  <c r="R37" i="3"/>
  <c r="R48" i="3"/>
  <c r="Q28" i="3"/>
  <c r="R33" i="3"/>
  <c r="Q39" i="3"/>
  <c r="R19" i="3"/>
  <c r="Q20" i="3"/>
  <c r="Q18" i="3"/>
  <c r="Q683" i="3"/>
  <c r="R10" i="3"/>
  <c r="Q13" i="3"/>
  <c r="R683" i="3"/>
  <c r="Q36" i="3"/>
  <c r="Q9" i="3"/>
  <c r="R27" i="3"/>
  <c r="R682" i="3"/>
  <c r="R26" i="3"/>
  <c r="R17" i="3"/>
  <c r="Q45" i="3"/>
  <c r="Q46" i="3"/>
  <c r="Q47" i="3"/>
  <c r="Q48" i="3"/>
  <c r="AG10" i="3"/>
  <c r="AH47" i="3"/>
  <c r="AH46" i="3"/>
  <c r="AH27" i="3"/>
  <c r="AH31" i="3"/>
  <c r="AH15" i="3"/>
  <c r="AH29" i="3"/>
  <c r="AH23" i="3"/>
  <c r="AN29" i="3"/>
  <c r="V14" i="3"/>
  <c r="V19" i="3"/>
  <c r="V12" i="3"/>
  <c r="U39" i="3"/>
  <c r="V10" i="3"/>
  <c r="V13" i="3"/>
  <c r="U22" i="3"/>
  <c r="U16" i="3"/>
  <c r="V20" i="3"/>
  <c r="U29" i="3"/>
  <c r="U11" i="3"/>
  <c r="V35" i="3"/>
  <c r="U42" i="3"/>
  <c r="U9" i="3"/>
  <c r="U26" i="3"/>
  <c r="U27" i="3"/>
  <c r="U38" i="3"/>
  <c r="U32" i="3"/>
  <c r="V50" i="3"/>
  <c r="V16" i="3"/>
  <c r="V47" i="3"/>
  <c r="V683" i="3"/>
  <c r="V44" i="3"/>
  <c r="U33" i="3"/>
  <c r="U43" i="3"/>
  <c r="U31" i="3"/>
  <c r="U37" i="3"/>
  <c r="U21" i="3"/>
  <c r="U23" i="3"/>
  <c r="V46" i="3"/>
  <c r="V49" i="3"/>
  <c r="U25" i="3"/>
  <c r="V24" i="3"/>
  <c r="V31" i="3"/>
  <c r="U13" i="3"/>
  <c r="V682" i="3"/>
  <c r="U17" i="3"/>
  <c r="V11" i="3"/>
  <c r="V27" i="3"/>
  <c r="V42" i="3"/>
  <c r="U12" i="3"/>
  <c r="V9" i="3"/>
  <c r="V36" i="3"/>
  <c r="V30" i="3"/>
  <c r="U20" i="3"/>
  <c r="U45" i="3"/>
  <c r="V25" i="3"/>
  <c r="U10" i="3"/>
  <c r="U36" i="3"/>
  <c r="V51" i="3"/>
  <c r="V15" i="3"/>
  <c r="V21" i="3"/>
  <c r="U682" i="3"/>
  <c r="U35" i="3"/>
  <c r="U19" i="3"/>
  <c r="V23" i="3"/>
  <c r="V37" i="3"/>
  <c r="V22" i="3"/>
  <c r="U28" i="3"/>
  <c r="V38" i="3"/>
  <c r="V45" i="3"/>
  <c r="U40" i="3"/>
  <c r="V26" i="3"/>
  <c r="A687" i="3"/>
  <c r="U41" i="3"/>
  <c r="V33" i="3"/>
  <c r="V17" i="3"/>
  <c r="U683" i="3"/>
  <c r="V29" i="3"/>
  <c r="V34" i="3"/>
  <c r="V32" i="3"/>
  <c r="V39" i="3"/>
  <c r="V41" i="3"/>
  <c r="U30" i="3"/>
  <c r="U15" i="3"/>
  <c r="V28" i="3"/>
  <c r="F77" i="1"/>
  <c r="U24" i="3"/>
  <c r="V43" i="3"/>
  <c r="V40" i="3"/>
  <c r="U34" i="3"/>
  <c r="V18" i="3"/>
  <c r="U18" i="3"/>
  <c r="U44" i="3"/>
  <c r="V48" i="3"/>
  <c r="U46" i="3"/>
  <c r="U14" i="3"/>
  <c r="U47" i="3"/>
  <c r="U48" i="3"/>
  <c r="AH19" i="3"/>
  <c r="AH26" i="3"/>
  <c r="AH32" i="3"/>
  <c r="AH14" i="3"/>
  <c r="AH30" i="3"/>
  <c r="AN48" i="3"/>
  <c r="AN32" i="3"/>
  <c r="AO41" i="3"/>
  <c r="AO15" i="3"/>
  <c r="AG35" i="3"/>
  <c r="AG49" i="3"/>
  <c r="AH42" i="3"/>
  <c r="AH37" i="3"/>
  <c r="AH11" i="3"/>
  <c r="AH12" i="3"/>
  <c r="AH22" i="3"/>
  <c r="AW26" i="3" l="1"/>
  <c r="X11" i="3"/>
  <c r="AW24" i="3"/>
  <c r="AW22" i="3"/>
  <c r="AW45" i="3"/>
  <c r="AW10" i="3"/>
  <c r="X32" i="3"/>
  <c r="X23" i="3"/>
  <c r="AW35" i="3"/>
  <c r="X27" i="3"/>
  <c r="AT48" i="3"/>
  <c r="AW48" i="3"/>
  <c r="X21" i="3"/>
  <c r="AW683" i="3"/>
  <c r="AW12" i="3"/>
  <c r="X9" i="3"/>
  <c r="AW44" i="3"/>
  <c r="Y47" i="3"/>
  <c r="Z47" i="3" s="1"/>
  <c r="Y43" i="3"/>
  <c r="Z43" i="3" s="1"/>
  <c r="AW49" i="3"/>
  <c r="X683" i="3"/>
  <c r="Y38" i="3"/>
  <c r="Z38" i="3" s="1"/>
  <c r="X30" i="3"/>
  <c r="AW43" i="3"/>
  <c r="Y37" i="3"/>
  <c r="Z37" i="3" s="1"/>
  <c r="X41" i="3"/>
  <c r="X38" i="3"/>
  <c r="Y35" i="3"/>
  <c r="Z35" i="3" s="1"/>
  <c r="AU21" i="3"/>
  <c r="AW28" i="3"/>
  <c r="AT16" i="3"/>
  <c r="Y23" i="3"/>
  <c r="Z23" i="3" s="1"/>
  <c r="AW20" i="3"/>
  <c r="X40" i="3"/>
  <c r="X35" i="3"/>
  <c r="AT21" i="3"/>
  <c r="Y40" i="3"/>
  <c r="Z40" i="3" s="1"/>
  <c r="Y42" i="3"/>
  <c r="Z42" i="3" s="1"/>
  <c r="Y41" i="3"/>
  <c r="Z41" i="3" s="1"/>
  <c r="AW21" i="3"/>
  <c r="Y46" i="3"/>
  <c r="Z46" i="3" s="1"/>
  <c r="X682" i="3"/>
  <c r="AW19" i="3"/>
  <c r="AW17" i="3"/>
  <c r="AX21" i="3"/>
  <c r="AW27" i="3"/>
  <c r="AW18" i="3"/>
  <c r="X33" i="3"/>
  <c r="X16" i="3"/>
  <c r="Y26" i="3"/>
  <c r="Z26" i="3" s="1"/>
  <c r="BN50" i="3"/>
  <c r="BM50" i="3"/>
  <c r="Y27" i="3"/>
  <c r="Z27" i="3" s="1"/>
  <c r="Y49" i="3"/>
  <c r="Z49" i="3" s="1"/>
  <c r="X49" i="3"/>
  <c r="X45" i="3"/>
  <c r="AP9" i="3"/>
  <c r="AW36" i="3"/>
  <c r="AW46" i="3"/>
  <c r="AT27" i="3"/>
  <c r="X48" i="3"/>
  <c r="X36" i="3"/>
  <c r="Y24" i="3"/>
  <c r="Z24" i="3" s="1"/>
  <c r="AW25" i="3"/>
  <c r="AW30" i="3"/>
  <c r="AW9" i="3"/>
  <c r="X26" i="3"/>
  <c r="AW40" i="3"/>
  <c r="X47" i="3"/>
  <c r="X24" i="3"/>
  <c r="Y683" i="3"/>
  <c r="Z683" i="3" s="1"/>
  <c r="AW32" i="3"/>
  <c r="Y45" i="3"/>
  <c r="Z45" i="3" s="1"/>
  <c r="X17" i="3"/>
  <c r="Y10" i="3"/>
  <c r="Z10" i="3" s="1"/>
  <c r="AW13" i="3"/>
  <c r="AW14" i="3"/>
  <c r="Y30" i="3"/>
  <c r="Z30" i="3" s="1"/>
  <c r="Y16" i="3"/>
  <c r="Z16" i="3" s="1"/>
  <c r="X39" i="3"/>
  <c r="X19" i="3"/>
  <c r="Y21" i="3"/>
  <c r="Z21" i="3" s="1"/>
  <c r="AW41" i="3"/>
  <c r="X15" i="3"/>
  <c r="Y17" i="3"/>
  <c r="Z17" i="3" s="1"/>
  <c r="X28" i="3"/>
  <c r="X13" i="3"/>
  <c r="X37" i="3"/>
  <c r="Y50" i="3"/>
  <c r="Z50" i="3" s="1"/>
  <c r="Y12" i="3"/>
  <c r="Z12" i="3" s="1"/>
  <c r="AU48" i="3"/>
  <c r="AW11" i="3"/>
  <c r="AG50" i="3"/>
  <c r="AU50" i="3" s="1"/>
  <c r="X42" i="3"/>
  <c r="AX16" i="3"/>
  <c r="Y33" i="3"/>
  <c r="Z33" i="3" s="1"/>
  <c r="Y22" i="3"/>
  <c r="Z22" i="3" s="1"/>
  <c r="Y9" i="3"/>
  <c r="Z9" i="3" s="1"/>
  <c r="X31" i="3"/>
  <c r="Y19" i="3"/>
  <c r="Z19" i="3" s="1"/>
  <c r="AI9" i="3"/>
  <c r="X12" i="3"/>
  <c r="X43" i="3"/>
  <c r="Y20" i="3"/>
  <c r="Z20" i="3" s="1"/>
  <c r="AU37" i="3"/>
  <c r="AT37" i="3"/>
  <c r="AX37" i="3"/>
  <c r="AU19" i="3"/>
  <c r="AT19" i="3"/>
  <c r="AX19" i="3"/>
  <c r="X10" i="3"/>
  <c r="AU46" i="3"/>
  <c r="AX46" i="3"/>
  <c r="AT46" i="3"/>
  <c r="AD685" i="3"/>
  <c r="S685" i="3"/>
  <c r="F685" i="3"/>
  <c r="O685" i="3"/>
  <c r="R685" i="3"/>
  <c r="AR685" i="3"/>
  <c r="Q685" i="3"/>
  <c r="D685" i="3"/>
  <c r="AQ685" i="3"/>
  <c r="C685" i="3"/>
  <c r="B685" i="3"/>
  <c r="T685" i="3"/>
  <c r="P685" i="3"/>
  <c r="G685" i="3"/>
  <c r="H685" i="3" s="1"/>
  <c r="V685" i="3"/>
  <c r="AE685" i="3"/>
  <c r="AF685" i="3"/>
  <c r="M685" i="3"/>
  <c r="AK685" i="3"/>
  <c r="AM685" i="3"/>
  <c r="AT45" i="3"/>
  <c r="AX45" i="3"/>
  <c r="AU45" i="3"/>
  <c r="AW15" i="3"/>
  <c r="X46" i="3"/>
  <c r="Y15" i="3"/>
  <c r="Z15" i="3" s="1"/>
  <c r="Y48" i="3"/>
  <c r="Z48" i="3" s="1"/>
  <c r="Y28" i="3"/>
  <c r="Z28" i="3" s="1"/>
  <c r="Y44" i="3"/>
  <c r="Z44" i="3" s="1"/>
  <c r="Y32" i="3"/>
  <c r="Z32" i="3" s="1"/>
  <c r="AX10" i="3"/>
  <c r="AU10" i="3"/>
  <c r="AT10" i="3"/>
  <c r="AT40" i="3"/>
  <c r="AX47" i="3"/>
  <c r="AT47" i="3"/>
  <c r="AU47" i="3"/>
  <c r="AT38" i="3"/>
  <c r="AX38" i="3"/>
  <c r="AU38" i="3"/>
  <c r="AU16" i="3"/>
  <c r="AT13" i="3"/>
  <c r="AX40" i="3"/>
  <c r="X29" i="3"/>
  <c r="AT33" i="3"/>
  <c r="AU33" i="3"/>
  <c r="AX33" i="3"/>
  <c r="AT49" i="3"/>
  <c r="AT41" i="3"/>
  <c r="AX41" i="3"/>
  <c r="AU41" i="3"/>
  <c r="AX49" i="3"/>
  <c r="T51" i="3"/>
  <c r="Y29" i="3"/>
  <c r="Z29" i="3" s="1"/>
  <c r="Y39" i="3"/>
  <c r="Z39" i="3" s="1"/>
  <c r="X25" i="3"/>
  <c r="Y34" i="3"/>
  <c r="Z34" i="3" s="1"/>
  <c r="AX48" i="3"/>
  <c r="AY48" i="3" s="1"/>
  <c r="AU13" i="3"/>
  <c r="AU42" i="3"/>
  <c r="AX42" i="3"/>
  <c r="AT42" i="3"/>
  <c r="AW37" i="3"/>
  <c r="AX23" i="3"/>
  <c r="AU23" i="3"/>
  <c r="AT23" i="3"/>
  <c r="AX683" i="3"/>
  <c r="AU683" i="3"/>
  <c r="AT683" i="3"/>
  <c r="AT682" i="3"/>
  <c r="AU682" i="3"/>
  <c r="AX682" i="3"/>
  <c r="AW42" i="3"/>
  <c r="AT43" i="3"/>
  <c r="AU43" i="3"/>
  <c r="AX43" i="3"/>
  <c r="AQ686" i="3"/>
  <c r="O686" i="3"/>
  <c r="B686" i="3"/>
  <c r="T686" i="3"/>
  <c r="R686" i="3"/>
  <c r="F686" i="3"/>
  <c r="Q686" i="3"/>
  <c r="C686" i="3"/>
  <c r="D686" i="3"/>
  <c r="S686" i="3"/>
  <c r="G686" i="3"/>
  <c r="H686" i="3" s="1"/>
  <c r="AR686" i="3"/>
  <c r="P686" i="3"/>
  <c r="V686" i="3"/>
  <c r="U686" i="3"/>
  <c r="AF686" i="3"/>
  <c r="AE686" i="3"/>
  <c r="M686" i="3"/>
  <c r="AD686" i="3"/>
  <c r="AK686" i="3"/>
  <c r="AM686" i="3"/>
  <c r="X34" i="3"/>
  <c r="X14" i="3"/>
  <c r="AX13" i="3"/>
  <c r="AX30" i="3"/>
  <c r="AT30" i="3"/>
  <c r="AU30" i="3"/>
  <c r="T687" i="3"/>
  <c r="S687" i="3"/>
  <c r="B687" i="3"/>
  <c r="Q687" i="3"/>
  <c r="AR687" i="3"/>
  <c r="D687" i="3"/>
  <c r="F687" i="3"/>
  <c r="P687" i="3"/>
  <c r="O687" i="3"/>
  <c r="C687" i="3"/>
  <c r="R687" i="3"/>
  <c r="V687" i="3"/>
  <c r="AQ687" i="3"/>
  <c r="U687" i="3"/>
  <c r="G687" i="3"/>
  <c r="H687" i="3" s="1"/>
  <c r="AF687" i="3"/>
  <c r="AD687" i="3"/>
  <c r="M687" i="3"/>
  <c r="AE687" i="3"/>
  <c r="AM687" i="3"/>
  <c r="AK687" i="3"/>
  <c r="X20" i="3"/>
  <c r="Y14" i="3"/>
  <c r="Z14" i="3" s="1"/>
  <c r="AU29" i="3"/>
  <c r="AX29" i="3"/>
  <c r="AT29" i="3"/>
  <c r="AU34" i="3"/>
  <c r="AX34" i="3"/>
  <c r="AT34" i="3"/>
  <c r="AU49" i="3"/>
  <c r="AW16" i="3"/>
  <c r="AW39" i="3"/>
  <c r="AT39" i="3"/>
  <c r="AU39" i="3"/>
  <c r="AX39" i="3"/>
  <c r="AW33" i="3"/>
  <c r="AU36" i="3"/>
  <c r="AT36" i="3"/>
  <c r="AX36" i="3"/>
  <c r="X44" i="3"/>
  <c r="Y11" i="3"/>
  <c r="Z11" i="3" s="1"/>
  <c r="AW29" i="3"/>
  <c r="AW47" i="3"/>
  <c r="AU22" i="3"/>
  <c r="AX22" i="3"/>
  <c r="AT22" i="3"/>
  <c r="AX14" i="3"/>
  <c r="AU14" i="3"/>
  <c r="AT14" i="3"/>
  <c r="AT15" i="3"/>
  <c r="AX15" i="3"/>
  <c r="AU15" i="3"/>
  <c r="AT9" i="3"/>
  <c r="AU9" i="3"/>
  <c r="AU3" i="3" s="1"/>
  <c r="AU4" i="3" s="1"/>
  <c r="AX9" i="3"/>
  <c r="AT18" i="3"/>
  <c r="AU18" i="3"/>
  <c r="AX18" i="3"/>
  <c r="AT44" i="3"/>
  <c r="AX44" i="3"/>
  <c r="AU44" i="3"/>
  <c r="AT28" i="3"/>
  <c r="AX28" i="3"/>
  <c r="AU28" i="3"/>
  <c r="Y31" i="3"/>
  <c r="Z31" i="3" s="1"/>
  <c r="Y682" i="3"/>
  <c r="Z682" i="3" s="1"/>
  <c r="X18" i="3"/>
  <c r="AW682" i="3"/>
  <c r="AX35" i="3"/>
  <c r="AX12" i="3"/>
  <c r="AY12" i="3" s="1"/>
  <c r="AU12" i="3"/>
  <c r="AT12" i="3"/>
  <c r="AT32" i="3"/>
  <c r="AU32" i="3"/>
  <c r="AX32" i="3"/>
  <c r="X22" i="3"/>
  <c r="AT31" i="3"/>
  <c r="AU31" i="3"/>
  <c r="AX31" i="3"/>
  <c r="AW31" i="3"/>
  <c r="AX17" i="3"/>
  <c r="AT17" i="3"/>
  <c r="AU17" i="3"/>
  <c r="AT24" i="3"/>
  <c r="AU24" i="3"/>
  <c r="AX24" i="3"/>
  <c r="X50" i="3"/>
  <c r="AW23" i="3"/>
  <c r="AF684" i="3"/>
  <c r="F684" i="3"/>
  <c r="V684" i="3"/>
  <c r="G684" i="3"/>
  <c r="H684" i="3" s="1"/>
  <c r="R684" i="3"/>
  <c r="D684" i="3"/>
  <c r="T684" i="3"/>
  <c r="S684" i="3"/>
  <c r="AQ684" i="3"/>
  <c r="C684" i="3"/>
  <c r="O684" i="3"/>
  <c r="B684" i="3"/>
  <c r="AR684" i="3"/>
  <c r="P684" i="3"/>
  <c r="U684" i="3"/>
  <c r="Q684" i="3"/>
  <c r="AD684" i="3"/>
  <c r="M684" i="3"/>
  <c r="AE684" i="3"/>
  <c r="AK684" i="3"/>
  <c r="AM684" i="3"/>
  <c r="Y36" i="3"/>
  <c r="Z36" i="3" s="1"/>
  <c r="AT35" i="3"/>
  <c r="AX11" i="3"/>
  <c r="AU11" i="3"/>
  <c r="AT11" i="3"/>
  <c r="AT26" i="3"/>
  <c r="AX26" i="3"/>
  <c r="AY26" i="3" s="1"/>
  <c r="AU26" i="3"/>
  <c r="Y13" i="3"/>
  <c r="Z13" i="3" s="1"/>
  <c r="AU27" i="3"/>
  <c r="AX27" i="3"/>
  <c r="AW34" i="3"/>
  <c r="AX20" i="3"/>
  <c r="AT20" i="3"/>
  <c r="AU20" i="3"/>
  <c r="AW38" i="3"/>
  <c r="AT25" i="3"/>
  <c r="AX25" i="3"/>
  <c r="AU25" i="3"/>
  <c r="AQ51" i="3"/>
  <c r="AR51" i="3"/>
  <c r="A52" i="3"/>
  <c r="B51" i="3"/>
  <c r="D51" i="3"/>
  <c r="C51" i="3"/>
  <c r="F51" i="3"/>
  <c r="G51" i="3"/>
  <c r="H51" i="3" s="1"/>
  <c r="Q51" i="3"/>
  <c r="S51" i="3"/>
  <c r="O51" i="3"/>
  <c r="U51" i="3"/>
  <c r="M51" i="3"/>
  <c r="AE51" i="3"/>
  <c r="AK51" i="3"/>
  <c r="AM51" i="3"/>
  <c r="AF51" i="3"/>
  <c r="AD51" i="3"/>
  <c r="Y18" i="3"/>
  <c r="Z18" i="3" s="1"/>
  <c r="Y25" i="3"/>
  <c r="Z25" i="3" s="1"/>
  <c r="AU35" i="3"/>
  <c r="AU40" i="3"/>
  <c r="AY22" i="3" l="1"/>
  <c r="AY45" i="3"/>
  <c r="AY24" i="3"/>
  <c r="AY683" i="3"/>
  <c r="AY35" i="3"/>
  <c r="AV48" i="3"/>
  <c r="AY10" i="3"/>
  <c r="AY21" i="3"/>
  <c r="AY43" i="3"/>
  <c r="AY32" i="3"/>
  <c r="AY25" i="3"/>
  <c r="AY36" i="3"/>
  <c r="AY44" i="3"/>
  <c r="AY9" i="3"/>
  <c r="AV21" i="3"/>
  <c r="AV27" i="3"/>
  <c r="AY49" i="3"/>
  <c r="AY18" i="3"/>
  <c r="AV16" i="3"/>
  <c r="AY27" i="3"/>
  <c r="AY28" i="3"/>
  <c r="AY16" i="3"/>
  <c r="AY30" i="3"/>
  <c r="AY20" i="3"/>
  <c r="BA21" i="3"/>
  <c r="BB21" i="3" s="1"/>
  <c r="AY46" i="3"/>
  <c r="AY17" i="3"/>
  <c r="AY19" i="3"/>
  <c r="AY41" i="3"/>
  <c r="AN685" i="3"/>
  <c r="AN51" i="3"/>
  <c r="BN51" i="3"/>
  <c r="BM51" i="3"/>
  <c r="AT50" i="3"/>
  <c r="AV50" i="3" s="1"/>
  <c r="AW50" i="3"/>
  <c r="AX50" i="3"/>
  <c r="AY14" i="3"/>
  <c r="AO687" i="3"/>
  <c r="AY13" i="3"/>
  <c r="AY40" i="3"/>
  <c r="AN684" i="3"/>
  <c r="AY11" i="3"/>
  <c r="AY34" i="3"/>
  <c r="AY682" i="3"/>
  <c r="AH686" i="3"/>
  <c r="AY42" i="3"/>
  <c r="AG51" i="3"/>
  <c r="AH687" i="3"/>
  <c r="AO686" i="3"/>
  <c r="AO685" i="3"/>
  <c r="AH684" i="3"/>
  <c r="AH685" i="3"/>
  <c r="AY31" i="3"/>
  <c r="AY47" i="3"/>
  <c r="AY15" i="3"/>
  <c r="Y51" i="3"/>
  <c r="Z51" i="3" s="1"/>
  <c r="X685" i="3"/>
  <c r="BA22" i="3"/>
  <c r="AV22" i="3"/>
  <c r="BC22" i="3" s="1"/>
  <c r="AV23" i="3"/>
  <c r="BA23" i="3"/>
  <c r="AV35" i="3"/>
  <c r="BA35" i="3"/>
  <c r="AV44" i="3"/>
  <c r="BA44" i="3"/>
  <c r="BA34" i="3"/>
  <c r="AV34" i="3"/>
  <c r="AG686" i="3"/>
  <c r="AY23" i="3"/>
  <c r="X51" i="3"/>
  <c r="BA12" i="3"/>
  <c r="AV12" i="3"/>
  <c r="BC12" i="3" s="1"/>
  <c r="BA682" i="3"/>
  <c r="AV682" i="3"/>
  <c r="AY37" i="3"/>
  <c r="AV49" i="3"/>
  <c r="BA49" i="3"/>
  <c r="BC48" i="3"/>
  <c r="AV47" i="3"/>
  <c r="BA47" i="3"/>
  <c r="BA45" i="3"/>
  <c r="AV45" i="3"/>
  <c r="BC45" i="3" s="1"/>
  <c r="BA37" i="3"/>
  <c r="AV37" i="3"/>
  <c r="AO51" i="3"/>
  <c r="AV36" i="3"/>
  <c r="BA36" i="3"/>
  <c r="BA27" i="3"/>
  <c r="AV41" i="3"/>
  <c r="BA41" i="3"/>
  <c r="BA38" i="3"/>
  <c r="AV38" i="3"/>
  <c r="AR52" i="3"/>
  <c r="B52" i="3"/>
  <c r="AQ52" i="3"/>
  <c r="A53" i="3"/>
  <c r="D52" i="3"/>
  <c r="C52" i="3"/>
  <c r="G52" i="3"/>
  <c r="H52" i="3" s="1"/>
  <c r="F52" i="3"/>
  <c r="Q52" i="3"/>
  <c r="S52" i="3"/>
  <c r="O52" i="3"/>
  <c r="U52" i="3"/>
  <c r="AD52" i="3"/>
  <c r="M52" i="3"/>
  <c r="AE52" i="3"/>
  <c r="AK52" i="3"/>
  <c r="AM52" i="3"/>
  <c r="AF52" i="3"/>
  <c r="R52" i="3"/>
  <c r="V52" i="3"/>
  <c r="P52" i="3"/>
  <c r="T52" i="3"/>
  <c r="AV20" i="3"/>
  <c r="BA20" i="3"/>
  <c r="AO684" i="3"/>
  <c r="BA15" i="3"/>
  <c r="AV15" i="3"/>
  <c r="AY29" i="3"/>
  <c r="AY39" i="3"/>
  <c r="AN687" i="3"/>
  <c r="X686" i="3"/>
  <c r="AV683" i="3"/>
  <c r="BA683" i="3"/>
  <c r="AV42" i="3"/>
  <c r="BA42" i="3"/>
  <c r="AY33" i="3"/>
  <c r="BA48" i="3"/>
  <c r="AV10" i="3"/>
  <c r="BA10" i="3"/>
  <c r="AV19" i="3"/>
  <c r="BC19" i="3" s="1"/>
  <c r="BA19" i="3"/>
  <c r="AG685" i="3"/>
  <c r="Y684" i="3"/>
  <c r="Z684" i="3" s="1"/>
  <c r="BA32" i="3"/>
  <c r="AV32" i="3"/>
  <c r="Y687" i="3"/>
  <c r="Z687" i="3" s="1"/>
  <c r="BA13" i="3"/>
  <c r="AV13" i="3"/>
  <c r="Y685" i="3"/>
  <c r="Z685" i="3" s="1"/>
  <c r="BA16" i="3"/>
  <c r="AV26" i="3"/>
  <c r="BC26" i="3" s="1"/>
  <c r="BA26" i="3"/>
  <c r="AG684" i="3"/>
  <c r="BA24" i="3"/>
  <c r="AV24" i="3"/>
  <c r="BC24" i="3" s="1"/>
  <c r="AV31" i="3"/>
  <c r="BA31" i="3"/>
  <c r="AV14" i="3"/>
  <c r="BA14" i="3"/>
  <c r="AG687" i="3"/>
  <c r="Y686" i="3"/>
  <c r="Z686" i="3" s="1"/>
  <c r="BA17" i="3"/>
  <c r="AV17" i="3"/>
  <c r="BA43" i="3"/>
  <c r="AV43" i="3"/>
  <c r="BA25" i="3"/>
  <c r="AV25" i="3"/>
  <c r="BA9" i="3"/>
  <c r="AV9" i="3"/>
  <c r="AT3" i="3"/>
  <c r="AT4" i="3" s="1"/>
  <c r="BA30" i="3"/>
  <c r="AV30" i="3"/>
  <c r="AY38" i="3"/>
  <c r="BA46" i="3"/>
  <c r="AV46" i="3"/>
  <c r="AH51" i="3"/>
  <c r="AV11" i="3"/>
  <c r="BA11" i="3"/>
  <c r="X684" i="3"/>
  <c r="BA28" i="3"/>
  <c r="AV28" i="3"/>
  <c r="BC28" i="3" s="1"/>
  <c r="AV18" i="3"/>
  <c r="BA18" i="3"/>
  <c r="BA39" i="3"/>
  <c r="AV39" i="3"/>
  <c r="AV29" i="3"/>
  <c r="BA29" i="3"/>
  <c r="X687" i="3"/>
  <c r="AN686" i="3"/>
  <c r="AV33" i="3"/>
  <c r="BA33" i="3"/>
  <c r="AV40" i="3"/>
  <c r="BA40" i="3"/>
  <c r="BC683" i="3" l="1"/>
  <c r="BC35" i="3"/>
  <c r="BC10" i="3"/>
  <c r="BC21" i="3"/>
  <c r="BG21" i="3" s="1"/>
  <c r="BH21" i="3" s="1"/>
  <c r="BI21" i="3" s="1"/>
  <c r="BC43" i="3"/>
  <c r="BG43" i="3" s="1"/>
  <c r="BH43" i="3" s="1"/>
  <c r="BI43" i="3" s="1"/>
  <c r="BC11" i="3"/>
  <c r="BD11" i="3" s="1"/>
  <c r="BC32" i="3"/>
  <c r="BG32" i="3" s="1"/>
  <c r="BH32" i="3" s="1"/>
  <c r="BI32" i="3" s="1"/>
  <c r="BC46" i="3"/>
  <c r="BG46" i="3" s="1"/>
  <c r="BH46" i="3" s="1"/>
  <c r="BI46" i="3" s="1"/>
  <c r="BC25" i="3"/>
  <c r="BD25" i="3" s="1"/>
  <c r="BC36" i="3"/>
  <c r="BD36" i="3" s="1"/>
  <c r="BC44" i="3"/>
  <c r="BG44" i="3" s="1"/>
  <c r="BH44" i="3" s="1"/>
  <c r="BI44" i="3" s="1"/>
  <c r="BC30" i="3"/>
  <c r="BG30" i="3" s="1"/>
  <c r="BH30" i="3" s="1"/>
  <c r="BI30" i="3" s="1"/>
  <c r="BC16" i="3"/>
  <c r="BG16" i="3" s="1"/>
  <c r="BH16" i="3" s="1"/>
  <c r="BI16" i="3" s="1"/>
  <c r="BC9" i="3"/>
  <c r="BD9" i="3" s="1"/>
  <c r="BC17" i="3"/>
  <c r="BD17" i="3" s="1"/>
  <c r="BC49" i="3"/>
  <c r="BD49" i="3" s="1"/>
  <c r="BC27" i="3"/>
  <c r="BG27" i="3" s="1"/>
  <c r="BH27" i="3" s="1"/>
  <c r="BI27" i="3" s="1"/>
  <c r="BC18" i="3"/>
  <c r="BD18" i="3" s="1"/>
  <c r="BC20" i="3"/>
  <c r="BD20" i="3" s="1"/>
  <c r="BC41" i="3"/>
  <c r="BG41" i="3" s="1"/>
  <c r="BH41" i="3" s="1"/>
  <c r="BI41" i="3" s="1"/>
  <c r="BC40" i="3"/>
  <c r="BD40" i="3" s="1"/>
  <c r="BQ21" i="3"/>
  <c r="BF21" i="3"/>
  <c r="BC14" i="3"/>
  <c r="BD14" i="3" s="1"/>
  <c r="AU684" i="3"/>
  <c r="AX684" i="3"/>
  <c r="AY50" i="3"/>
  <c r="BC50" i="3" s="1"/>
  <c r="BA50" i="3"/>
  <c r="BB50" i="3" s="1"/>
  <c r="BC13" i="3"/>
  <c r="BD13" i="3" s="1"/>
  <c r="AW685" i="3"/>
  <c r="BC34" i="3"/>
  <c r="BG34" i="3" s="1"/>
  <c r="BH34" i="3" s="1"/>
  <c r="BI34" i="3" s="1"/>
  <c r="AO52" i="3"/>
  <c r="BC682" i="3"/>
  <c r="BD682" i="3" s="1"/>
  <c r="AX686" i="3"/>
  <c r="BC42" i="3"/>
  <c r="BG42" i="3" s="1"/>
  <c r="BH42" i="3" s="1"/>
  <c r="BI42" i="3" s="1"/>
  <c r="AT687" i="3"/>
  <c r="BC37" i="3"/>
  <c r="BD37" i="3" s="1"/>
  <c r="BC15" i="3"/>
  <c r="BD15" i="3" s="1"/>
  <c r="AW51" i="3"/>
  <c r="BC23" i="3"/>
  <c r="BG23" i="3" s="1"/>
  <c r="BH23" i="3" s="1"/>
  <c r="BI23" i="3" s="1"/>
  <c r="BC47" i="3"/>
  <c r="BG47" i="3" s="1"/>
  <c r="BH47" i="3" s="1"/>
  <c r="BI47" i="3" s="1"/>
  <c r="BC38" i="3"/>
  <c r="BD38" i="3" s="1"/>
  <c r="AX687" i="3"/>
  <c r="AH52" i="3"/>
  <c r="BC31" i="3"/>
  <c r="BG31" i="3" s="1"/>
  <c r="BH31" i="3" s="1"/>
  <c r="BI31" i="3" s="1"/>
  <c r="BF48" i="3"/>
  <c r="BQ48" i="3"/>
  <c r="BB48" i="3"/>
  <c r="BQ25" i="3"/>
  <c r="BB25" i="3"/>
  <c r="BF25" i="3"/>
  <c r="BB24" i="3"/>
  <c r="BF24" i="3"/>
  <c r="BQ24" i="3"/>
  <c r="BD48" i="3"/>
  <c r="BG48" i="3"/>
  <c r="BH48" i="3" s="1"/>
  <c r="BI48" i="3" s="1"/>
  <c r="BB42" i="3"/>
  <c r="BQ42" i="3"/>
  <c r="BF42" i="3"/>
  <c r="BF41" i="3"/>
  <c r="BQ41" i="3"/>
  <c r="BB41" i="3"/>
  <c r="BF49" i="3"/>
  <c r="BQ49" i="3"/>
  <c r="BB49" i="3"/>
  <c r="AW687" i="3"/>
  <c r="BQ37" i="3"/>
  <c r="BB37" i="3"/>
  <c r="BF37" i="3"/>
  <c r="BQ22" i="3"/>
  <c r="BB22" i="3"/>
  <c r="BF22" i="3"/>
  <c r="BQ40" i="3"/>
  <c r="BB40" i="3"/>
  <c r="BF40" i="3"/>
  <c r="BC39" i="3"/>
  <c r="BB30" i="3"/>
  <c r="BQ30" i="3"/>
  <c r="BF30" i="3"/>
  <c r="BB14" i="3"/>
  <c r="BQ14" i="3"/>
  <c r="BF14" i="3"/>
  <c r="BD26" i="3"/>
  <c r="BG26" i="3"/>
  <c r="BH26" i="3" s="1"/>
  <c r="BI26" i="3" s="1"/>
  <c r="BD19" i="3"/>
  <c r="BG19" i="3"/>
  <c r="BH19" i="3" s="1"/>
  <c r="BI19" i="3" s="1"/>
  <c r="BB683" i="3"/>
  <c r="BF683" i="3"/>
  <c r="BQ15" i="3"/>
  <c r="BF15" i="3"/>
  <c r="BB15" i="3"/>
  <c r="BF27" i="3"/>
  <c r="BQ27" i="3"/>
  <c r="BB27" i="3"/>
  <c r="AT685" i="3"/>
  <c r="BD12" i="3"/>
  <c r="BG12" i="3"/>
  <c r="BH12" i="3" s="1"/>
  <c r="BI12" i="3" s="1"/>
  <c r="BD28" i="3"/>
  <c r="BG28" i="3"/>
  <c r="BH28" i="3" s="1"/>
  <c r="BI28" i="3" s="1"/>
  <c r="BB17" i="3"/>
  <c r="BF17" i="3"/>
  <c r="BQ17" i="3"/>
  <c r="BB23" i="3"/>
  <c r="BQ23" i="3"/>
  <c r="BF23" i="3"/>
  <c r="BB13" i="3"/>
  <c r="BQ13" i="3"/>
  <c r="BF13" i="3"/>
  <c r="BB29" i="3"/>
  <c r="BQ29" i="3"/>
  <c r="BF29" i="3"/>
  <c r="AT684" i="3"/>
  <c r="AW684" i="3"/>
  <c r="Y52" i="3"/>
  <c r="Z52" i="3" s="1"/>
  <c r="BF11" i="3"/>
  <c r="BQ11" i="3"/>
  <c r="BB11" i="3"/>
  <c r="BQ19" i="3"/>
  <c r="BB19" i="3"/>
  <c r="BF19" i="3"/>
  <c r="BQ44" i="3"/>
  <c r="BB44" i="3"/>
  <c r="BF44" i="3"/>
  <c r="BQ39" i="3"/>
  <c r="BF39" i="3"/>
  <c r="BB39" i="3"/>
  <c r="AU51" i="3"/>
  <c r="BF43" i="3"/>
  <c r="BB43" i="3"/>
  <c r="BQ43" i="3"/>
  <c r="AT51" i="3"/>
  <c r="BB32" i="3"/>
  <c r="BQ32" i="3"/>
  <c r="BF32" i="3"/>
  <c r="BQ10" i="3"/>
  <c r="BB10" i="3"/>
  <c r="BF10" i="3"/>
  <c r="BG683" i="3"/>
  <c r="BH683" i="3" s="1"/>
  <c r="BI683" i="3" s="1"/>
  <c r="BD683" i="3"/>
  <c r="AN52" i="3"/>
  <c r="BD45" i="3"/>
  <c r="BG45" i="3"/>
  <c r="BH45" i="3" s="1"/>
  <c r="BI45" i="3" s="1"/>
  <c r="BB12" i="3"/>
  <c r="BQ12" i="3"/>
  <c r="BF12" i="3"/>
  <c r="BB35" i="3"/>
  <c r="BQ35" i="3"/>
  <c r="BF35" i="3"/>
  <c r="BF46" i="3"/>
  <c r="BQ46" i="3"/>
  <c r="BB46" i="3"/>
  <c r="AW686" i="3"/>
  <c r="BB38" i="3"/>
  <c r="BQ38" i="3"/>
  <c r="BF38" i="3"/>
  <c r="AU686" i="3"/>
  <c r="X52" i="3"/>
  <c r="BQ34" i="3"/>
  <c r="BB34" i="3"/>
  <c r="BF34" i="3"/>
  <c r="BF26" i="3"/>
  <c r="BQ26" i="3"/>
  <c r="BB26" i="3"/>
  <c r="AX51" i="3"/>
  <c r="BF31" i="3"/>
  <c r="BB31" i="3"/>
  <c r="BQ31" i="3"/>
  <c r="BF16" i="3"/>
  <c r="BB16" i="3"/>
  <c r="BQ16" i="3"/>
  <c r="BD10" i="3"/>
  <c r="BG10" i="3"/>
  <c r="BH10" i="3" s="1"/>
  <c r="BI10" i="3" s="1"/>
  <c r="BF20" i="3"/>
  <c r="BQ20" i="3"/>
  <c r="BB20" i="3"/>
  <c r="BM52" i="3"/>
  <c r="BB36" i="3"/>
  <c r="BQ36" i="3"/>
  <c r="BF36" i="3"/>
  <c r="BF45" i="3"/>
  <c r="BB45" i="3"/>
  <c r="BQ45" i="3"/>
  <c r="BF682" i="3"/>
  <c r="BB682" i="3"/>
  <c r="BD35" i="3"/>
  <c r="BG35" i="3"/>
  <c r="BH35" i="3" s="1"/>
  <c r="BI35" i="3" s="1"/>
  <c r="BG24" i="3"/>
  <c r="BH24" i="3" s="1"/>
  <c r="BI24" i="3" s="1"/>
  <c r="BD24" i="3"/>
  <c r="BQ28" i="3"/>
  <c r="BF28" i="3"/>
  <c r="BB28" i="3"/>
  <c r="AX685" i="3"/>
  <c r="AQ53" i="3"/>
  <c r="AR53" i="3"/>
  <c r="A54" i="3"/>
  <c r="B53" i="3"/>
  <c r="D53" i="3"/>
  <c r="C53" i="3"/>
  <c r="G53" i="3"/>
  <c r="H53" i="3" s="1"/>
  <c r="BN53" i="3" s="1"/>
  <c r="F53" i="3"/>
  <c r="Q53" i="3"/>
  <c r="S53" i="3"/>
  <c r="O53" i="3"/>
  <c r="U53" i="3"/>
  <c r="AD53" i="3"/>
  <c r="M53" i="3"/>
  <c r="AE53" i="3"/>
  <c r="AM53" i="3"/>
  <c r="AF53" i="3"/>
  <c r="AK53" i="3"/>
  <c r="R53" i="3"/>
  <c r="V53" i="3"/>
  <c r="T53" i="3"/>
  <c r="P53" i="3"/>
  <c r="BD22" i="3"/>
  <c r="BG22" i="3"/>
  <c r="BH22" i="3" s="1"/>
  <c r="BI22" i="3" s="1"/>
  <c r="BC29" i="3"/>
  <c r="AU687" i="3"/>
  <c r="BQ33" i="3"/>
  <c r="BB33" i="3"/>
  <c r="BF33" i="3"/>
  <c r="BF18" i="3"/>
  <c r="BQ18" i="3"/>
  <c r="BB18" i="3"/>
  <c r="BC33" i="3"/>
  <c r="BF9" i="3"/>
  <c r="BB9" i="3"/>
  <c r="BQ9" i="3"/>
  <c r="AT686" i="3"/>
  <c r="AG52" i="3"/>
  <c r="BN52" i="3"/>
  <c r="BB47" i="3"/>
  <c r="BQ47" i="3"/>
  <c r="BF47" i="3"/>
  <c r="AU685" i="3"/>
  <c r="BD32" i="3" l="1"/>
  <c r="BD43" i="3"/>
  <c r="BD34" i="3"/>
  <c r="BD46" i="3"/>
  <c r="BG36" i="3"/>
  <c r="BH36" i="3" s="1"/>
  <c r="BI36" i="3" s="1"/>
  <c r="BD30" i="3"/>
  <c r="BG11" i="3"/>
  <c r="BH11" i="3" s="1"/>
  <c r="BI11" i="3" s="1"/>
  <c r="BG17" i="3"/>
  <c r="BH17" i="3" s="1"/>
  <c r="BI17" i="3" s="1"/>
  <c r="BG25" i="3"/>
  <c r="BH25" i="3" s="1"/>
  <c r="BI25" i="3" s="1"/>
  <c r="BD21" i="3"/>
  <c r="BQ50" i="3"/>
  <c r="BD31" i="3"/>
  <c r="BF50" i="3"/>
  <c r="BJ49" i="3" s="1"/>
  <c r="BK49" i="3" s="1"/>
  <c r="BG40" i="3"/>
  <c r="BH40" i="3" s="1"/>
  <c r="BI40" i="3" s="1"/>
  <c r="BG9" i="3"/>
  <c r="BH9" i="3" s="1"/>
  <c r="BI9" i="3" s="1"/>
  <c r="BD16" i="3"/>
  <c r="AY685" i="3"/>
  <c r="BG49" i="3"/>
  <c r="BH49" i="3" s="1"/>
  <c r="BI49" i="3" s="1"/>
  <c r="BG14" i="3"/>
  <c r="BH14" i="3" s="1"/>
  <c r="BI14" i="3" s="1"/>
  <c r="AY51" i="3"/>
  <c r="AV684" i="3"/>
  <c r="BD27" i="3"/>
  <c r="BD44" i="3"/>
  <c r="BG20" i="3"/>
  <c r="BH20" i="3" s="1"/>
  <c r="BI20" i="3" s="1"/>
  <c r="BG18" i="3"/>
  <c r="BH18" i="3" s="1"/>
  <c r="BI18" i="3" s="1"/>
  <c r="BG38" i="3"/>
  <c r="BH38" i="3" s="1"/>
  <c r="BI38" i="3" s="1"/>
  <c r="BG682" i="3"/>
  <c r="BH682" i="3" s="1"/>
  <c r="BI682" i="3" s="1"/>
  <c r="BD41" i="3"/>
  <c r="BG13" i="3"/>
  <c r="BH13" i="3" s="1"/>
  <c r="BI13" i="3" s="1"/>
  <c r="BJ17" i="3"/>
  <c r="BK17" i="3" s="1"/>
  <c r="BJ21" i="3"/>
  <c r="BK21" i="3" s="1"/>
  <c r="AY684" i="3"/>
  <c r="BD50" i="3"/>
  <c r="BG50" i="3"/>
  <c r="BH50" i="3" s="1"/>
  <c r="BI50" i="3" s="1"/>
  <c r="BD42" i="3"/>
  <c r="BJ30" i="3"/>
  <c r="BK30" i="3" s="1"/>
  <c r="BD47" i="3"/>
  <c r="AV687" i="3"/>
  <c r="BM53" i="3"/>
  <c r="AY686" i="3"/>
  <c r="BG37" i="3"/>
  <c r="BH37" i="3" s="1"/>
  <c r="BI37" i="3" s="1"/>
  <c r="BG15" i="3"/>
  <c r="BH15" i="3" s="1"/>
  <c r="BI15" i="3" s="1"/>
  <c r="BD23" i="3"/>
  <c r="AX52" i="3"/>
  <c r="BJ44" i="3"/>
  <c r="BK44" i="3" s="1"/>
  <c r="BJ35" i="3"/>
  <c r="BK35" i="3" s="1"/>
  <c r="BJ27" i="3"/>
  <c r="BK27" i="3" s="1"/>
  <c r="AT52" i="3"/>
  <c r="BJ48" i="3"/>
  <c r="BK48" i="3" s="1"/>
  <c r="BA687" i="3"/>
  <c r="BF687" i="3" s="1"/>
  <c r="AO53" i="3"/>
  <c r="BJ32" i="3"/>
  <c r="BK32" i="3" s="1"/>
  <c r="BJ43" i="3"/>
  <c r="BK43" i="3" s="1"/>
  <c r="BJ14" i="3"/>
  <c r="BK14" i="3" s="1"/>
  <c r="AY687" i="3"/>
  <c r="BJ24" i="3"/>
  <c r="BK24" i="3" s="1"/>
  <c r="BJ42" i="3"/>
  <c r="BK42" i="3" s="1"/>
  <c r="BJ46" i="3"/>
  <c r="BK46" i="3" s="1"/>
  <c r="BJ15" i="3"/>
  <c r="BK15" i="3" s="1"/>
  <c r="BJ11" i="3"/>
  <c r="BK11" i="3" s="1"/>
  <c r="BJ19" i="3"/>
  <c r="BK19" i="3" s="1"/>
  <c r="BJ37" i="3"/>
  <c r="BK37" i="3" s="1"/>
  <c r="AV686" i="3"/>
  <c r="BA686" i="3"/>
  <c r="BJ18" i="3"/>
  <c r="BK18" i="3" s="1"/>
  <c r="AV51" i="3"/>
  <c r="BA51" i="3"/>
  <c r="AN53" i="3"/>
  <c r="BA685" i="3"/>
  <c r="AV685" i="3"/>
  <c r="BJ9" i="3"/>
  <c r="BJ13" i="3"/>
  <c r="BK13" i="3" s="1"/>
  <c r="BJ12" i="3"/>
  <c r="BK12" i="3" s="1"/>
  <c r="BD39" i="3"/>
  <c r="BG39" i="3"/>
  <c r="BH39" i="3" s="1"/>
  <c r="BI39" i="3" s="1"/>
  <c r="AR54" i="3"/>
  <c r="AQ54" i="3"/>
  <c r="B54" i="3"/>
  <c r="A55" i="3"/>
  <c r="C54" i="3"/>
  <c r="D54" i="3"/>
  <c r="F54" i="3"/>
  <c r="G54" i="3"/>
  <c r="H54" i="3" s="1"/>
  <c r="Q54" i="3"/>
  <c r="S54" i="3"/>
  <c r="O54" i="3"/>
  <c r="U54" i="3"/>
  <c r="AK54" i="3"/>
  <c r="AD54" i="3"/>
  <c r="M54" i="3"/>
  <c r="AE54" i="3"/>
  <c r="AM54" i="3"/>
  <c r="AF54" i="3"/>
  <c r="R54" i="3"/>
  <c r="P54" i="3"/>
  <c r="T54" i="3"/>
  <c r="V54" i="3"/>
  <c r="BJ26" i="3"/>
  <c r="BK26" i="3" s="1"/>
  <c r="BJ25" i="3"/>
  <c r="BK25" i="3" s="1"/>
  <c r="BJ16" i="3"/>
  <c r="BK16" i="3" s="1"/>
  <c r="BJ20" i="3"/>
  <c r="BK20" i="3" s="1"/>
  <c r="BJ33" i="3"/>
  <c r="BK33" i="3" s="1"/>
  <c r="BJ45" i="3"/>
  <c r="BK45" i="3" s="1"/>
  <c r="BA684" i="3"/>
  <c r="BJ39" i="3"/>
  <c r="BK39" i="3" s="1"/>
  <c r="BD29" i="3"/>
  <c r="BG29" i="3"/>
  <c r="BH29" i="3" s="1"/>
  <c r="BI29" i="3" s="1"/>
  <c r="BG33" i="3"/>
  <c r="BH33" i="3" s="1"/>
  <c r="BI33" i="3" s="1"/>
  <c r="BD33" i="3"/>
  <c r="AW52" i="3"/>
  <c r="AH53" i="3"/>
  <c r="BJ34" i="3"/>
  <c r="BK34" i="3" s="1"/>
  <c r="BJ10" i="3"/>
  <c r="BK10" i="3" s="1"/>
  <c r="BJ28" i="3"/>
  <c r="BK28" i="3" s="1"/>
  <c r="BJ40" i="3"/>
  <c r="BK40" i="3" s="1"/>
  <c r="BJ23" i="3"/>
  <c r="BK23" i="3" s="1"/>
  <c r="BJ47" i="3"/>
  <c r="BK47" i="3" s="1"/>
  <c r="BJ38" i="3"/>
  <c r="BK38" i="3" s="1"/>
  <c r="BJ36" i="3"/>
  <c r="BK36" i="3" s="1"/>
  <c r="AG53" i="3"/>
  <c r="Y53" i="3"/>
  <c r="Z53" i="3" s="1"/>
  <c r="X53" i="3"/>
  <c r="AU52" i="3"/>
  <c r="BJ31" i="3"/>
  <c r="BK31" i="3" s="1"/>
  <c r="BJ22" i="3"/>
  <c r="BK22" i="3" s="1"/>
  <c r="BJ29" i="3"/>
  <c r="BK29" i="3" s="1"/>
  <c r="BJ41" i="3"/>
  <c r="BK41" i="3" s="1"/>
  <c r="BC51" i="3" l="1"/>
  <c r="BG51" i="3" s="1"/>
  <c r="BH51" i="3" s="1"/>
  <c r="BI51" i="3" s="1"/>
  <c r="BC684" i="3"/>
  <c r="BD684" i="3" s="1"/>
  <c r="BC685" i="3"/>
  <c r="BG685" i="3" s="1"/>
  <c r="BH685" i="3" s="1"/>
  <c r="BI685" i="3" s="1"/>
  <c r="BC687" i="3"/>
  <c r="BD687" i="3" s="1"/>
  <c r="AY52" i="3"/>
  <c r="BC686" i="3"/>
  <c r="BG686" i="3" s="1"/>
  <c r="BH686" i="3" s="1"/>
  <c r="BI686" i="3" s="1"/>
  <c r="BN54" i="3"/>
  <c r="AV52" i="3"/>
  <c r="BB687" i="3"/>
  <c r="AW53" i="3"/>
  <c r="AT53" i="3"/>
  <c r="AO54" i="3"/>
  <c r="AQ55" i="3"/>
  <c r="AR55" i="3"/>
  <c r="A56" i="3"/>
  <c r="B55" i="3"/>
  <c r="D55" i="3"/>
  <c r="C55" i="3"/>
  <c r="G55" i="3"/>
  <c r="H55" i="3" s="1"/>
  <c r="BN55" i="3" s="1"/>
  <c r="F55" i="3"/>
  <c r="Q55" i="3"/>
  <c r="S55" i="3"/>
  <c r="O55" i="3"/>
  <c r="U55" i="3"/>
  <c r="M55" i="3"/>
  <c r="AE55" i="3"/>
  <c r="AD55" i="3"/>
  <c r="AK55" i="3"/>
  <c r="AF55" i="3"/>
  <c r="AM55" i="3"/>
  <c r="P55" i="3"/>
  <c r="T55" i="3"/>
  <c r="V55" i="3"/>
  <c r="R55" i="3"/>
  <c r="AN54" i="3"/>
  <c r="BF685" i="3"/>
  <c r="BB685" i="3"/>
  <c r="BB686" i="3"/>
  <c r="BF686" i="3"/>
  <c r="X54" i="3"/>
  <c r="AG54" i="3"/>
  <c r="BG684" i="3"/>
  <c r="BH684" i="3" s="1"/>
  <c r="BI684" i="3" s="1"/>
  <c r="BK9" i="3"/>
  <c r="BA52" i="3"/>
  <c r="BM54" i="3"/>
  <c r="BQ51" i="3"/>
  <c r="BF51" i="3"/>
  <c r="BJ50" i="3" s="1"/>
  <c r="BK50" i="3" s="1"/>
  <c r="BB51" i="3"/>
  <c r="AU53" i="3"/>
  <c r="BF684" i="3"/>
  <c r="BB684" i="3"/>
  <c r="AX53" i="3"/>
  <c r="Y54" i="3"/>
  <c r="Z54" i="3" s="1"/>
  <c r="AH54" i="3"/>
  <c r="BD51" i="3"/>
  <c r="BG687" i="3" l="1"/>
  <c r="BH687" i="3" s="1"/>
  <c r="BI687" i="3" s="1"/>
  <c r="BC52" i="3"/>
  <c r="BD52" i="3" s="1"/>
  <c r="BD685" i="3"/>
  <c r="AY53" i="3"/>
  <c r="BD686" i="3"/>
  <c r="AX54" i="3"/>
  <c r="AV53" i="3"/>
  <c r="AN55" i="3"/>
  <c r="BA53" i="3"/>
  <c r="BB53" i="3" s="1"/>
  <c r="Y55" i="3"/>
  <c r="Z55" i="3" s="1"/>
  <c r="X55" i="3"/>
  <c r="A57" i="3"/>
  <c r="AR56" i="3"/>
  <c r="B56" i="3"/>
  <c r="AQ56" i="3"/>
  <c r="C56" i="3"/>
  <c r="D56" i="3"/>
  <c r="G56" i="3"/>
  <c r="H56" i="3" s="1"/>
  <c r="BN56" i="3" s="1"/>
  <c r="F56" i="3"/>
  <c r="Q56" i="3"/>
  <c r="S56" i="3"/>
  <c r="O56" i="3"/>
  <c r="U56" i="3"/>
  <c r="AE56" i="3"/>
  <c r="M56" i="3"/>
  <c r="AK56" i="3"/>
  <c r="AD56" i="3"/>
  <c r="AM56" i="3"/>
  <c r="AF56" i="3"/>
  <c r="V56" i="3"/>
  <c r="T56" i="3"/>
  <c r="P56" i="3"/>
  <c r="R56" i="3"/>
  <c r="AW54" i="3"/>
  <c r="AT54" i="3"/>
  <c r="AG55" i="3"/>
  <c r="BQ52" i="3"/>
  <c r="BB52" i="3"/>
  <c r="BF52" i="3"/>
  <c r="BJ51" i="3" s="1"/>
  <c r="BK51" i="3" s="1"/>
  <c r="AH55" i="3"/>
  <c r="AU54" i="3"/>
  <c r="AO55" i="3"/>
  <c r="BM55" i="3"/>
  <c r="BG52" i="3"/>
  <c r="BH52" i="3" s="1"/>
  <c r="BI52" i="3" s="1"/>
  <c r="BM56" i="3" l="1"/>
  <c r="BC53" i="3"/>
  <c r="BD53" i="3" s="1"/>
  <c r="BF53" i="3"/>
  <c r="BJ52" i="3" s="1"/>
  <c r="AY54" i="3"/>
  <c r="BQ53" i="3"/>
  <c r="AH56" i="3"/>
  <c r="AU55" i="3"/>
  <c r="AN56" i="3"/>
  <c r="AX55" i="3"/>
  <c r="AG56" i="3"/>
  <c r="AO56" i="3"/>
  <c r="X56" i="3"/>
  <c r="AT55" i="3"/>
  <c r="AW55" i="3"/>
  <c r="AQ57" i="3"/>
  <c r="AR57" i="3"/>
  <c r="A58" i="3"/>
  <c r="B57" i="3"/>
  <c r="C57" i="3"/>
  <c r="D57" i="3"/>
  <c r="G57" i="3"/>
  <c r="H57" i="3" s="1"/>
  <c r="F57" i="3"/>
  <c r="Q57" i="3"/>
  <c r="S57" i="3"/>
  <c r="O57" i="3"/>
  <c r="U57" i="3"/>
  <c r="AD57" i="3"/>
  <c r="AE57" i="3"/>
  <c r="AK57" i="3"/>
  <c r="AM57" i="3"/>
  <c r="AN57" i="3" s="1"/>
  <c r="M57" i="3"/>
  <c r="AF57" i="3"/>
  <c r="R57" i="3"/>
  <c r="P57" i="3"/>
  <c r="V57" i="3"/>
  <c r="T57" i="3"/>
  <c r="BA54" i="3"/>
  <c r="AV54" i="3"/>
  <c r="Y56" i="3"/>
  <c r="Z56" i="3" s="1"/>
  <c r="BG53" i="3" l="1"/>
  <c r="BH53" i="3" s="1"/>
  <c r="BI53" i="3" s="1"/>
  <c r="AU56" i="3"/>
  <c r="BC54" i="3"/>
  <c r="BD54" i="3" s="1"/>
  <c r="BM57" i="3"/>
  <c r="BN57" i="3"/>
  <c r="AO57" i="3"/>
  <c r="AH57" i="3"/>
  <c r="AR58" i="3"/>
  <c r="AQ58" i="3"/>
  <c r="B58" i="3"/>
  <c r="A59" i="3"/>
  <c r="D58" i="3"/>
  <c r="C58" i="3"/>
  <c r="F58" i="3"/>
  <c r="BM58" i="3" s="1"/>
  <c r="G58" i="3"/>
  <c r="H58" i="3" s="1"/>
  <c r="Q58" i="3"/>
  <c r="S58" i="3"/>
  <c r="O58" i="3"/>
  <c r="U58" i="3"/>
  <c r="AF58" i="3"/>
  <c r="AD58" i="3"/>
  <c r="AE58" i="3"/>
  <c r="AK58" i="3"/>
  <c r="M58" i="3"/>
  <c r="AM58" i="3"/>
  <c r="V58" i="3"/>
  <c r="R58" i="3"/>
  <c r="T58" i="3"/>
  <c r="P58" i="3"/>
  <c r="BA55" i="3"/>
  <c r="BK52" i="3"/>
  <c r="BB54" i="3"/>
  <c r="BF54" i="3"/>
  <c r="BQ54" i="3"/>
  <c r="AG57" i="3"/>
  <c r="AT56" i="3"/>
  <c r="AW56" i="3"/>
  <c r="AY55" i="3"/>
  <c r="AX56" i="3"/>
  <c r="Y57" i="3"/>
  <c r="Z57" i="3" s="1"/>
  <c r="X57" i="3"/>
  <c r="AV55" i="3"/>
  <c r="BG54" i="3" l="1"/>
  <c r="BH54" i="3" s="1"/>
  <c r="BI54" i="3" s="1"/>
  <c r="AW57" i="3"/>
  <c r="BN58" i="3"/>
  <c r="BC55" i="3"/>
  <c r="BG55" i="3" s="1"/>
  <c r="BH55" i="3" s="1"/>
  <c r="BI55" i="3" s="1"/>
  <c r="AO58" i="3"/>
  <c r="AT57" i="3"/>
  <c r="AG58" i="3"/>
  <c r="BD55" i="3"/>
  <c r="X58" i="3"/>
  <c r="AQ59" i="3"/>
  <c r="AR59" i="3"/>
  <c r="A60" i="3"/>
  <c r="B59" i="3"/>
  <c r="D59" i="3"/>
  <c r="C59" i="3"/>
  <c r="G59" i="3"/>
  <c r="H59" i="3" s="1"/>
  <c r="BN59" i="3" s="1"/>
  <c r="F59" i="3"/>
  <c r="Q59" i="3"/>
  <c r="S59" i="3"/>
  <c r="O59" i="3"/>
  <c r="U59" i="3"/>
  <c r="AD59" i="3"/>
  <c r="AF59" i="3"/>
  <c r="AE59" i="3"/>
  <c r="M59" i="3"/>
  <c r="AK59" i="3"/>
  <c r="AM59" i="3"/>
  <c r="T59" i="3"/>
  <c r="P59" i="3"/>
  <c r="R59" i="3"/>
  <c r="V59" i="3"/>
  <c r="BF55" i="3"/>
  <c r="BJ54" i="3" s="1"/>
  <c r="BK54" i="3" s="1"/>
  <c r="BB55" i="3"/>
  <c r="BQ55" i="3"/>
  <c r="Y58" i="3"/>
  <c r="Z58" i="3" s="1"/>
  <c r="BJ53" i="3"/>
  <c r="AU57" i="3"/>
  <c r="BA56" i="3"/>
  <c r="AV56" i="3"/>
  <c r="AH58" i="3"/>
  <c r="AY56" i="3"/>
  <c r="AN58" i="3"/>
  <c r="AX57" i="3"/>
  <c r="BM59" i="3" l="1"/>
  <c r="AY57" i="3"/>
  <c r="AG59" i="3"/>
  <c r="BA57" i="3"/>
  <c r="BB57" i="3" s="1"/>
  <c r="AX58" i="3"/>
  <c r="AN59" i="3"/>
  <c r="A61" i="3"/>
  <c r="AR60" i="3"/>
  <c r="B60" i="3"/>
  <c r="AQ60" i="3"/>
  <c r="D60" i="3"/>
  <c r="C60" i="3"/>
  <c r="G60" i="3"/>
  <c r="H60" i="3" s="1"/>
  <c r="F60" i="3"/>
  <c r="BM60" i="3" s="1"/>
  <c r="S60" i="3"/>
  <c r="Q60" i="3"/>
  <c r="O60" i="3"/>
  <c r="U60" i="3"/>
  <c r="AF60" i="3"/>
  <c r="AM60" i="3"/>
  <c r="M60" i="3"/>
  <c r="AD60" i="3"/>
  <c r="AE60" i="3"/>
  <c r="AK60" i="3"/>
  <c r="P60" i="3"/>
  <c r="T60" i="3"/>
  <c r="R60" i="3"/>
  <c r="V60" i="3"/>
  <c r="AW58" i="3"/>
  <c r="BC56" i="3"/>
  <c r="AO59" i="3"/>
  <c r="BB56" i="3"/>
  <c r="BF56" i="3"/>
  <c r="BJ55" i="3" s="1"/>
  <c r="BK55" i="3" s="1"/>
  <c r="BQ56" i="3"/>
  <c r="AU58" i="3"/>
  <c r="AH59" i="3"/>
  <c r="Y59" i="3"/>
  <c r="Z59" i="3" s="1"/>
  <c r="AV57" i="3"/>
  <c r="AT58" i="3"/>
  <c r="BK53" i="3"/>
  <c r="X59" i="3"/>
  <c r="BF57" i="3" l="1"/>
  <c r="AY58" i="3"/>
  <c r="BQ57" i="3"/>
  <c r="AU59" i="3"/>
  <c r="BC57" i="3"/>
  <c r="BD57" i="3" s="1"/>
  <c r="AW59" i="3"/>
  <c r="AO60" i="3"/>
  <c r="X60" i="3"/>
  <c r="AV58" i="3"/>
  <c r="BA58" i="3"/>
  <c r="AX59" i="3"/>
  <c r="AT59" i="3"/>
  <c r="AG60" i="3"/>
  <c r="AQ61" i="3"/>
  <c r="AR61" i="3"/>
  <c r="A62" i="3"/>
  <c r="B61" i="3"/>
  <c r="D61" i="3"/>
  <c r="C61" i="3"/>
  <c r="F61" i="3"/>
  <c r="BM61" i="3" s="1"/>
  <c r="G61" i="3"/>
  <c r="H61" i="3" s="1"/>
  <c r="BN61" i="3" s="1"/>
  <c r="Q61" i="3"/>
  <c r="S61" i="3"/>
  <c r="O61" i="3"/>
  <c r="U61" i="3"/>
  <c r="AD61" i="3"/>
  <c r="AF61" i="3"/>
  <c r="M61" i="3"/>
  <c r="AE61" i="3"/>
  <c r="AM61" i="3"/>
  <c r="AK61" i="3"/>
  <c r="P61" i="3"/>
  <c r="V61" i="3"/>
  <c r="R61" i="3"/>
  <c r="T61" i="3"/>
  <c r="BD56" i="3"/>
  <c r="BG56" i="3"/>
  <c r="BH56" i="3" s="1"/>
  <c r="BI56" i="3" s="1"/>
  <c r="AH60" i="3"/>
  <c r="BJ56" i="3"/>
  <c r="BN60" i="3"/>
  <c r="Y60" i="3"/>
  <c r="Z60" i="3" s="1"/>
  <c r="AN60" i="3"/>
  <c r="BC58" i="3" l="1"/>
  <c r="AY59" i="3"/>
  <c r="AG61" i="3"/>
  <c r="BG57" i="3"/>
  <c r="BH57" i="3" s="1"/>
  <c r="BI57" i="3" s="1"/>
  <c r="AO61" i="3"/>
  <c r="AX60" i="3"/>
  <c r="AV59" i="3"/>
  <c r="BC59" i="3" s="1"/>
  <c r="BA59" i="3"/>
  <c r="A63" i="3"/>
  <c r="AR62" i="3"/>
  <c r="AQ62" i="3"/>
  <c r="B62" i="3"/>
  <c r="C62" i="3"/>
  <c r="D62" i="3"/>
  <c r="G62" i="3"/>
  <c r="H62" i="3" s="1"/>
  <c r="BN62" i="3" s="1"/>
  <c r="F62" i="3"/>
  <c r="S62" i="3"/>
  <c r="Q62" i="3"/>
  <c r="O62" i="3"/>
  <c r="U62" i="3"/>
  <c r="AD62" i="3"/>
  <c r="AF62" i="3"/>
  <c r="M62" i="3"/>
  <c r="AE62" i="3"/>
  <c r="AK62" i="3"/>
  <c r="AM62" i="3"/>
  <c r="T62" i="3"/>
  <c r="R62" i="3"/>
  <c r="V62" i="3"/>
  <c r="P62" i="3"/>
  <c r="AW60" i="3"/>
  <c r="AN61" i="3"/>
  <c r="AU60" i="3"/>
  <c r="AH61" i="3"/>
  <c r="BB58" i="3"/>
  <c r="BQ58" i="3"/>
  <c r="BF58" i="3"/>
  <c r="BJ57" i="3" s="1"/>
  <c r="BK57" i="3" s="1"/>
  <c r="BK56" i="3"/>
  <c r="AT60" i="3"/>
  <c r="Y61" i="3"/>
  <c r="Z61" i="3" s="1"/>
  <c r="X61" i="3"/>
  <c r="BD58" i="3"/>
  <c r="BG58" i="3"/>
  <c r="BH58" i="3" s="1"/>
  <c r="BI58" i="3" s="1"/>
  <c r="AN62" i="3" l="1"/>
  <c r="AY60" i="3"/>
  <c r="AT61" i="3"/>
  <c r="AH62" i="3"/>
  <c r="Y62" i="3"/>
  <c r="Z62" i="3" s="1"/>
  <c r="X62" i="3"/>
  <c r="AV60" i="3"/>
  <c r="BA60" i="3"/>
  <c r="AX61" i="3"/>
  <c r="AG62" i="3"/>
  <c r="BM62" i="3"/>
  <c r="BF59" i="3"/>
  <c r="BJ58" i="3" s="1"/>
  <c r="BK58" i="3" s="1"/>
  <c r="BQ59" i="3"/>
  <c r="BB59" i="3"/>
  <c r="AO62" i="3"/>
  <c r="AQ63" i="3"/>
  <c r="AR63" i="3"/>
  <c r="A64" i="3"/>
  <c r="B63" i="3"/>
  <c r="C63" i="3"/>
  <c r="D63" i="3"/>
  <c r="F63" i="3"/>
  <c r="G63" i="3"/>
  <c r="H63" i="3" s="1"/>
  <c r="Q63" i="3"/>
  <c r="S63" i="3"/>
  <c r="O63" i="3"/>
  <c r="U63" i="3"/>
  <c r="M63" i="3"/>
  <c r="AF63" i="3"/>
  <c r="AE63" i="3"/>
  <c r="AD63" i="3"/>
  <c r="AK63" i="3"/>
  <c r="AM63" i="3"/>
  <c r="T63" i="3"/>
  <c r="P63" i="3"/>
  <c r="V63" i="3"/>
  <c r="R63" i="3"/>
  <c r="AU61" i="3"/>
  <c r="BD59" i="3"/>
  <c r="BG59" i="3"/>
  <c r="BH59" i="3" s="1"/>
  <c r="BI59" i="3" s="1"/>
  <c r="AW61" i="3"/>
  <c r="AN63" i="3" l="1"/>
  <c r="BC60" i="3"/>
  <c r="BG60" i="3" s="1"/>
  <c r="BH60" i="3" s="1"/>
  <c r="BI60" i="3" s="1"/>
  <c r="AV61" i="3"/>
  <c r="AW62" i="3"/>
  <c r="BA61" i="3"/>
  <c r="BB61" i="3" s="1"/>
  <c r="BN63" i="3"/>
  <c r="BM63" i="3"/>
  <c r="X63" i="3"/>
  <c r="AH63" i="3"/>
  <c r="AU62" i="3"/>
  <c r="AT62" i="3"/>
  <c r="AG63" i="3"/>
  <c r="BQ60" i="3"/>
  <c r="BF60" i="3"/>
  <c r="BJ59" i="3" s="1"/>
  <c r="BK59" i="3" s="1"/>
  <c r="BB60" i="3"/>
  <c r="BD60" i="3"/>
  <c r="A65" i="3"/>
  <c r="AR64" i="3"/>
  <c r="AQ64" i="3"/>
  <c r="B64" i="3"/>
  <c r="D64" i="3"/>
  <c r="C64" i="3"/>
  <c r="F64" i="3"/>
  <c r="G64" i="3"/>
  <c r="H64" i="3" s="1"/>
  <c r="BN64" i="3" s="1"/>
  <c r="Q64" i="3"/>
  <c r="S64" i="3"/>
  <c r="O64" i="3"/>
  <c r="U64" i="3"/>
  <c r="AE64" i="3"/>
  <c r="M64" i="3"/>
  <c r="AF64" i="3"/>
  <c r="AM64" i="3"/>
  <c r="AK64" i="3"/>
  <c r="AD64" i="3"/>
  <c r="V64" i="3"/>
  <c r="R64" i="3"/>
  <c r="P64" i="3"/>
  <c r="T64" i="3"/>
  <c r="AO63" i="3"/>
  <c r="AX62" i="3"/>
  <c r="AY61" i="3"/>
  <c r="Y63" i="3"/>
  <c r="Z63" i="3" s="1"/>
  <c r="BC61" i="3" l="1"/>
  <c r="BG61" i="3" s="1"/>
  <c r="BH61" i="3" s="1"/>
  <c r="BI61" i="3" s="1"/>
  <c r="AY62" i="3"/>
  <c r="BQ61" i="3"/>
  <c r="BF61" i="3"/>
  <c r="BJ60" i="3" s="1"/>
  <c r="BK60" i="3" s="1"/>
  <c r="BM64" i="3"/>
  <c r="AX63" i="3"/>
  <c r="AH64" i="3"/>
  <c r="AO64" i="3"/>
  <c r="BD61" i="3"/>
  <c r="AN64" i="3"/>
  <c r="AW63" i="3"/>
  <c r="AG64" i="3"/>
  <c r="AT63" i="3"/>
  <c r="BA62" i="3"/>
  <c r="AV62" i="3"/>
  <c r="AQ65" i="3"/>
  <c r="AR65" i="3"/>
  <c r="A66" i="3"/>
  <c r="B65" i="3"/>
  <c r="C65" i="3"/>
  <c r="D65" i="3"/>
  <c r="F65" i="3"/>
  <c r="BM65" i="3" s="1"/>
  <c r="G65" i="3"/>
  <c r="H65" i="3" s="1"/>
  <c r="BN65" i="3" s="1"/>
  <c r="Q65" i="3"/>
  <c r="S65" i="3"/>
  <c r="O65" i="3"/>
  <c r="U65" i="3"/>
  <c r="AK65" i="3"/>
  <c r="AF65" i="3"/>
  <c r="M65" i="3"/>
  <c r="AE65" i="3"/>
  <c r="AM65" i="3"/>
  <c r="AD65" i="3"/>
  <c r="T65" i="3"/>
  <c r="V65" i="3"/>
  <c r="R65" i="3"/>
  <c r="P65" i="3"/>
  <c r="X64" i="3"/>
  <c r="Y64" i="3"/>
  <c r="Z64" i="3" s="1"/>
  <c r="AU63" i="3"/>
  <c r="BC62" i="3" l="1"/>
  <c r="BD62" i="3" s="1"/>
  <c r="AY63" i="3"/>
  <c r="AU64" i="3"/>
  <c r="AH65" i="3"/>
  <c r="Y65" i="3"/>
  <c r="Z65" i="3" s="1"/>
  <c r="AX64" i="3"/>
  <c r="AN65" i="3"/>
  <c r="BA63" i="3"/>
  <c r="AV63" i="3"/>
  <c r="A67" i="3"/>
  <c r="AR66" i="3"/>
  <c r="AQ66" i="3"/>
  <c r="B66" i="3"/>
  <c r="C66" i="3"/>
  <c r="D66" i="3"/>
  <c r="F66" i="3"/>
  <c r="G66" i="3"/>
  <c r="H66" i="3" s="1"/>
  <c r="Q66" i="3"/>
  <c r="S66" i="3"/>
  <c r="O66" i="3"/>
  <c r="U66" i="3"/>
  <c r="AD66" i="3"/>
  <c r="AE66" i="3"/>
  <c r="AF66" i="3"/>
  <c r="M66" i="3"/>
  <c r="AM66" i="3"/>
  <c r="AK66" i="3"/>
  <c r="P66" i="3"/>
  <c r="R66" i="3"/>
  <c r="T66" i="3"/>
  <c r="V66" i="3"/>
  <c r="AW64" i="3"/>
  <c r="AT64" i="3"/>
  <c r="AG65" i="3"/>
  <c r="AO65" i="3"/>
  <c r="X65" i="3"/>
  <c r="BB62" i="3"/>
  <c r="BQ62" i="3"/>
  <c r="BF62" i="3"/>
  <c r="BJ61" i="3" s="1"/>
  <c r="BK61" i="3" s="1"/>
  <c r="BG62" i="3" l="1"/>
  <c r="BH62" i="3" s="1"/>
  <c r="BI62" i="3" s="1"/>
  <c r="AY64" i="3"/>
  <c r="AW65" i="3"/>
  <c r="BC63" i="3"/>
  <c r="BD63" i="3" s="1"/>
  <c r="AO66" i="3"/>
  <c r="AU65" i="3"/>
  <c r="Y66" i="3"/>
  <c r="Z66" i="3" s="1"/>
  <c r="AG66" i="3"/>
  <c r="AT65" i="3"/>
  <c r="X66" i="3"/>
  <c r="BA64" i="3"/>
  <c r="AV64" i="3"/>
  <c r="AN66" i="3"/>
  <c r="AQ67" i="3"/>
  <c r="AR67" i="3"/>
  <c r="A68" i="3"/>
  <c r="B67" i="3"/>
  <c r="C67" i="3"/>
  <c r="D67" i="3"/>
  <c r="F67" i="3"/>
  <c r="G67" i="3"/>
  <c r="H67" i="3" s="1"/>
  <c r="Q67" i="3"/>
  <c r="S67" i="3"/>
  <c r="O67" i="3"/>
  <c r="U67" i="3"/>
  <c r="AD67" i="3"/>
  <c r="AE67" i="3"/>
  <c r="AF67" i="3"/>
  <c r="AK67" i="3"/>
  <c r="M67" i="3"/>
  <c r="AM67" i="3"/>
  <c r="V67" i="3"/>
  <c r="P67" i="3"/>
  <c r="R67" i="3"/>
  <c r="T67" i="3"/>
  <c r="AH66" i="3"/>
  <c r="AX65" i="3"/>
  <c r="BN66" i="3"/>
  <c r="BG63" i="3"/>
  <c r="BH63" i="3" s="1"/>
  <c r="BI63" i="3" s="1"/>
  <c r="BM66" i="3"/>
  <c r="BF63" i="3"/>
  <c r="BJ62" i="3" s="1"/>
  <c r="BK62" i="3" s="1"/>
  <c r="BB63" i="3"/>
  <c r="BQ63" i="3"/>
  <c r="BM67" i="3" l="1"/>
  <c r="BC64" i="3"/>
  <c r="AY65" i="3"/>
  <c r="AH67" i="3"/>
  <c r="AX66" i="3"/>
  <c r="AN67" i="3"/>
  <c r="X67" i="3"/>
  <c r="AT66" i="3"/>
  <c r="AG67" i="3"/>
  <c r="AW66" i="3"/>
  <c r="A69" i="3"/>
  <c r="AR68" i="3"/>
  <c r="AQ68" i="3"/>
  <c r="B68" i="3"/>
  <c r="D68" i="3"/>
  <c r="C68" i="3"/>
  <c r="F68" i="3"/>
  <c r="G68" i="3"/>
  <c r="H68" i="3" s="1"/>
  <c r="Q68" i="3"/>
  <c r="S68" i="3"/>
  <c r="O68" i="3"/>
  <c r="U68" i="3"/>
  <c r="AF68" i="3"/>
  <c r="AE68" i="3"/>
  <c r="AD68" i="3"/>
  <c r="M68" i="3"/>
  <c r="AM68" i="3"/>
  <c r="AK68" i="3"/>
  <c r="V68" i="3"/>
  <c r="T68" i="3"/>
  <c r="P68" i="3"/>
  <c r="R68" i="3"/>
  <c r="AV65" i="3"/>
  <c r="BA65" i="3"/>
  <c r="Y67" i="3"/>
  <c r="Z67" i="3" s="1"/>
  <c r="AU66" i="3"/>
  <c r="BG64" i="3"/>
  <c r="BH64" i="3" s="1"/>
  <c r="BI64" i="3" s="1"/>
  <c r="BD64" i="3"/>
  <c r="BF64" i="3"/>
  <c r="BJ63" i="3" s="1"/>
  <c r="BK63" i="3" s="1"/>
  <c r="BB64" i="3"/>
  <c r="BQ64" i="3"/>
  <c r="AO67" i="3"/>
  <c r="BN67" i="3"/>
  <c r="BN68" i="3" l="1"/>
  <c r="AY66" i="3"/>
  <c r="BC65" i="3"/>
  <c r="BG65" i="3" s="1"/>
  <c r="BH65" i="3" s="1"/>
  <c r="BI65" i="3" s="1"/>
  <c r="AU67" i="3"/>
  <c r="AT67" i="3"/>
  <c r="AO68" i="3"/>
  <c r="AH68" i="3"/>
  <c r="AX67" i="3"/>
  <c r="AN68" i="3"/>
  <c r="X68" i="3"/>
  <c r="AQ69" i="3"/>
  <c r="AR69" i="3"/>
  <c r="A70" i="3"/>
  <c r="B69" i="3"/>
  <c r="C69" i="3"/>
  <c r="D69" i="3"/>
  <c r="G69" i="3"/>
  <c r="H69" i="3" s="1"/>
  <c r="F69" i="3"/>
  <c r="Q69" i="3"/>
  <c r="S69" i="3"/>
  <c r="O69" i="3"/>
  <c r="U69" i="3"/>
  <c r="AE69" i="3"/>
  <c r="M69" i="3"/>
  <c r="AD69" i="3"/>
  <c r="AF69" i="3"/>
  <c r="AK69" i="3"/>
  <c r="AM69" i="3"/>
  <c r="V69" i="3"/>
  <c r="T69" i="3"/>
  <c r="R69" i="3"/>
  <c r="P69" i="3"/>
  <c r="BM68" i="3"/>
  <c r="AW67" i="3"/>
  <c r="AV66" i="3"/>
  <c r="BA66" i="3"/>
  <c r="BB65" i="3"/>
  <c r="BQ65" i="3"/>
  <c r="BF65" i="3"/>
  <c r="AG68" i="3"/>
  <c r="Y68" i="3"/>
  <c r="Z68" i="3" s="1"/>
  <c r="BN69" i="3" l="1"/>
  <c r="AN69" i="3"/>
  <c r="BC66" i="3"/>
  <c r="BD66" i="3" s="1"/>
  <c r="AW68" i="3"/>
  <c r="BD65" i="3"/>
  <c r="AV67" i="3"/>
  <c r="AY67" i="3"/>
  <c r="BA67" i="3"/>
  <c r="BF67" i="3" s="1"/>
  <c r="AX68" i="3"/>
  <c r="AY68" i="3" s="1"/>
  <c r="B70" i="3"/>
  <c r="A71" i="3"/>
  <c r="AR70" i="3"/>
  <c r="AQ70" i="3"/>
  <c r="C70" i="3"/>
  <c r="D70" i="3"/>
  <c r="G70" i="3"/>
  <c r="H70" i="3" s="1"/>
  <c r="BN70" i="3" s="1"/>
  <c r="F70" i="3"/>
  <c r="Q70" i="3"/>
  <c r="S70" i="3"/>
  <c r="O70" i="3"/>
  <c r="U70" i="3"/>
  <c r="AK70" i="3"/>
  <c r="AF70" i="3"/>
  <c r="M70" i="3"/>
  <c r="AD70" i="3"/>
  <c r="AM70" i="3"/>
  <c r="AE70" i="3"/>
  <c r="T70" i="3"/>
  <c r="R70" i="3"/>
  <c r="P70" i="3"/>
  <c r="V70" i="3"/>
  <c r="BJ64" i="3"/>
  <c r="BK64" i="3" s="1"/>
  <c r="AU68" i="3"/>
  <c r="AO69" i="3"/>
  <c r="AG69" i="3"/>
  <c r="BF66" i="3"/>
  <c r="BJ65" i="3" s="1"/>
  <c r="BK65" i="3" s="1"/>
  <c r="BQ66" i="3"/>
  <c r="BB66" i="3"/>
  <c r="X69" i="3"/>
  <c r="Y69" i="3"/>
  <c r="Z69" i="3" s="1"/>
  <c r="AH69" i="3"/>
  <c r="BM69" i="3"/>
  <c r="AT68" i="3"/>
  <c r="BM70" i="3" l="1"/>
  <c r="BG66" i="3"/>
  <c r="BH66" i="3" s="1"/>
  <c r="BI66" i="3" s="1"/>
  <c r="AN70" i="3"/>
  <c r="BC67" i="3"/>
  <c r="BD67" i="3" s="1"/>
  <c r="AT69" i="3"/>
  <c r="BQ67" i="3"/>
  <c r="BB67" i="3"/>
  <c r="AG70" i="3"/>
  <c r="AU69" i="3"/>
  <c r="AV69" i="3" s="1"/>
  <c r="BJ66" i="3"/>
  <c r="BK66" i="3" s="1"/>
  <c r="AQ71" i="3"/>
  <c r="AR71" i="3"/>
  <c r="A72" i="3"/>
  <c r="B71" i="3"/>
  <c r="D71" i="3"/>
  <c r="C71" i="3"/>
  <c r="G71" i="3"/>
  <c r="H71" i="3" s="1"/>
  <c r="F71" i="3"/>
  <c r="Q71" i="3"/>
  <c r="S71" i="3"/>
  <c r="O71" i="3"/>
  <c r="U71" i="3"/>
  <c r="AF71" i="3"/>
  <c r="AE71" i="3"/>
  <c r="AK71" i="3"/>
  <c r="M71" i="3"/>
  <c r="AD71" i="3"/>
  <c r="AM71" i="3"/>
  <c r="R71" i="3"/>
  <c r="T71" i="3"/>
  <c r="V71" i="3"/>
  <c r="P71" i="3"/>
  <c r="AH70" i="3"/>
  <c r="AU70" i="3" s="1"/>
  <c r="BA68" i="3"/>
  <c r="AV68" i="3"/>
  <c r="BC68" i="3" s="1"/>
  <c r="AW69" i="3"/>
  <c r="Y70" i="3"/>
  <c r="Z70" i="3" s="1"/>
  <c r="AX69" i="3"/>
  <c r="AO70" i="3"/>
  <c r="X70" i="3"/>
  <c r="BM71" i="3" l="1"/>
  <c r="BG67" i="3"/>
  <c r="BH67" i="3" s="1"/>
  <c r="BI67" i="3" s="1"/>
  <c r="AW70" i="3"/>
  <c r="AN71" i="3"/>
  <c r="BN71" i="3"/>
  <c r="BA69" i="3"/>
  <c r="BB69" i="3" s="1"/>
  <c r="AH71" i="3"/>
  <c r="BF69" i="3"/>
  <c r="AT70" i="3"/>
  <c r="BD68" i="3"/>
  <c r="BG68" i="3"/>
  <c r="BH68" i="3" s="1"/>
  <c r="BI68" i="3" s="1"/>
  <c r="AG71" i="3"/>
  <c r="BQ68" i="3"/>
  <c r="BB68" i="3"/>
  <c r="BF68" i="3"/>
  <c r="BJ67" i="3" s="1"/>
  <c r="BK67" i="3" s="1"/>
  <c r="AO71" i="3"/>
  <c r="Y71" i="3"/>
  <c r="Z71" i="3" s="1"/>
  <c r="AX70" i="3"/>
  <c r="AY69" i="3"/>
  <c r="BC69" i="3" s="1"/>
  <c r="X71" i="3"/>
  <c r="B72" i="3"/>
  <c r="A73" i="3"/>
  <c r="AR72" i="3"/>
  <c r="AQ72" i="3"/>
  <c r="C72" i="3"/>
  <c r="D72" i="3"/>
  <c r="G72" i="3"/>
  <c r="H72" i="3" s="1"/>
  <c r="F72" i="3"/>
  <c r="Q72" i="3"/>
  <c r="S72" i="3"/>
  <c r="O72" i="3"/>
  <c r="U72" i="3"/>
  <c r="AD72" i="3"/>
  <c r="AK72" i="3"/>
  <c r="AE72" i="3"/>
  <c r="M72" i="3"/>
  <c r="AM72" i="3"/>
  <c r="AF72" i="3"/>
  <c r="P72" i="3"/>
  <c r="V72" i="3"/>
  <c r="T72" i="3"/>
  <c r="R72" i="3"/>
  <c r="BM72" i="3" l="1"/>
  <c r="BN72" i="3"/>
  <c r="BQ69" i="3"/>
  <c r="AT71" i="3"/>
  <c r="AY70" i="3"/>
  <c r="AN72" i="3"/>
  <c r="AW71" i="3"/>
  <c r="AG72" i="3"/>
  <c r="AQ73" i="3"/>
  <c r="AR73" i="3"/>
  <c r="A74" i="3"/>
  <c r="B73" i="3"/>
  <c r="C73" i="3"/>
  <c r="D73" i="3"/>
  <c r="F73" i="3"/>
  <c r="G73" i="3"/>
  <c r="H73" i="3" s="1"/>
  <c r="Q73" i="3"/>
  <c r="S73" i="3"/>
  <c r="O73" i="3"/>
  <c r="U73" i="3"/>
  <c r="AK73" i="3"/>
  <c r="AD73" i="3"/>
  <c r="AE73" i="3"/>
  <c r="M73" i="3"/>
  <c r="AF73" i="3"/>
  <c r="AM73" i="3"/>
  <c r="P73" i="3"/>
  <c r="V73" i="3"/>
  <c r="T73" i="3"/>
  <c r="R73" i="3"/>
  <c r="AV70" i="3"/>
  <c r="BA70" i="3"/>
  <c r="AO72" i="3"/>
  <c r="Y72" i="3"/>
  <c r="Z72" i="3" s="1"/>
  <c r="BD69" i="3"/>
  <c r="BG69" i="3"/>
  <c r="BH69" i="3" s="1"/>
  <c r="BI69" i="3" s="1"/>
  <c r="AH72" i="3"/>
  <c r="AU71" i="3"/>
  <c r="BJ68" i="3"/>
  <c r="BK68" i="3" s="1"/>
  <c r="X72" i="3"/>
  <c r="AX71" i="3"/>
  <c r="AY71" i="3" l="1"/>
  <c r="AO73" i="3"/>
  <c r="BC70" i="3"/>
  <c r="BD70" i="3" s="1"/>
  <c r="AU72" i="3"/>
  <c r="BA71" i="3"/>
  <c r="BQ71" i="3" s="1"/>
  <c r="BN73" i="3"/>
  <c r="AT72" i="3"/>
  <c r="AH73" i="3"/>
  <c r="Y73" i="3"/>
  <c r="Z73" i="3" s="1"/>
  <c r="X73" i="3"/>
  <c r="AN73" i="3"/>
  <c r="AV71" i="3"/>
  <c r="BC71" i="3" s="1"/>
  <c r="B74" i="3"/>
  <c r="A75" i="3"/>
  <c r="AR74" i="3"/>
  <c r="AQ74" i="3"/>
  <c r="C74" i="3"/>
  <c r="D74" i="3"/>
  <c r="F74" i="3"/>
  <c r="BM74" i="3" s="1"/>
  <c r="G74" i="3"/>
  <c r="H74" i="3" s="1"/>
  <c r="BN74" i="3" s="1"/>
  <c r="Q74" i="3"/>
  <c r="S74" i="3"/>
  <c r="O74" i="3"/>
  <c r="U74" i="3"/>
  <c r="AF74" i="3"/>
  <c r="AD74" i="3"/>
  <c r="M74" i="3"/>
  <c r="AE74" i="3"/>
  <c r="AM74" i="3"/>
  <c r="AK74" i="3"/>
  <c r="P74" i="3"/>
  <c r="R74" i="3"/>
  <c r="T74" i="3"/>
  <c r="V74" i="3"/>
  <c r="BF70" i="3"/>
  <c r="BJ69" i="3" s="1"/>
  <c r="BK69" i="3" s="1"/>
  <c r="BB70" i="3"/>
  <c r="BQ70" i="3"/>
  <c r="BM73" i="3"/>
  <c r="AG73" i="3"/>
  <c r="AX72" i="3"/>
  <c r="AW72" i="3"/>
  <c r="AO74" i="3" l="1"/>
  <c r="BB71" i="3"/>
  <c r="BF71" i="3"/>
  <c r="BJ70" i="3" s="1"/>
  <c r="BK70" i="3" s="1"/>
  <c r="BG70" i="3"/>
  <c r="BH70" i="3" s="1"/>
  <c r="BI70" i="3" s="1"/>
  <c r="AT73" i="3"/>
  <c r="AY72" i="3"/>
  <c r="BA72" i="3"/>
  <c r="BQ72" i="3" s="1"/>
  <c r="AV72" i="3"/>
  <c r="AG74" i="3"/>
  <c r="AX73" i="3"/>
  <c r="AW73" i="3"/>
  <c r="AN74" i="3"/>
  <c r="BD71" i="3"/>
  <c r="BG71" i="3"/>
  <c r="BH71" i="3" s="1"/>
  <c r="BI71" i="3" s="1"/>
  <c r="Y74" i="3"/>
  <c r="Z74" i="3" s="1"/>
  <c r="AH74" i="3"/>
  <c r="AU73" i="3"/>
  <c r="A76" i="3"/>
  <c r="AQ75" i="3"/>
  <c r="B75" i="3"/>
  <c r="AR75" i="3"/>
  <c r="C75" i="3"/>
  <c r="D75" i="3"/>
  <c r="F75" i="3"/>
  <c r="G75" i="3"/>
  <c r="H75" i="3" s="1"/>
  <c r="Q75" i="3"/>
  <c r="S75" i="3"/>
  <c r="O75" i="3"/>
  <c r="U75" i="3"/>
  <c r="AK75" i="3"/>
  <c r="M75" i="3"/>
  <c r="AD75" i="3"/>
  <c r="AE75" i="3"/>
  <c r="AF75" i="3"/>
  <c r="AM75" i="3"/>
  <c r="P75" i="3"/>
  <c r="R75" i="3"/>
  <c r="T75" i="3"/>
  <c r="V75" i="3"/>
  <c r="X74" i="3"/>
  <c r="AV73" i="3" l="1"/>
  <c r="AY73" i="3"/>
  <c r="BB72" i="3"/>
  <c r="BC72" i="3"/>
  <c r="BD72" i="3" s="1"/>
  <c r="BF72" i="3"/>
  <c r="BJ71" i="3" s="1"/>
  <c r="BK71" i="3" s="1"/>
  <c r="AW74" i="3"/>
  <c r="AX74" i="3"/>
  <c r="BN75" i="3"/>
  <c r="BA73" i="3"/>
  <c r="BF73" i="3" s="1"/>
  <c r="AG75" i="3"/>
  <c r="AO75" i="3"/>
  <c r="AH75" i="3"/>
  <c r="BM75" i="3"/>
  <c r="AU74" i="3"/>
  <c r="X75" i="3"/>
  <c r="Y75" i="3"/>
  <c r="Z75" i="3" s="1"/>
  <c r="AN75" i="3"/>
  <c r="B76" i="3"/>
  <c r="AR76" i="3"/>
  <c r="AQ76" i="3"/>
  <c r="A77" i="3"/>
  <c r="D76" i="3"/>
  <c r="C76" i="3"/>
  <c r="G76" i="3"/>
  <c r="H76" i="3" s="1"/>
  <c r="F76" i="3"/>
  <c r="Q76" i="3"/>
  <c r="S76" i="3"/>
  <c r="O76" i="3"/>
  <c r="U76" i="3"/>
  <c r="M76" i="3"/>
  <c r="AF76" i="3"/>
  <c r="AD76" i="3"/>
  <c r="AE76" i="3"/>
  <c r="AK76" i="3"/>
  <c r="AM76" i="3"/>
  <c r="T76" i="3"/>
  <c r="V76" i="3"/>
  <c r="P76" i="3"/>
  <c r="R76" i="3"/>
  <c r="AT74" i="3"/>
  <c r="AN76" i="3" l="1"/>
  <c r="BC73" i="3"/>
  <c r="BD73" i="3" s="1"/>
  <c r="BG72" i="3"/>
  <c r="BH72" i="3" s="1"/>
  <c r="BI72" i="3" s="1"/>
  <c r="BQ73" i="3"/>
  <c r="BB73" i="3"/>
  <c r="BJ72" i="3"/>
  <c r="BK72" i="3" s="1"/>
  <c r="AU75" i="3"/>
  <c r="AY74" i="3"/>
  <c r="BN76" i="3"/>
  <c r="AH76" i="3"/>
  <c r="X76" i="3"/>
  <c r="AR77" i="3"/>
  <c r="B77" i="3"/>
  <c r="AQ77" i="3"/>
  <c r="A78" i="3"/>
  <c r="D77" i="3"/>
  <c r="C77" i="3"/>
  <c r="G77" i="3"/>
  <c r="H77" i="3" s="1"/>
  <c r="F77" i="3"/>
  <c r="Q77" i="3"/>
  <c r="S77" i="3"/>
  <c r="O77" i="3"/>
  <c r="U77" i="3"/>
  <c r="AF77" i="3"/>
  <c r="M77" i="3"/>
  <c r="AE77" i="3"/>
  <c r="AM77" i="3"/>
  <c r="AD77" i="3"/>
  <c r="AK77" i="3"/>
  <c r="R77" i="3"/>
  <c r="T77" i="3"/>
  <c r="V77" i="3"/>
  <c r="P77" i="3"/>
  <c r="AX75" i="3"/>
  <c r="Y76" i="3"/>
  <c r="Z76" i="3" s="1"/>
  <c r="AO76" i="3"/>
  <c r="BA74" i="3"/>
  <c r="AV74" i="3"/>
  <c r="AG76" i="3"/>
  <c r="BM76" i="3"/>
  <c r="AW75" i="3"/>
  <c r="AT75" i="3"/>
  <c r="AO77" i="3" l="1"/>
  <c r="BG73" i="3"/>
  <c r="BH73" i="3" s="1"/>
  <c r="BI73" i="3" s="1"/>
  <c r="BC74" i="3"/>
  <c r="BD74" i="3" s="1"/>
  <c r="AW76" i="3"/>
  <c r="BM77" i="3"/>
  <c r="AT76" i="3"/>
  <c r="X77" i="3"/>
  <c r="Y77" i="3"/>
  <c r="Z77" i="3" s="1"/>
  <c r="AQ78" i="3"/>
  <c r="AR78" i="3"/>
  <c r="A79" i="3"/>
  <c r="B78" i="3"/>
  <c r="D78" i="3"/>
  <c r="C78" i="3"/>
  <c r="F78" i="3"/>
  <c r="BM78" i="3" s="1"/>
  <c r="G78" i="3"/>
  <c r="H78" i="3" s="1"/>
  <c r="Q78" i="3"/>
  <c r="S78" i="3"/>
  <c r="O78" i="3"/>
  <c r="U78" i="3"/>
  <c r="AE78" i="3"/>
  <c r="AD78" i="3"/>
  <c r="AF78" i="3"/>
  <c r="M78" i="3"/>
  <c r="AK78" i="3"/>
  <c r="AM78" i="3"/>
  <c r="R78" i="3"/>
  <c r="T78" i="3"/>
  <c r="V78" i="3"/>
  <c r="P78" i="3"/>
  <c r="BA75" i="3"/>
  <c r="AV75" i="3"/>
  <c r="AY75" i="3"/>
  <c r="AH77" i="3"/>
  <c r="AG77" i="3"/>
  <c r="AX76" i="3"/>
  <c r="BB74" i="3"/>
  <c r="BF74" i="3"/>
  <c r="BJ73" i="3" s="1"/>
  <c r="BK73" i="3" s="1"/>
  <c r="BQ74" i="3"/>
  <c r="AN77" i="3"/>
  <c r="AU76" i="3"/>
  <c r="BN77" i="3"/>
  <c r="BG74" i="3"/>
  <c r="BH74" i="3" s="1"/>
  <c r="BI74" i="3" s="1"/>
  <c r="AN78" i="3" l="1"/>
  <c r="AY76" i="3"/>
  <c r="AW77" i="3"/>
  <c r="BA76" i="3"/>
  <c r="BQ76" i="3" s="1"/>
  <c r="AH78" i="3"/>
  <c r="BF75" i="3"/>
  <c r="BJ74" i="3" s="1"/>
  <c r="BK74" i="3" s="1"/>
  <c r="BB75" i="3"/>
  <c r="BQ75" i="3"/>
  <c r="AG78" i="3"/>
  <c r="Y78" i="3"/>
  <c r="Z78" i="3" s="1"/>
  <c r="X78" i="3"/>
  <c r="AX77" i="3"/>
  <c r="AV76" i="3"/>
  <c r="A80" i="3"/>
  <c r="AQ79" i="3"/>
  <c r="B79" i="3"/>
  <c r="AR79" i="3"/>
  <c r="C79" i="3"/>
  <c r="D79" i="3"/>
  <c r="F79" i="3"/>
  <c r="BM79" i="3" s="1"/>
  <c r="G79" i="3"/>
  <c r="H79" i="3" s="1"/>
  <c r="BN79" i="3" s="1"/>
  <c r="Q79" i="3"/>
  <c r="S79" i="3"/>
  <c r="O79" i="3"/>
  <c r="U79" i="3"/>
  <c r="AM79" i="3"/>
  <c r="AF79" i="3"/>
  <c r="AD79" i="3"/>
  <c r="M79" i="3"/>
  <c r="AE79" i="3"/>
  <c r="AK79" i="3"/>
  <c r="R79" i="3"/>
  <c r="V79" i="3"/>
  <c r="P79" i="3"/>
  <c r="T79" i="3"/>
  <c r="AU77" i="3"/>
  <c r="AT77" i="3"/>
  <c r="AO78" i="3"/>
  <c r="BC75" i="3"/>
  <c r="BN78" i="3"/>
  <c r="AG79" i="3" l="1"/>
  <c r="BB76" i="3"/>
  <c r="AU78" i="3"/>
  <c r="BF76" i="3"/>
  <c r="BJ75" i="3" s="1"/>
  <c r="BK75" i="3" s="1"/>
  <c r="BC76" i="3"/>
  <c r="BD76" i="3" s="1"/>
  <c r="AO79" i="3"/>
  <c r="AY77" i="3"/>
  <c r="AW78" i="3"/>
  <c r="BA77" i="3"/>
  <c r="AV77" i="3"/>
  <c r="AT78" i="3"/>
  <c r="AX78" i="3"/>
  <c r="AH79" i="3"/>
  <c r="Y79" i="3"/>
  <c r="Z79" i="3" s="1"/>
  <c r="B80" i="3"/>
  <c r="AR80" i="3"/>
  <c r="AQ80" i="3"/>
  <c r="A81" i="3"/>
  <c r="C80" i="3"/>
  <c r="D80" i="3"/>
  <c r="F80" i="3"/>
  <c r="G80" i="3"/>
  <c r="H80" i="3" s="1"/>
  <c r="S80" i="3"/>
  <c r="Q80" i="3"/>
  <c r="O80" i="3"/>
  <c r="U80" i="3"/>
  <c r="AF80" i="3"/>
  <c r="AD80" i="3"/>
  <c r="AE80" i="3"/>
  <c r="M80" i="3"/>
  <c r="AM80" i="3"/>
  <c r="AK80" i="3"/>
  <c r="P80" i="3"/>
  <c r="R80" i="3"/>
  <c r="V80" i="3"/>
  <c r="T80" i="3"/>
  <c r="AN79" i="3"/>
  <c r="BD75" i="3"/>
  <c r="BG75" i="3"/>
  <c r="BH75" i="3" s="1"/>
  <c r="BI75" i="3" s="1"/>
  <c r="X79" i="3"/>
  <c r="BG76" i="3" l="1"/>
  <c r="BH76" i="3" s="1"/>
  <c r="BI76" i="3" s="1"/>
  <c r="BC77" i="3"/>
  <c r="BG77" i="3" s="1"/>
  <c r="BH77" i="3" s="1"/>
  <c r="BI77" i="3" s="1"/>
  <c r="AY78" i="3"/>
  <c r="BN80" i="3"/>
  <c r="AX79" i="3"/>
  <c r="Y80" i="3"/>
  <c r="Z80" i="3" s="1"/>
  <c r="AN80" i="3"/>
  <c r="AO80" i="3"/>
  <c r="AT79" i="3"/>
  <c r="AG80" i="3"/>
  <c r="BB77" i="3"/>
  <c r="BQ77" i="3"/>
  <c r="BF77" i="3"/>
  <c r="BJ76" i="3" s="1"/>
  <c r="BK76" i="3" s="1"/>
  <c r="X80" i="3"/>
  <c r="AR81" i="3"/>
  <c r="B81" i="3"/>
  <c r="AQ81" i="3"/>
  <c r="A82" i="3"/>
  <c r="D81" i="3"/>
  <c r="C81" i="3"/>
  <c r="F81" i="3"/>
  <c r="BM81" i="3" s="1"/>
  <c r="G81" i="3"/>
  <c r="H81" i="3" s="1"/>
  <c r="BN81" i="3" s="1"/>
  <c r="S81" i="3"/>
  <c r="Q81" i="3"/>
  <c r="O81" i="3"/>
  <c r="U81" i="3"/>
  <c r="AE81" i="3"/>
  <c r="AD81" i="3"/>
  <c r="M81" i="3"/>
  <c r="AF81" i="3"/>
  <c r="AM81" i="3"/>
  <c r="AK81" i="3"/>
  <c r="AO81" i="3" s="1"/>
  <c r="R81" i="3"/>
  <c r="T81" i="3"/>
  <c r="P81" i="3"/>
  <c r="V81" i="3"/>
  <c r="AV78" i="3"/>
  <c r="BC78" i="3" s="1"/>
  <c r="BA78" i="3"/>
  <c r="AW79" i="3"/>
  <c r="BM80" i="3"/>
  <c r="AH80" i="3"/>
  <c r="AU79" i="3"/>
  <c r="BD77" i="3" l="1"/>
  <c r="AY79" i="3"/>
  <c r="X81" i="3"/>
  <c r="AW80" i="3"/>
  <c r="AN81" i="3"/>
  <c r="BA79" i="3"/>
  <c r="AV79" i="3"/>
  <c r="BQ78" i="3"/>
  <c r="BB78" i="3"/>
  <c r="BF78" i="3"/>
  <c r="BJ77" i="3" s="1"/>
  <c r="BK77" i="3" s="1"/>
  <c r="AQ82" i="3"/>
  <c r="AR82" i="3"/>
  <c r="A83" i="3"/>
  <c r="B82" i="3"/>
  <c r="C82" i="3"/>
  <c r="D82" i="3"/>
  <c r="F82" i="3"/>
  <c r="G82" i="3"/>
  <c r="H82" i="3" s="1"/>
  <c r="Q82" i="3"/>
  <c r="S82" i="3"/>
  <c r="O82" i="3"/>
  <c r="U82" i="3"/>
  <c r="AF82" i="3"/>
  <c r="AD82" i="3"/>
  <c r="AE82" i="3"/>
  <c r="M82" i="3"/>
  <c r="AK82" i="3"/>
  <c r="AM82" i="3"/>
  <c r="AN82" i="3" s="1"/>
  <c r="R82" i="3"/>
  <c r="T82" i="3"/>
  <c r="V82" i="3"/>
  <c r="P82" i="3"/>
  <c r="Y81" i="3"/>
  <c r="Z81" i="3" s="1"/>
  <c r="AX80" i="3"/>
  <c r="BD78" i="3"/>
  <c r="BG78" i="3"/>
  <c r="BH78" i="3" s="1"/>
  <c r="BI78" i="3" s="1"/>
  <c r="AT80" i="3"/>
  <c r="AH81" i="3"/>
  <c r="AG81" i="3"/>
  <c r="AU80" i="3"/>
  <c r="BN82" i="3" l="1"/>
  <c r="BM82" i="3"/>
  <c r="AG82" i="3"/>
  <c r="BC79" i="3"/>
  <c r="BD79" i="3" s="1"/>
  <c r="AY80" i="3"/>
  <c r="AW81" i="3"/>
  <c r="AX81" i="3"/>
  <c r="Y82" i="3"/>
  <c r="Z82" i="3" s="1"/>
  <c r="AH82" i="3"/>
  <c r="A84" i="3"/>
  <c r="AQ83" i="3"/>
  <c r="B83" i="3"/>
  <c r="AR83" i="3"/>
  <c r="C83" i="3"/>
  <c r="D83" i="3"/>
  <c r="F83" i="3"/>
  <c r="BM83" i="3" s="1"/>
  <c r="G83" i="3"/>
  <c r="H83" i="3" s="1"/>
  <c r="Q83" i="3"/>
  <c r="S83" i="3"/>
  <c r="O83" i="3"/>
  <c r="U83" i="3"/>
  <c r="AE83" i="3"/>
  <c r="AF83" i="3"/>
  <c r="AD83" i="3"/>
  <c r="M83" i="3"/>
  <c r="AM83" i="3"/>
  <c r="AK83" i="3"/>
  <c r="V83" i="3"/>
  <c r="R83" i="3"/>
  <c r="P83" i="3"/>
  <c r="T83" i="3"/>
  <c r="BB79" i="3"/>
  <c r="BF79" i="3"/>
  <c r="BJ78" i="3" s="1"/>
  <c r="BK78" i="3" s="1"/>
  <c r="BQ79" i="3"/>
  <c r="X82" i="3"/>
  <c r="AT81" i="3"/>
  <c r="AV80" i="3"/>
  <c r="BA80" i="3"/>
  <c r="AU81" i="3"/>
  <c r="AO82" i="3"/>
  <c r="BN83" i="3" l="1"/>
  <c r="BC80" i="3"/>
  <c r="AO83" i="3"/>
  <c r="AT82" i="3"/>
  <c r="BG79" i="3"/>
  <c r="BH79" i="3" s="1"/>
  <c r="BI79" i="3" s="1"/>
  <c r="AY81" i="3"/>
  <c r="AH83" i="3"/>
  <c r="AW82" i="3"/>
  <c r="B84" i="3"/>
  <c r="AR84" i="3"/>
  <c r="AQ84" i="3"/>
  <c r="A85" i="3"/>
  <c r="D84" i="3"/>
  <c r="C84" i="3"/>
  <c r="G84" i="3"/>
  <c r="H84" i="3" s="1"/>
  <c r="F84" i="3"/>
  <c r="Q84" i="3"/>
  <c r="S84" i="3"/>
  <c r="O84" i="3"/>
  <c r="U84" i="3"/>
  <c r="AD84" i="3"/>
  <c r="M84" i="3"/>
  <c r="AE84" i="3"/>
  <c r="AK84" i="3"/>
  <c r="AM84" i="3"/>
  <c r="AF84" i="3"/>
  <c r="P84" i="3"/>
  <c r="V84" i="3"/>
  <c r="T84" i="3"/>
  <c r="R84" i="3"/>
  <c r="BQ80" i="3"/>
  <c r="BF80" i="3"/>
  <c r="BJ79" i="3" s="1"/>
  <c r="BK79" i="3" s="1"/>
  <c r="BB80" i="3"/>
  <c r="AG83" i="3"/>
  <c r="BD80" i="3"/>
  <c r="BG80" i="3"/>
  <c r="BH80" i="3" s="1"/>
  <c r="BI80" i="3" s="1"/>
  <c r="BA81" i="3"/>
  <c r="AV81" i="3"/>
  <c r="AN83" i="3"/>
  <c r="AX82" i="3"/>
  <c r="Y83" i="3"/>
  <c r="Z83" i="3" s="1"/>
  <c r="X83" i="3"/>
  <c r="AU82" i="3"/>
  <c r="BC81" i="3" l="1"/>
  <c r="AV82" i="3"/>
  <c r="AY82" i="3"/>
  <c r="BM84" i="3"/>
  <c r="BN84" i="3"/>
  <c r="AN84" i="3"/>
  <c r="AW83" i="3"/>
  <c r="Y84" i="3"/>
  <c r="Z84" i="3" s="1"/>
  <c r="AT83" i="3"/>
  <c r="AO84" i="3"/>
  <c r="AU83" i="3"/>
  <c r="AG84" i="3"/>
  <c r="AR85" i="3"/>
  <c r="B85" i="3"/>
  <c r="AQ85" i="3"/>
  <c r="A86" i="3"/>
  <c r="C85" i="3"/>
  <c r="D85" i="3"/>
  <c r="G85" i="3"/>
  <c r="H85" i="3" s="1"/>
  <c r="F85" i="3"/>
  <c r="Q85" i="3"/>
  <c r="S85" i="3"/>
  <c r="O85" i="3"/>
  <c r="U85" i="3"/>
  <c r="AF85" i="3"/>
  <c r="AD85" i="3"/>
  <c r="M85" i="3"/>
  <c r="AM85" i="3"/>
  <c r="AK85" i="3"/>
  <c r="AE85" i="3"/>
  <c r="P85" i="3"/>
  <c r="R85" i="3"/>
  <c r="T85" i="3"/>
  <c r="V85" i="3"/>
  <c r="AX83" i="3"/>
  <c r="BQ81" i="3"/>
  <c r="BB81" i="3"/>
  <c r="BF81" i="3"/>
  <c r="BJ80" i="3" s="1"/>
  <c r="BK80" i="3" s="1"/>
  <c r="X84" i="3"/>
  <c r="BA82" i="3"/>
  <c r="BD81" i="3"/>
  <c r="BG81" i="3"/>
  <c r="BH81" i="3" s="1"/>
  <c r="BI81" i="3" s="1"/>
  <c r="AH84" i="3"/>
  <c r="BC82" i="3" l="1"/>
  <c r="AY83" i="3"/>
  <c r="BM85" i="3"/>
  <c r="BN85" i="3"/>
  <c r="AW84" i="3"/>
  <c r="AH85" i="3"/>
  <c r="AT84" i="3"/>
  <c r="AO85" i="3"/>
  <c r="Y85" i="3"/>
  <c r="Z85" i="3" s="1"/>
  <c r="BA83" i="3"/>
  <c r="AV83" i="3"/>
  <c r="X85" i="3"/>
  <c r="B86" i="3"/>
  <c r="AQ86" i="3"/>
  <c r="AR86" i="3"/>
  <c r="A87" i="3"/>
  <c r="C86" i="3"/>
  <c r="D86" i="3"/>
  <c r="F86" i="3"/>
  <c r="G86" i="3"/>
  <c r="H86" i="3" s="1"/>
  <c r="Q86" i="3"/>
  <c r="S86" i="3"/>
  <c r="O86" i="3"/>
  <c r="U86" i="3"/>
  <c r="AF86" i="3"/>
  <c r="AE86" i="3"/>
  <c r="AD86" i="3"/>
  <c r="M86" i="3"/>
  <c r="AM86" i="3"/>
  <c r="AK86" i="3"/>
  <c r="T86" i="3"/>
  <c r="V86" i="3"/>
  <c r="R86" i="3"/>
  <c r="P86" i="3"/>
  <c r="AN85" i="3"/>
  <c r="AX84" i="3"/>
  <c r="AU84" i="3"/>
  <c r="BB82" i="3"/>
  <c r="BF82" i="3"/>
  <c r="BJ81" i="3" s="1"/>
  <c r="BK81" i="3" s="1"/>
  <c r="BQ82" i="3"/>
  <c r="AG85" i="3"/>
  <c r="BD82" i="3"/>
  <c r="BG82" i="3"/>
  <c r="BH82" i="3" s="1"/>
  <c r="BI82" i="3" s="1"/>
  <c r="BC83" i="3" l="1"/>
  <c r="BN86" i="3"/>
  <c r="AX85" i="3"/>
  <c r="BM86" i="3"/>
  <c r="AH86" i="3"/>
  <c r="BA84" i="3"/>
  <c r="BB84" i="3" s="1"/>
  <c r="AY84" i="3"/>
  <c r="AO86" i="3"/>
  <c r="AW85" i="3"/>
  <c r="X86" i="3"/>
  <c r="A88" i="3"/>
  <c r="B87" i="3"/>
  <c r="AQ87" i="3"/>
  <c r="AR87" i="3"/>
  <c r="C87" i="3"/>
  <c r="D87" i="3"/>
  <c r="G87" i="3"/>
  <c r="H87" i="3" s="1"/>
  <c r="F87" i="3"/>
  <c r="Q87" i="3"/>
  <c r="S87" i="3"/>
  <c r="O87" i="3"/>
  <c r="U87" i="3"/>
  <c r="AD87" i="3"/>
  <c r="AF87" i="3"/>
  <c r="M87" i="3"/>
  <c r="AE87" i="3"/>
  <c r="AK87" i="3"/>
  <c r="AM87" i="3"/>
  <c r="T87" i="3"/>
  <c r="R87" i="3"/>
  <c r="P87" i="3"/>
  <c r="V87" i="3"/>
  <c r="AT85" i="3"/>
  <c r="BQ83" i="3"/>
  <c r="BB83" i="3"/>
  <c r="BF83" i="3"/>
  <c r="BJ82" i="3" s="1"/>
  <c r="BK82" i="3" s="1"/>
  <c r="AV84" i="3"/>
  <c r="BD83" i="3"/>
  <c r="BG83" i="3"/>
  <c r="BH83" i="3" s="1"/>
  <c r="BI83" i="3" s="1"/>
  <c r="AG86" i="3"/>
  <c r="AT86" i="3" s="1"/>
  <c r="Y86" i="3"/>
  <c r="Z86" i="3" s="1"/>
  <c r="AU85" i="3"/>
  <c r="AN86" i="3"/>
  <c r="BN87" i="3" l="1"/>
  <c r="AY85" i="3"/>
  <c r="BC84" i="3"/>
  <c r="BG84" i="3" s="1"/>
  <c r="BH84" i="3" s="1"/>
  <c r="BI84" i="3" s="1"/>
  <c r="AG87" i="3"/>
  <c r="BM87" i="3"/>
  <c r="BF84" i="3"/>
  <c r="BJ83" i="3" s="1"/>
  <c r="BK83" i="3" s="1"/>
  <c r="BQ84" i="3"/>
  <c r="AN87" i="3"/>
  <c r="AV85" i="3"/>
  <c r="BC85" i="3" s="1"/>
  <c r="BA85" i="3"/>
  <c r="AX86" i="3"/>
  <c r="A89" i="3"/>
  <c r="AR88" i="3"/>
  <c r="B88" i="3"/>
  <c r="AQ88" i="3"/>
  <c r="C88" i="3"/>
  <c r="D88" i="3"/>
  <c r="G88" i="3"/>
  <c r="H88" i="3" s="1"/>
  <c r="F88" i="3"/>
  <c r="Q88" i="3"/>
  <c r="S88" i="3"/>
  <c r="O88" i="3"/>
  <c r="U88" i="3"/>
  <c r="AD88" i="3"/>
  <c r="AE88" i="3"/>
  <c r="M88" i="3"/>
  <c r="AM88" i="3"/>
  <c r="AF88" i="3"/>
  <c r="AK88" i="3"/>
  <c r="AO88" i="3" s="1"/>
  <c r="P88" i="3"/>
  <c r="R88" i="3"/>
  <c r="V88" i="3"/>
  <c r="T88" i="3"/>
  <c r="AW86" i="3"/>
  <c r="AU86" i="3"/>
  <c r="AV86" i="3" s="1"/>
  <c r="Y87" i="3"/>
  <c r="Z87" i="3" s="1"/>
  <c r="AH87" i="3"/>
  <c r="AO87" i="3"/>
  <c r="X87" i="3"/>
  <c r="BD84" i="3" l="1"/>
  <c r="AX87" i="3"/>
  <c r="BM88" i="3"/>
  <c r="AT87" i="3"/>
  <c r="AN88" i="3"/>
  <c r="AY86" i="3"/>
  <c r="BC86" i="3" s="1"/>
  <c r="BN88" i="3"/>
  <c r="BQ85" i="3"/>
  <c r="BF85" i="3"/>
  <c r="BJ84" i="3" s="1"/>
  <c r="BK84" i="3" s="1"/>
  <c r="BB85" i="3"/>
  <c r="AG88" i="3"/>
  <c r="BD85" i="3"/>
  <c r="BG85" i="3"/>
  <c r="BH85" i="3" s="1"/>
  <c r="BI85" i="3" s="1"/>
  <c r="AW87" i="3"/>
  <c r="Y88" i="3"/>
  <c r="Z88" i="3" s="1"/>
  <c r="AH88" i="3"/>
  <c r="AT88" i="3" s="1"/>
  <c r="AU87" i="3"/>
  <c r="AQ89" i="3"/>
  <c r="AR89" i="3"/>
  <c r="B89" i="3"/>
  <c r="A90" i="3"/>
  <c r="D89" i="3"/>
  <c r="C89" i="3"/>
  <c r="F89" i="3"/>
  <c r="G89" i="3"/>
  <c r="H89" i="3" s="1"/>
  <c r="Q89" i="3"/>
  <c r="S89" i="3"/>
  <c r="O89" i="3"/>
  <c r="U89" i="3"/>
  <c r="AF89" i="3"/>
  <c r="AD89" i="3"/>
  <c r="AE89" i="3"/>
  <c r="M89" i="3"/>
  <c r="AK89" i="3"/>
  <c r="AM89" i="3"/>
  <c r="P89" i="3"/>
  <c r="T89" i="3"/>
  <c r="R89" i="3"/>
  <c r="V89" i="3"/>
  <c r="X88" i="3"/>
  <c r="BA86" i="3"/>
  <c r="AY87" i="3" l="1"/>
  <c r="BA87" i="3"/>
  <c r="BB87" i="3" s="1"/>
  <c r="AG89" i="3"/>
  <c r="BM89" i="3"/>
  <c r="AV87" i="3"/>
  <c r="AX88" i="3"/>
  <c r="AN89" i="3"/>
  <c r="Y89" i="3"/>
  <c r="Z89" i="3" s="1"/>
  <c r="BD86" i="3"/>
  <c r="BG86" i="3"/>
  <c r="BH86" i="3" s="1"/>
  <c r="BI86" i="3" s="1"/>
  <c r="B90" i="3"/>
  <c r="AQ90" i="3"/>
  <c r="AR90" i="3"/>
  <c r="A91" i="3"/>
  <c r="C90" i="3"/>
  <c r="D90" i="3"/>
  <c r="F90" i="3"/>
  <c r="G90" i="3"/>
  <c r="H90" i="3" s="1"/>
  <c r="Q90" i="3"/>
  <c r="S90" i="3"/>
  <c r="O90" i="3"/>
  <c r="U90" i="3"/>
  <c r="AE90" i="3"/>
  <c r="AM90" i="3"/>
  <c r="AD90" i="3"/>
  <c r="M90" i="3"/>
  <c r="AF90" i="3"/>
  <c r="AK90" i="3"/>
  <c r="R90" i="3"/>
  <c r="P90" i="3"/>
  <c r="V90" i="3"/>
  <c r="T90" i="3"/>
  <c r="X89" i="3"/>
  <c r="AH89" i="3"/>
  <c r="BQ86" i="3"/>
  <c r="BB86" i="3"/>
  <c r="BF86" i="3"/>
  <c r="BJ85" i="3" s="1"/>
  <c r="BK85" i="3" s="1"/>
  <c r="AU88" i="3"/>
  <c r="AO89" i="3"/>
  <c r="BN89" i="3"/>
  <c r="AW88" i="3"/>
  <c r="BF87" i="3" l="1"/>
  <c r="BJ86" i="3" s="1"/>
  <c r="BK86" i="3" s="1"/>
  <c r="BC87" i="3"/>
  <c r="BD87" i="3" s="1"/>
  <c r="BQ87" i="3"/>
  <c r="AY88" i="3"/>
  <c r="BM90" i="3"/>
  <c r="BA88" i="3"/>
  <c r="BB88" i="3" s="1"/>
  <c r="AN90" i="3"/>
  <c r="AX89" i="3"/>
  <c r="BN90" i="3"/>
  <c r="Y90" i="3"/>
  <c r="Z90" i="3" s="1"/>
  <c r="AW89" i="3"/>
  <c r="X90" i="3"/>
  <c r="A92" i="3"/>
  <c r="B91" i="3"/>
  <c r="AQ91" i="3"/>
  <c r="AR91" i="3"/>
  <c r="C91" i="3"/>
  <c r="D91" i="3"/>
  <c r="F91" i="3"/>
  <c r="BM91" i="3" s="1"/>
  <c r="G91" i="3"/>
  <c r="H91" i="3" s="1"/>
  <c r="Q91" i="3"/>
  <c r="S91" i="3"/>
  <c r="O91" i="3"/>
  <c r="U91" i="3"/>
  <c r="AE91" i="3"/>
  <c r="AF91" i="3"/>
  <c r="AD91" i="3"/>
  <c r="M91" i="3"/>
  <c r="AK91" i="3"/>
  <c r="AM91" i="3"/>
  <c r="T91" i="3"/>
  <c r="P91" i="3"/>
  <c r="R91" i="3"/>
  <c r="V91" i="3"/>
  <c r="AH90" i="3"/>
  <c r="AV88" i="3"/>
  <c r="AG90" i="3"/>
  <c r="AT89" i="3"/>
  <c r="AU89" i="3"/>
  <c r="AO90" i="3"/>
  <c r="BC88" i="3" l="1"/>
  <c r="AN91" i="3"/>
  <c r="BG87" i="3"/>
  <c r="BH87" i="3" s="1"/>
  <c r="BI87" i="3" s="1"/>
  <c r="BF88" i="3"/>
  <c r="BJ87" i="3" s="1"/>
  <c r="BK87" i="3" s="1"/>
  <c r="BQ88" i="3"/>
  <c r="AY89" i="3"/>
  <c r="AU90" i="3"/>
  <c r="Y91" i="3"/>
  <c r="Z91" i="3" s="1"/>
  <c r="AT90" i="3"/>
  <c r="BN91" i="3"/>
  <c r="AH91" i="3"/>
  <c r="AG91" i="3"/>
  <c r="X91" i="3"/>
  <c r="BA89" i="3"/>
  <c r="AV89" i="3"/>
  <c r="BD88" i="3"/>
  <c r="BG88" i="3"/>
  <c r="BH88" i="3" s="1"/>
  <c r="BI88" i="3" s="1"/>
  <c r="AW90" i="3"/>
  <c r="AX90" i="3"/>
  <c r="AO91" i="3"/>
  <c r="A93" i="3"/>
  <c r="AR92" i="3"/>
  <c r="B92" i="3"/>
  <c r="AQ92" i="3"/>
  <c r="D92" i="3"/>
  <c r="C92" i="3"/>
  <c r="G92" i="3"/>
  <c r="H92" i="3" s="1"/>
  <c r="BN92" i="3" s="1"/>
  <c r="F92" i="3"/>
  <c r="Q92" i="3"/>
  <c r="S92" i="3"/>
  <c r="O92" i="3"/>
  <c r="U92" i="3"/>
  <c r="AD92" i="3"/>
  <c r="M92" i="3"/>
  <c r="AF92" i="3"/>
  <c r="AM92" i="3"/>
  <c r="AE92" i="3"/>
  <c r="AK92" i="3"/>
  <c r="P92" i="3"/>
  <c r="V92" i="3"/>
  <c r="R92" i="3"/>
  <c r="T92" i="3"/>
  <c r="AV90" i="3" l="1"/>
  <c r="BC89" i="3"/>
  <c r="BD89" i="3" s="1"/>
  <c r="AW91" i="3"/>
  <c r="AN92" i="3"/>
  <c r="AY90" i="3"/>
  <c r="BC90" i="3" s="1"/>
  <c r="BM92" i="3"/>
  <c r="AU91" i="3"/>
  <c r="AT91" i="3"/>
  <c r="AX91" i="3"/>
  <c r="X92" i="3"/>
  <c r="AO92" i="3"/>
  <c r="BA90" i="3"/>
  <c r="AH92" i="3"/>
  <c r="Y92" i="3"/>
  <c r="Z92" i="3" s="1"/>
  <c r="AG92" i="3"/>
  <c r="C93" i="3"/>
  <c r="AQ93" i="3"/>
  <c r="B93" i="3"/>
  <c r="AR93" i="3"/>
  <c r="A94" i="3"/>
  <c r="D93" i="3"/>
  <c r="F93" i="3"/>
  <c r="G93" i="3"/>
  <c r="H93" i="3" s="1"/>
  <c r="BN93" i="3" s="1"/>
  <c r="Q93" i="3"/>
  <c r="S93" i="3"/>
  <c r="O93" i="3"/>
  <c r="U93" i="3"/>
  <c r="AF93" i="3"/>
  <c r="AE93" i="3"/>
  <c r="M93" i="3"/>
  <c r="AD93" i="3"/>
  <c r="AK93" i="3"/>
  <c r="AM93" i="3"/>
  <c r="V93" i="3"/>
  <c r="T93" i="3"/>
  <c r="R93" i="3"/>
  <c r="P93" i="3"/>
  <c r="BQ89" i="3"/>
  <c r="BF89" i="3"/>
  <c r="BJ88" i="3" s="1"/>
  <c r="BK88" i="3" s="1"/>
  <c r="BB89" i="3"/>
  <c r="AY91" i="3" l="1"/>
  <c r="BG89" i="3"/>
  <c r="BH89" i="3" s="1"/>
  <c r="BI89" i="3" s="1"/>
  <c r="AH93" i="3"/>
  <c r="BM93" i="3"/>
  <c r="AO93" i="3"/>
  <c r="AU92" i="3"/>
  <c r="AW92" i="3"/>
  <c r="AX92" i="3"/>
  <c r="AG93" i="3"/>
  <c r="BB90" i="3"/>
  <c r="BF90" i="3"/>
  <c r="BJ89" i="3" s="1"/>
  <c r="BK89" i="3" s="1"/>
  <c r="BQ90" i="3"/>
  <c r="BD90" i="3"/>
  <c r="BG90" i="3"/>
  <c r="BH90" i="3" s="1"/>
  <c r="BI90" i="3" s="1"/>
  <c r="B94" i="3"/>
  <c r="AQ94" i="3"/>
  <c r="AR94" i="3"/>
  <c r="A95" i="3"/>
  <c r="C94" i="3"/>
  <c r="D94" i="3"/>
  <c r="G94" i="3"/>
  <c r="H94" i="3" s="1"/>
  <c r="BN94" i="3" s="1"/>
  <c r="F94" i="3"/>
  <c r="Q94" i="3"/>
  <c r="S94" i="3"/>
  <c r="O94" i="3"/>
  <c r="U94" i="3"/>
  <c r="AF94" i="3"/>
  <c r="AD94" i="3"/>
  <c r="AE94" i="3"/>
  <c r="M94" i="3"/>
  <c r="AM94" i="3"/>
  <c r="AK94" i="3"/>
  <c r="AO94" i="3" s="1"/>
  <c r="T94" i="3"/>
  <c r="R94" i="3"/>
  <c r="P94" i="3"/>
  <c r="V94" i="3"/>
  <c r="BA91" i="3"/>
  <c r="AV91" i="3"/>
  <c r="Y93" i="3"/>
  <c r="Z93" i="3" s="1"/>
  <c r="X93" i="3"/>
  <c r="AN93" i="3"/>
  <c r="AT92" i="3"/>
  <c r="AU93" i="3" l="1"/>
  <c r="BC91" i="3"/>
  <c r="AT93" i="3"/>
  <c r="X94" i="3"/>
  <c r="AX93" i="3"/>
  <c r="AG94" i="3"/>
  <c r="Y94" i="3"/>
  <c r="Z94" i="3" s="1"/>
  <c r="AR95" i="3"/>
  <c r="A96" i="3"/>
  <c r="B95" i="3"/>
  <c r="AQ95" i="3"/>
  <c r="D95" i="3"/>
  <c r="C95" i="3"/>
  <c r="F95" i="3"/>
  <c r="G95" i="3"/>
  <c r="H95" i="3" s="1"/>
  <c r="Q95" i="3"/>
  <c r="S95" i="3"/>
  <c r="O95" i="3"/>
  <c r="U95" i="3"/>
  <c r="AD95" i="3"/>
  <c r="M95" i="3"/>
  <c r="AM95" i="3"/>
  <c r="AF95" i="3"/>
  <c r="AE95" i="3"/>
  <c r="AK95" i="3"/>
  <c r="T95" i="3"/>
  <c r="P95" i="3"/>
  <c r="V95" i="3"/>
  <c r="R95" i="3"/>
  <c r="BA92" i="3"/>
  <c r="AV92" i="3"/>
  <c r="AW93" i="3"/>
  <c r="AY93" i="3" s="1"/>
  <c r="BQ91" i="3"/>
  <c r="BB91" i="3"/>
  <c r="BF91" i="3"/>
  <c r="BJ90" i="3" s="1"/>
  <c r="BK90" i="3" s="1"/>
  <c r="AV93" i="3"/>
  <c r="AN94" i="3"/>
  <c r="AH94" i="3"/>
  <c r="BD91" i="3"/>
  <c r="BG91" i="3"/>
  <c r="BH91" i="3" s="1"/>
  <c r="BI91" i="3" s="1"/>
  <c r="BM94" i="3"/>
  <c r="AY92" i="3"/>
  <c r="AO95" i="3" l="1"/>
  <c r="AX94" i="3"/>
  <c r="AU94" i="3"/>
  <c r="AH95" i="3"/>
  <c r="AW94" i="3"/>
  <c r="AY94" i="3" s="1"/>
  <c r="X95" i="3"/>
  <c r="A97" i="3"/>
  <c r="AR96" i="3"/>
  <c r="B96" i="3"/>
  <c r="AQ96" i="3"/>
  <c r="C96" i="3"/>
  <c r="D96" i="3"/>
  <c r="F96" i="3"/>
  <c r="G96" i="3"/>
  <c r="H96" i="3" s="1"/>
  <c r="Q96" i="3"/>
  <c r="S96" i="3"/>
  <c r="O96" i="3"/>
  <c r="U96" i="3"/>
  <c r="AM96" i="3"/>
  <c r="AE96" i="3"/>
  <c r="AD96" i="3"/>
  <c r="AF96" i="3"/>
  <c r="M96" i="3"/>
  <c r="AK96" i="3"/>
  <c r="T96" i="3"/>
  <c r="V96" i="3"/>
  <c r="R96" i="3"/>
  <c r="P96" i="3"/>
  <c r="AT94" i="3"/>
  <c r="Y95" i="3"/>
  <c r="Z95" i="3" s="1"/>
  <c r="AG95" i="3"/>
  <c r="BC93" i="3"/>
  <c r="BC92" i="3"/>
  <c r="BN95" i="3"/>
  <c r="BA93" i="3"/>
  <c r="BB92" i="3"/>
  <c r="BF92" i="3"/>
  <c r="BJ91" i="3" s="1"/>
  <c r="BK91" i="3" s="1"/>
  <c r="BQ92" i="3"/>
  <c r="AN95" i="3"/>
  <c r="BM95" i="3"/>
  <c r="BN96" i="3" l="1"/>
  <c r="BM96" i="3"/>
  <c r="X96" i="3"/>
  <c r="AX95" i="3"/>
  <c r="AO96" i="3"/>
  <c r="BG92" i="3"/>
  <c r="BH92" i="3" s="1"/>
  <c r="BI92" i="3" s="1"/>
  <c r="BD92" i="3"/>
  <c r="BD93" i="3"/>
  <c r="BG93" i="3"/>
  <c r="BH93" i="3" s="1"/>
  <c r="BI93" i="3" s="1"/>
  <c r="A98" i="3"/>
  <c r="AQ97" i="3"/>
  <c r="AR97" i="3"/>
  <c r="B97" i="3"/>
  <c r="D97" i="3"/>
  <c r="C97" i="3"/>
  <c r="G97" i="3"/>
  <c r="H97" i="3" s="1"/>
  <c r="BN97" i="3" s="1"/>
  <c r="F97" i="3"/>
  <c r="Q97" i="3"/>
  <c r="S97" i="3"/>
  <c r="O97" i="3"/>
  <c r="U97" i="3"/>
  <c r="AF97" i="3"/>
  <c r="AD97" i="3"/>
  <c r="AE97" i="3"/>
  <c r="AK97" i="3"/>
  <c r="M97" i="3"/>
  <c r="AM97" i="3"/>
  <c r="R97" i="3"/>
  <c r="T97" i="3"/>
  <c r="P97" i="3"/>
  <c r="V97" i="3"/>
  <c r="AW95" i="3"/>
  <c r="AY95" i="3" s="1"/>
  <c r="AH96" i="3"/>
  <c r="AG96" i="3"/>
  <c r="Y96" i="3"/>
  <c r="Z96" i="3" s="1"/>
  <c r="AU95" i="3"/>
  <c r="AT95" i="3"/>
  <c r="AV94" i="3"/>
  <c r="BC94" i="3" s="1"/>
  <c r="BA94" i="3"/>
  <c r="BF93" i="3"/>
  <c r="BJ92" i="3" s="1"/>
  <c r="BK92" i="3" s="1"/>
  <c r="BQ93" i="3"/>
  <c r="BB93" i="3"/>
  <c r="AN96" i="3"/>
  <c r="AG97" i="3" l="1"/>
  <c r="BM97" i="3"/>
  <c r="AN97" i="3"/>
  <c r="AW96" i="3"/>
  <c r="AX96" i="3"/>
  <c r="AO97" i="3"/>
  <c r="AT96" i="3"/>
  <c r="BB94" i="3"/>
  <c r="BQ94" i="3"/>
  <c r="BF94" i="3"/>
  <c r="BJ93" i="3" s="1"/>
  <c r="BK93" i="3" s="1"/>
  <c r="Y97" i="3"/>
  <c r="Z97" i="3" s="1"/>
  <c r="BD94" i="3"/>
  <c r="BG94" i="3"/>
  <c r="BH94" i="3" s="1"/>
  <c r="BI94" i="3" s="1"/>
  <c r="AH97" i="3"/>
  <c r="AU96" i="3"/>
  <c r="B98" i="3"/>
  <c r="AQ98" i="3"/>
  <c r="AR98" i="3"/>
  <c r="A99" i="3"/>
  <c r="C98" i="3"/>
  <c r="D98" i="3"/>
  <c r="G98" i="3"/>
  <c r="H98" i="3" s="1"/>
  <c r="BN98" i="3" s="1"/>
  <c r="F98" i="3"/>
  <c r="BM98" i="3" s="1"/>
  <c r="Q98" i="3"/>
  <c r="S98" i="3"/>
  <c r="O98" i="3"/>
  <c r="U98" i="3"/>
  <c r="AF98" i="3"/>
  <c r="AE98" i="3"/>
  <c r="M98" i="3"/>
  <c r="AM98" i="3"/>
  <c r="AD98" i="3"/>
  <c r="AK98" i="3"/>
  <c r="P98" i="3"/>
  <c r="T98" i="3"/>
  <c r="R98" i="3"/>
  <c r="V98" i="3"/>
  <c r="AV95" i="3"/>
  <c r="BC95" i="3" s="1"/>
  <c r="BA95" i="3"/>
  <c r="X97" i="3"/>
  <c r="AX97" i="3" l="1"/>
  <c r="AY96" i="3"/>
  <c r="AN98" i="3"/>
  <c r="AG98" i="3"/>
  <c r="AT97" i="3"/>
  <c r="AR99" i="3"/>
  <c r="A100" i="3"/>
  <c r="B99" i="3"/>
  <c r="AQ99" i="3"/>
  <c r="C99" i="3"/>
  <c r="D99" i="3"/>
  <c r="F99" i="3"/>
  <c r="G99" i="3"/>
  <c r="H99" i="3" s="1"/>
  <c r="BN99" i="3" s="1"/>
  <c r="Q99" i="3"/>
  <c r="S99" i="3"/>
  <c r="O99" i="3"/>
  <c r="U99" i="3"/>
  <c r="M99" i="3"/>
  <c r="AE99" i="3"/>
  <c r="AD99" i="3"/>
  <c r="AF99" i="3"/>
  <c r="AK99" i="3"/>
  <c r="AM99" i="3"/>
  <c r="AN99" i="3" s="1"/>
  <c r="P99" i="3"/>
  <c r="R99" i="3"/>
  <c r="T99" i="3"/>
  <c r="V99" i="3"/>
  <c r="BD95" i="3"/>
  <c r="BG95" i="3"/>
  <c r="BH95" i="3" s="1"/>
  <c r="BI95" i="3" s="1"/>
  <c r="AO98" i="3"/>
  <c r="AW97" i="3"/>
  <c r="BQ95" i="3"/>
  <c r="BF95" i="3"/>
  <c r="BJ94" i="3" s="1"/>
  <c r="BK94" i="3" s="1"/>
  <c r="BB95" i="3"/>
  <c r="Y98" i="3"/>
  <c r="Z98" i="3" s="1"/>
  <c r="X98" i="3"/>
  <c r="AV96" i="3"/>
  <c r="BC96" i="3" s="1"/>
  <c r="BA96" i="3"/>
  <c r="AH98" i="3"/>
  <c r="AX98" i="3" s="1"/>
  <c r="AU97" i="3"/>
  <c r="AY97" i="3" l="1"/>
  <c r="BM99" i="3"/>
  <c r="X99" i="3"/>
  <c r="A101" i="3"/>
  <c r="AR100" i="3"/>
  <c r="B100" i="3"/>
  <c r="AQ100" i="3"/>
  <c r="D100" i="3"/>
  <c r="C100" i="3"/>
  <c r="F100" i="3"/>
  <c r="G100" i="3"/>
  <c r="H100" i="3" s="1"/>
  <c r="Q100" i="3"/>
  <c r="S100" i="3"/>
  <c r="O100" i="3"/>
  <c r="U100" i="3"/>
  <c r="M100" i="3"/>
  <c r="AE100" i="3"/>
  <c r="AD100" i="3"/>
  <c r="AK100" i="3"/>
  <c r="AF100" i="3"/>
  <c r="AM100" i="3"/>
  <c r="P100" i="3"/>
  <c r="T100" i="3"/>
  <c r="V100" i="3"/>
  <c r="R100" i="3"/>
  <c r="AO99" i="3"/>
  <c r="BD96" i="3"/>
  <c r="BG96" i="3"/>
  <c r="BH96" i="3" s="1"/>
  <c r="BI96" i="3" s="1"/>
  <c r="BA97" i="3"/>
  <c r="AV97" i="3"/>
  <c r="AH99" i="3"/>
  <c r="AG99" i="3"/>
  <c r="Y99" i="3"/>
  <c r="Z99" i="3" s="1"/>
  <c r="BF96" i="3"/>
  <c r="BJ95" i="3" s="1"/>
  <c r="BK95" i="3" s="1"/>
  <c r="BQ96" i="3"/>
  <c r="BB96" i="3"/>
  <c r="AU98" i="3"/>
  <c r="AW98" i="3"/>
  <c r="AY98" i="3" s="1"/>
  <c r="AT98" i="3"/>
  <c r="BC97" i="3" l="1"/>
  <c r="BD97" i="3" s="1"/>
  <c r="AN100" i="3"/>
  <c r="BM100" i="3"/>
  <c r="AH100" i="3"/>
  <c r="AU99" i="3"/>
  <c r="AW99" i="3"/>
  <c r="AG100" i="3"/>
  <c r="AU100" i="3" s="1"/>
  <c r="BA98" i="3"/>
  <c r="AV98" i="3"/>
  <c r="BC98" i="3" s="1"/>
  <c r="X100" i="3"/>
  <c r="AX99" i="3"/>
  <c r="BB97" i="3"/>
  <c r="BQ97" i="3"/>
  <c r="BF97" i="3"/>
  <c r="A102" i="3"/>
  <c r="C101" i="3"/>
  <c r="AQ101" i="3"/>
  <c r="B101" i="3"/>
  <c r="AR101" i="3"/>
  <c r="D101" i="3"/>
  <c r="G101" i="3"/>
  <c r="H101" i="3" s="1"/>
  <c r="BN101" i="3" s="1"/>
  <c r="F101" i="3"/>
  <c r="Q101" i="3"/>
  <c r="S101" i="3"/>
  <c r="O101" i="3"/>
  <c r="U101" i="3"/>
  <c r="AF101" i="3"/>
  <c r="AE101" i="3"/>
  <c r="AD101" i="3"/>
  <c r="M101" i="3"/>
  <c r="AM101" i="3"/>
  <c r="AK101" i="3"/>
  <c r="R101" i="3"/>
  <c r="P101" i="3"/>
  <c r="T101" i="3"/>
  <c r="V101" i="3"/>
  <c r="Y100" i="3"/>
  <c r="Z100" i="3" s="1"/>
  <c r="AT99" i="3"/>
  <c r="AO100" i="3"/>
  <c r="BN100" i="3"/>
  <c r="BM101" i="3" l="1"/>
  <c r="BG97" i="3"/>
  <c r="BH97" i="3" s="1"/>
  <c r="BI97" i="3" s="1"/>
  <c r="AT100" i="3"/>
  <c r="AV100" i="3" s="1"/>
  <c r="AX100" i="3"/>
  <c r="AH101" i="3"/>
  <c r="AY99" i="3"/>
  <c r="AN101" i="3"/>
  <c r="AO101" i="3"/>
  <c r="X101" i="3"/>
  <c r="BJ96" i="3"/>
  <c r="BK96" i="3" s="1"/>
  <c r="BD98" i="3"/>
  <c r="BG98" i="3"/>
  <c r="BH98" i="3" s="1"/>
  <c r="BI98" i="3" s="1"/>
  <c r="BA99" i="3"/>
  <c r="AV99" i="3"/>
  <c r="B102" i="3"/>
  <c r="AQ102" i="3"/>
  <c r="AR102" i="3"/>
  <c r="A103" i="3"/>
  <c r="C102" i="3"/>
  <c r="D102" i="3"/>
  <c r="F102" i="3"/>
  <c r="G102" i="3"/>
  <c r="H102" i="3" s="1"/>
  <c r="Q102" i="3"/>
  <c r="S102" i="3"/>
  <c r="O102" i="3"/>
  <c r="U102" i="3"/>
  <c r="AF102" i="3"/>
  <c r="AD102" i="3"/>
  <c r="AE102" i="3"/>
  <c r="M102" i="3"/>
  <c r="AM102" i="3"/>
  <c r="AK102" i="3"/>
  <c r="V102" i="3"/>
  <c r="P102" i="3"/>
  <c r="R102" i="3"/>
  <c r="T102" i="3"/>
  <c r="AG101" i="3"/>
  <c r="BB98" i="3"/>
  <c r="BF98" i="3"/>
  <c r="BJ97" i="3" s="1"/>
  <c r="BK97" i="3" s="1"/>
  <c r="BQ98" i="3"/>
  <c r="Y101" i="3"/>
  <c r="Z101" i="3" s="1"/>
  <c r="AW100" i="3"/>
  <c r="AO102" i="3" l="1"/>
  <c r="BC99" i="3"/>
  <c r="AY100" i="3"/>
  <c r="BM102" i="3"/>
  <c r="AW101" i="3"/>
  <c r="AG102" i="3"/>
  <c r="BC100" i="3"/>
  <c r="BG100" i="3" s="1"/>
  <c r="BH100" i="3" s="1"/>
  <c r="BI100" i="3" s="1"/>
  <c r="BA100" i="3"/>
  <c r="BB100" i="3" s="1"/>
  <c r="AT101" i="3"/>
  <c r="AX101" i="3"/>
  <c r="BB99" i="3"/>
  <c r="BQ99" i="3"/>
  <c r="BF99" i="3"/>
  <c r="BJ98" i="3" s="1"/>
  <c r="BK98" i="3" s="1"/>
  <c r="AH102" i="3"/>
  <c r="AU101" i="3"/>
  <c r="X102" i="3"/>
  <c r="Y102" i="3"/>
  <c r="Z102" i="3" s="1"/>
  <c r="AN102" i="3"/>
  <c r="AQ103" i="3"/>
  <c r="AR103" i="3"/>
  <c r="A104" i="3"/>
  <c r="B103" i="3"/>
  <c r="D103" i="3"/>
  <c r="C103" i="3"/>
  <c r="F103" i="3"/>
  <c r="G103" i="3"/>
  <c r="H103" i="3" s="1"/>
  <c r="Q103" i="3"/>
  <c r="S103" i="3"/>
  <c r="O103" i="3"/>
  <c r="U103" i="3"/>
  <c r="M103" i="3"/>
  <c r="AM103" i="3"/>
  <c r="AE103" i="3"/>
  <c r="AD103" i="3"/>
  <c r="AF103" i="3"/>
  <c r="AK103" i="3"/>
  <c r="V103" i="3"/>
  <c r="R103" i="3"/>
  <c r="T103" i="3"/>
  <c r="P103" i="3"/>
  <c r="BN102" i="3"/>
  <c r="BD99" i="3"/>
  <c r="BG99" i="3"/>
  <c r="BH99" i="3" s="1"/>
  <c r="BI99" i="3" s="1"/>
  <c r="BM103" i="3" l="1"/>
  <c r="BD100" i="3"/>
  <c r="AY101" i="3"/>
  <c r="AV101" i="3"/>
  <c r="BQ100" i="3"/>
  <c r="BA101" i="3"/>
  <c r="BF101" i="3" s="1"/>
  <c r="AX102" i="3"/>
  <c r="AO103" i="3"/>
  <c r="BF100" i="3"/>
  <c r="BJ99" i="3" s="1"/>
  <c r="BK99" i="3" s="1"/>
  <c r="A105" i="3"/>
  <c r="AR104" i="3"/>
  <c r="B104" i="3"/>
  <c r="AQ104" i="3"/>
  <c r="D104" i="3"/>
  <c r="C104" i="3"/>
  <c r="G104" i="3"/>
  <c r="H104" i="3" s="1"/>
  <c r="BN104" i="3" s="1"/>
  <c r="F104" i="3"/>
  <c r="S104" i="3"/>
  <c r="Q104" i="3"/>
  <c r="O104" i="3"/>
  <c r="U104" i="3"/>
  <c r="AD104" i="3"/>
  <c r="M104" i="3"/>
  <c r="AF104" i="3"/>
  <c r="AE104" i="3"/>
  <c r="AM104" i="3"/>
  <c r="AK104" i="3"/>
  <c r="AO104" i="3" s="1"/>
  <c r="T104" i="3"/>
  <c r="R104" i="3"/>
  <c r="V104" i="3"/>
  <c r="P104" i="3"/>
  <c r="BN103" i="3"/>
  <c r="AT102" i="3"/>
  <c r="AW102" i="3"/>
  <c r="X103" i="3"/>
  <c r="Y103" i="3"/>
  <c r="Z103" i="3" s="1"/>
  <c r="AU102" i="3"/>
  <c r="AH103" i="3"/>
  <c r="AG103" i="3"/>
  <c r="AN103" i="3"/>
  <c r="BM104" i="3" l="1"/>
  <c r="BC101" i="3"/>
  <c r="BD101" i="3" s="1"/>
  <c r="BQ101" i="3"/>
  <c r="BB101" i="3"/>
  <c r="AY102" i="3"/>
  <c r="AT103" i="3"/>
  <c r="AU103" i="3"/>
  <c r="BJ100" i="3"/>
  <c r="BK100" i="3" s="1"/>
  <c r="AG104" i="3"/>
  <c r="X104" i="3"/>
  <c r="AW103" i="3"/>
  <c r="AH104" i="3"/>
  <c r="Y104" i="3"/>
  <c r="Z104" i="3" s="1"/>
  <c r="AX103" i="3"/>
  <c r="BA102" i="3"/>
  <c r="AV102" i="3"/>
  <c r="BC102" i="3" s="1"/>
  <c r="AN104" i="3"/>
  <c r="B105" i="3"/>
  <c r="A106" i="3"/>
  <c r="AQ105" i="3"/>
  <c r="AR105" i="3"/>
  <c r="C105" i="3"/>
  <c r="D105" i="3"/>
  <c r="G105" i="3"/>
  <c r="H105" i="3" s="1"/>
  <c r="BN105" i="3" s="1"/>
  <c r="F105" i="3"/>
  <c r="Q105" i="3"/>
  <c r="S105" i="3"/>
  <c r="O105" i="3"/>
  <c r="U105" i="3"/>
  <c r="AF105" i="3"/>
  <c r="AD105" i="3"/>
  <c r="M105" i="3"/>
  <c r="AE105" i="3"/>
  <c r="AK105" i="3"/>
  <c r="AM105" i="3"/>
  <c r="V105" i="3"/>
  <c r="P105" i="3"/>
  <c r="R105" i="3"/>
  <c r="T105" i="3"/>
  <c r="BM105" i="3" l="1"/>
  <c r="BG101" i="3"/>
  <c r="BH101" i="3" s="1"/>
  <c r="BI101" i="3" s="1"/>
  <c r="AV103" i="3"/>
  <c r="AG105" i="3"/>
  <c r="AN105" i="3"/>
  <c r="AY103" i="3"/>
  <c r="AX104" i="3"/>
  <c r="AT104" i="3"/>
  <c r="AW104" i="3"/>
  <c r="AY104" i="3" s="1"/>
  <c r="AH105" i="3"/>
  <c r="BQ102" i="3"/>
  <c r="BF102" i="3"/>
  <c r="BJ101" i="3" s="1"/>
  <c r="BK101" i="3" s="1"/>
  <c r="BB102" i="3"/>
  <c r="AO105" i="3"/>
  <c r="BD102" i="3"/>
  <c r="BG102" i="3"/>
  <c r="BH102" i="3" s="1"/>
  <c r="BI102" i="3" s="1"/>
  <c r="AU104" i="3"/>
  <c r="AQ106" i="3"/>
  <c r="AR106" i="3"/>
  <c r="B106" i="3"/>
  <c r="A107" i="3"/>
  <c r="D106" i="3"/>
  <c r="C106" i="3"/>
  <c r="G106" i="3"/>
  <c r="H106" i="3" s="1"/>
  <c r="F106" i="3"/>
  <c r="Q106" i="3"/>
  <c r="S106" i="3"/>
  <c r="O106" i="3"/>
  <c r="U106" i="3"/>
  <c r="M106" i="3"/>
  <c r="AM106" i="3"/>
  <c r="AF106" i="3"/>
  <c r="AE106" i="3"/>
  <c r="AD106" i="3"/>
  <c r="AK106" i="3"/>
  <c r="T106" i="3"/>
  <c r="P106" i="3"/>
  <c r="R106" i="3"/>
  <c r="V106" i="3"/>
  <c r="X105" i="3"/>
  <c r="Y105" i="3"/>
  <c r="Z105" i="3" s="1"/>
  <c r="BA103" i="3"/>
  <c r="AT105" i="3" l="1"/>
  <c r="BC103" i="3"/>
  <c r="AU105" i="3"/>
  <c r="AV105" i="3" s="1"/>
  <c r="BA104" i="3"/>
  <c r="BB104" i="3" s="1"/>
  <c r="BN106" i="3"/>
  <c r="AN106" i="3"/>
  <c r="AV104" i="3"/>
  <c r="BC104" i="3" s="1"/>
  <c r="BD104" i="3" s="1"/>
  <c r="X106" i="3"/>
  <c r="B107" i="3"/>
  <c r="AQ107" i="3"/>
  <c r="AR107" i="3"/>
  <c r="A108" i="3"/>
  <c r="C107" i="3"/>
  <c r="D107" i="3"/>
  <c r="G107" i="3"/>
  <c r="H107" i="3" s="1"/>
  <c r="BN107" i="3" s="1"/>
  <c r="F107" i="3"/>
  <c r="Q107" i="3"/>
  <c r="S107" i="3"/>
  <c r="O107" i="3"/>
  <c r="U107" i="3"/>
  <c r="AE107" i="3"/>
  <c r="AD107" i="3"/>
  <c r="AM107" i="3"/>
  <c r="AF107" i="3"/>
  <c r="M107" i="3"/>
  <c r="AK107" i="3"/>
  <c r="V107" i="3"/>
  <c r="P107" i="3"/>
  <c r="T107" i="3"/>
  <c r="R107" i="3"/>
  <c r="AO106" i="3"/>
  <c r="AX105" i="3"/>
  <c r="BQ103" i="3"/>
  <c r="BF103" i="3"/>
  <c r="BJ102" i="3" s="1"/>
  <c r="BK102" i="3" s="1"/>
  <c r="BB103" i="3"/>
  <c r="Y106" i="3"/>
  <c r="Z106" i="3" s="1"/>
  <c r="AH106" i="3"/>
  <c r="BG103" i="3"/>
  <c r="BH103" i="3" s="1"/>
  <c r="BI103" i="3" s="1"/>
  <c r="BD103" i="3"/>
  <c r="AG106" i="3"/>
  <c r="BM106" i="3"/>
  <c r="AW105" i="3"/>
  <c r="BQ104" i="3" l="1"/>
  <c r="BF104" i="3"/>
  <c r="BG104" i="3"/>
  <c r="BH104" i="3" s="1"/>
  <c r="BI104" i="3" s="1"/>
  <c r="AO107" i="3"/>
  <c r="X107" i="3"/>
  <c r="AG107" i="3"/>
  <c r="AX106" i="3"/>
  <c r="BJ103" i="3"/>
  <c r="BK103" i="3" s="1"/>
  <c r="B108" i="3"/>
  <c r="AQ108" i="3"/>
  <c r="A109" i="3"/>
  <c r="AR108" i="3"/>
  <c r="C108" i="3"/>
  <c r="D108" i="3"/>
  <c r="G108" i="3"/>
  <c r="H108" i="3" s="1"/>
  <c r="BN108" i="3" s="1"/>
  <c r="F108" i="3"/>
  <c r="BM108" i="3" s="1"/>
  <c r="Q108" i="3"/>
  <c r="S108" i="3"/>
  <c r="O108" i="3"/>
  <c r="U108" i="3"/>
  <c r="AF108" i="3"/>
  <c r="AD108" i="3"/>
  <c r="M108" i="3"/>
  <c r="AE108" i="3"/>
  <c r="AM108" i="3"/>
  <c r="AK108" i="3"/>
  <c r="AO108" i="3" s="1"/>
  <c r="V108" i="3"/>
  <c r="R108" i="3"/>
  <c r="P108" i="3"/>
  <c r="T108" i="3"/>
  <c r="AU106" i="3"/>
  <c r="AY105" i="3"/>
  <c r="BC105" i="3" s="1"/>
  <c r="BA105" i="3"/>
  <c r="AW106" i="3"/>
  <c r="BM107" i="3"/>
  <c r="Y107" i="3"/>
  <c r="Z107" i="3" s="1"/>
  <c r="AN107" i="3"/>
  <c r="AT106" i="3"/>
  <c r="AH107" i="3"/>
  <c r="AX107" i="3" s="1"/>
  <c r="AY106" i="3" l="1"/>
  <c r="AG108" i="3"/>
  <c r="BD105" i="3"/>
  <c r="BG105" i="3"/>
  <c r="BH105" i="3" s="1"/>
  <c r="BI105" i="3" s="1"/>
  <c r="B109" i="3"/>
  <c r="AR109" i="3"/>
  <c r="A110" i="3"/>
  <c r="D109" i="3"/>
  <c r="AQ109" i="3"/>
  <c r="C109" i="3"/>
  <c r="F109" i="3"/>
  <c r="G109" i="3"/>
  <c r="H109" i="3" s="1"/>
  <c r="Q109" i="3"/>
  <c r="S109" i="3"/>
  <c r="O109" i="3"/>
  <c r="U109" i="3"/>
  <c r="AF109" i="3"/>
  <c r="AD109" i="3"/>
  <c r="AE109" i="3"/>
  <c r="M109" i="3"/>
  <c r="AK109" i="3"/>
  <c r="AM109" i="3"/>
  <c r="R109" i="3"/>
  <c r="P109" i="3"/>
  <c r="T109" i="3"/>
  <c r="V109" i="3"/>
  <c r="AH108" i="3"/>
  <c r="AT108" i="3" s="1"/>
  <c r="AT107" i="3"/>
  <c r="AW107" i="3"/>
  <c r="AY107" i="3" s="1"/>
  <c r="X108" i="3"/>
  <c r="Y108" i="3"/>
  <c r="Z108" i="3" s="1"/>
  <c r="AV106" i="3"/>
  <c r="BC106" i="3" s="1"/>
  <c r="BA106" i="3"/>
  <c r="AU107" i="3"/>
  <c r="BF105" i="3"/>
  <c r="BJ104" i="3" s="1"/>
  <c r="BK104" i="3" s="1"/>
  <c r="BB105" i="3"/>
  <c r="BQ105" i="3"/>
  <c r="AN108" i="3"/>
  <c r="AU108" i="3" l="1"/>
  <c r="AV108" i="3" s="1"/>
  <c r="BM109" i="3"/>
  <c r="X109" i="3"/>
  <c r="AO109" i="3"/>
  <c r="AW108" i="3"/>
  <c r="AQ110" i="3"/>
  <c r="AR110" i="3"/>
  <c r="B110" i="3"/>
  <c r="A111" i="3"/>
  <c r="C110" i="3"/>
  <c r="D110" i="3"/>
  <c r="G110" i="3"/>
  <c r="H110" i="3" s="1"/>
  <c r="BN110" i="3" s="1"/>
  <c r="F110" i="3"/>
  <c r="Q110" i="3"/>
  <c r="S110" i="3"/>
  <c r="O110" i="3"/>
  <c r="U110" i="3"/>
  <c r="AM110" i="3"/>
  <c r="AD110" i="3"/>
  <c r="AE110" i="3"/>
  <c r="M110" i="3"/>
  <c r="AF110" i="3"/>
  <c r="AK110" i="3"/>
  <c r="P110" i="3"/>
  <c r="V110" i="3"/>
  <c r="T110" i="3"/>
  <c r="R110" i="3"/>
  <c r="AN109" i="3"/>
  <c r="BN109" i="3"/>
  <c r="BA107" i="3"/>
  <c r="AV107" i="3"/>
  <c r="BC107" i="3" s="1"/>
  <c r="AG109" i="3"/>
  <c r="BQ106" i="3"/>
  <c r="BB106" i="3"/>
  <c r="BF106" i="3"/>
  <c r="BJ105" i="3" s="1"/>
  <c r="BK105" i="3" s="1"/>
  <c r="BD106" i="3"/>
  <c r="BG106" i="3"/>
  <c r="BH106" i="3" s="1"/>
  <c r="BI106" i="3" s="1"/>
  <c r="AX108" i="3"/>
  <c r="AY108" i="3" s="1"/>
  <c r="Y109" i="3"/>
  <c r="Z109" i="3" s="1"/>
  <c r="AH109" i="3"/>
  <c r="AU109" i="3" l="1"/>
  <c r="AN110" i="3"/>
  <c r="X110" i="3"/>
  <c r="AG110" i="3"/>
  <c r="BQ107" i="3"/>
  <c r="BF107" i="3"/>
  <c r="BJ106" i="3" s="1"/>
  <c r="BK106" i="3" s="1"/>
  <c r="BB107" i="3"/>
  <c r="BA108" i="3"/>
  <c r="Y110" i="3"/>
  <c r="Z110" i="3" s="1"/>
  <c r="A112" i="3"/>
  <c r="B111" i="3"/>
  <c r="AQ111" i="3"/>
  <c r="AR111" i="3"/>
  <c r="C111" i="3"/>
  <c r="D111" i="3"/>
  <c r="F111" i="3"/>
  <c r="BM111" i="3" s="1"/>
  <c r="G111" i="3"/>
  <c r="H111" i="3" s="1"/>
  <c r="Q111" i="3"/>
  <c r="S111" i="3"/>
  <c r="O111" i="3"/>
  <c r="U111" i="3"/>
  <c r="AF111" i="3"/>
  <c r="AD111" i="3"/>
  <c r="M111" i="3"/>
  <c r="AE111" i="3"/>
  <c r="AM111" i="3"/>
  <c r="AK111" i="3"/>
  <c r="P111" i="3"/>
  <c r="T111" i="3"/>
  <c r="R111" i="3"/>
  <c r="V111" i="3"/>
  <c r="BC108" i="3"/>
  <c r="AO110" i="3"/>
  <c r="BG107" i="3"/>
  <c r="BH107" i="3" s="1"/>
  <c r="BI107" i="3" s="1"/>
  <c r="BD107" i="3"/>
  <c r="AH110" i="3"/>
  <c r="AX109" i="3"/>
  <c r="AW109" i="3"/>
  <c r="AT109" i="3"/>
  <c r="BM110" i="3"/>
  <c r="BN111" i="3" l="1"/>
  <c r="AY109" i="3"/>
  <c r="AG111" i="3"/>
  <c r="AT110" i="3"/>
  <c r="AW110" i="3"/>
  <c r="AO111" i="3"/>
  <c r="AX110" i="3"/>
  <c r="AY110" i="3" s="1"/>
  <c r="AN111" i="3"/>
  <c r="AR112" i="3"/>
  <c r="B112" i="3"/>
  <c r="AQ112" i="3"/>
  <c r="A113" i="3"/>
  <c r="D112" i="3"/>
  <c r="C112" i="3"/>
  <c r="G112" i="3"/>
  <c r="H112" i="3" s="1"/>
  <c r="BN112" i="3" s="1"/>
  <c r="F112" i="3"/>
  <c r="S112" i="3"/>
  <c r="Q112" i="3"/>
  <c r="O112" i="3"/>
  <c r="U112" i="3"/>
  <c r="AD112" i="3"/>
  <c r="M112" i="3"/>
  <c r="AF112" i="3"/>
  <c r="AE112" i="3"/>
  <c r="AK112" i="3"/>
  <c r="AM112" i="3"/>
  <c r="P112" i="3"/>
  <c r="R112" i="3"/>
  <c r="T112" i="3"/>
  <c r="V112" i="3"/>
  <c r="BA109" i="3"/>
  <c r="AV109" i="3"/>
  <c r="BC109" i="3" s="1"/>
  <c r="AH111" i="3"/>
  <c r="X111" i="3"/>
  <c r="BD108" i="3"/>
  <c r="BG108" i="3"/>
  <c r="BH108" i="3" s="1"/>
  <c r="BI108" i="3" s="1"/>
  <c r="BQ108" i="3"/>
  <c r="BF108" i="3"/>
  <c r="BJ107" i="3" s="1"/>
  <c r="BK107" i="3" s="1"/>
  <c r="BB108" i="3"/>
  <c r="Y111" i="3"/>
  <c r="Z111" i="3" s="1"/>
  <c r="AU110" i="3"/>
  <c r="AN112" i="3" l="1"/>
  <c r="AX111" i="3"/>
  <c r="BA110" i="3"/>
  <c r="BQ110" i="3" s="1"/>
  <c r="AT111" i="3"/>
  <c r="AW111" i="3"/>
  <c r="AH112" i="3"/>
  <c r="AU112" i="3" s="1"/>
  <c r="BF110" i="3"/>
  <c r="BB110" i="3"/>
  <c r="AV110" i="3"/>
  <c r="BC110" i="3" s="1"/>
  <c r="AQ113" i="3"/>
  <c r="AR113" i="3"/>
  <c r="B113" i="3"/>
  <c r="A114" i="3"/>
  <c r="D113" i="3"/>
  <c r="C113" i="3"/>
  <c r="F113" i="3"/>
  <c r="BM113" i="3" s="1"/>
  <c r="G113" i="3"/>
  <c r="H113" i="3" s="1"/>
  <c r="Q113" i="3"/>
  <c r="S113" i="3"/>
  <c r="O113" i="3"/>
  <c r="U113" i="3"/>
  <c r="AF113" i="3"/>
  <c r="M113" i="3"/>
  <c r="AD113" i="3"/>
  <c r="AE113" i="3"/>
  <c r="AM113" i="3"/>
  <c r="AK113" i="3"/>
  <c r="P113" i="3"/>
  <c r="T113" i="3"/>
  <c r="V113" i="3"/>
  <c r="R113" i="3"/>
  <c r="Y112" i="3"/>
  <c r="Z112" i="3" s="1"/>
  <c r="BD109" i="3"/>
  <c r="BG109" i="3"/>
  <c r="BH109" i="3" s="1"/>
  <c r="BI109" i="3" s="1"/>
  <c r="BQ109" i="3"/>
  <c r="BB109" i="3"/>
  <c r="BF109" i="3"/>
  <c r="BJ108" i="3" s="1"/>
  <c r="BK108" i="3" s="1"/>
  <c r="AO112" i="3"/>
  <c r="X112" i="3"/>
  <c r="AU111" i="3"/>
  <c r="AG112" i="3"/>
  <c r="BM112" i="3"/>
  <c r="BN113" i="3" l="1"/>
  <c r="AT112" i="3"/>
  <c r="AY111" i="3"/>
  <c r="AG113" i="3"/>
  <c r="AV111" i="3"/>
  <c r="BA111" i="3"/>
  <c r="BF111" i="3" s="1"/>
  <c r="BJ110" i="3" s="1"/>
  <c r="BK110" i="3" s="1"/>
  <c r="BC111" i="3"/>
  <c r="BD111" i="3" s="1"/>
  <c r="AO113" i="3"/>
  <c r="AX112" i="3"/>
  <c r="BJ109" i="3"/>
  <c r="BK109" i="3" s="1"/>
  <c r="AV112" i="3"/>
  <c r="AH113" i="3"/>
  <c r="AN113" i="3"/>
  <c r="BD110" i="3"/>
  <c r="BG110" i="3"/>
  <c r="BH110" i="3" s="1"/>
  <c r="BI110" i="3" s="1"/>
  <c r="AW112" i="3"/>
  <c r="Y113" i="3"/>
  <c r="Z113" i="3" s="1"/>
  <c r="X113" i="3"/>
  <c r="AQ114" i="3"/>
  <c r="AR114" i="3"/>
  <c r="D114" i="3"/>
  <c r="B114" i="3"/>
  <c r="A115" i="3"/>
  <c r="C114" i="3"/>
  <c r="G114" i="3"/>
  <c r="H114" i="3" s="1"/>
  <c r="F114" i="3"/>
  <c r="Q114" i="3"/>
  <c r="S114" i="3"/>
  <c r="O114" i="3"/>
  <c r="U114" i="3"/>
  <c r="AF114" i="3"/>
  <c r="AD114" i="3"/>
  <c r="AE114" i="3"/>
  <c r="M114" i="3"/>
  <c r="AK114" i="3"/>
  <c r="AM114" i="3"/>
  <c r="AN114" i="3" s="1"/>
  <c r="P114" i="3"/>
  <c r="T114" i="3"/>
  <c r="R114" i="3"/>
  <c r="V114" i="3"/>
  <c r="BM114" i="3" l="1"/>
  <c r="AT113" i="3"/>
  <c r="BG111" i="3"/>
  <c r="BH111" i="3" s="1"/>
  <c r="BI111" i="3" s="1"/>
  <c r="AU113" i="3"/>
  <c r="AV113" i="3" s="1"/>
  <c r="AW113" i="3"/>
  <c r="BB111" i="3"/>
  <c r="BQ111" i="3"/>
  <c r="AY112" i="3"/>
  <c r="BC112" i="3" s="1"/>
  <c r="X114" i="3"/>
  <c r="BA112" i="3"/>
  <c r="BB112" i="3" s="1"/>
  <c r="AO114" i="3"/>
  <c r="A116" i="3"/>
  <c r="B115" i="3"/>
  <c r="AQ115" i="3"/>
  <c r="AR115" i="3"/>
  <c r="C115" i="3"/>
  <c r="D115" i="3"/>
  <c r="F115" i="3"/>
  <c r="G115" i="3"/>
  <c r="H115" i="3" s="1"/>
  <c r="BN115" i="3" s="1"/>
  <c r="Q115" i="3"/>
  <c r="S115" i="3"/>
  <c r="O115" i="3"/>
  <c r="U115" i="3"/>
  <c r="AF115" i="3"/>
  <c r="AD115" i="3"/>
  <c r="AE115" i="3"/>
  <c r="M115" i="3"/>
  <c r="AM115" i="3"/>
  <c r="AK115" i="3"/>
  <c r="T115" i="3"/>
  <c r="R115" i="3"/>
  <c r="V115" i="3"/>
  <c r="P115" i="3"/>
  <c r="AG114" i="3"/>
  <c r="BN114" i="3"/>
  <c r="Y114" i="3"/>
  <c r="Z114" i="3" s="1"/>
  <c r="AH114" i="3"/>
  <c r="AX113" i="3"/>
  <c r="AY113" i="3" s="1"/>
  <c r="BM115" i="3" l="1"/>
  <c r="BQ112" i="3"/>
  <c r="BF112" i="3"/>
  <c r="BJ111" i="3" s="1"/>
  <c r="BK111" i="3" s="1"/>
  <c r="AG115" i="3"/>
  <c r="BA113" i="3"/>
  <c r="BF113" i="3" s="1"/>
  <c r="AN115" i="3"/>
  <c r="AW114" i="3"/>
  <c r="BC113" i="3"/>
  <c r="BG113" i="3" s="1"/>
  <c r="BH113" i="3" s="1"/>
  <c r="BI113" i="3" s="1"/>
  <c r="AX114" i="3"/>
  <c r="BD112" i="3"/>
  <c r="BG112" i="3"/>
  <c r="BH112" i="3" s="1"/>
  <c r="BI112" i="3" s="1"/>
  <c r="A117" i="3"/>
  <c r="AR116" i="3"/>
  <c r="AQ116" i="3"/>
  <c r="B116" i="3"/>
  <c r="C116" i="3"/>
  <c r="D116" i="3"/>
  <c r="F116" i="3"/>
  <c r="G116" i="3"/>
  <c r="H116" i="3" s="1"/>
  <c r="BN116" i="3" s="1"/>
  <c r="Q116" i="3"/>
  <c r="S116" i="3"/>
  <c r="O116" i="3"/>
  <c r="U116" i="3"/>
  <c r="M116" i="3"/>
  <c r="AF116" i="3"/>
  <c r="AD116" i="3"/>
  <c r="AE116" i="3"/>
  <c r="AK116" i="3"/>
  <c r="AM116" i="3"/>
  <c r="T116" i="3"/>
  <c r="P116" i="3"/>
  <c r="R116" i="3"/>
  <c r="V116" i="3"/>
  <c r="AH115" i="3"/>
  <c r="Y115" i="3"/>
  <c r="Z115" i="3" s="1"/>
  <c r="X115" i="3"/>
  <c r="AU114" i="3"/>
  <c r="AO115" i="3"/>
  <c r="AT114" i="3"/>
  <c r="BM116" i="3" l="1"/>
  <c r="AN116" i="3"/>
  <c r="AG116" i="3"/>
  <c r="BB113" i="3"/>
  <c r="BQ113" i="3"/>
  <c r="AY114" i="3"/>
  <c r="BD113" i="3"/>
  <c r="BJ112" i="3"/>
  <c r="BK112" i="3" s="1"/>
  <c r="AO116" i="3"/>
  <c r="AW115" i="3"/>
  <c r="AX115" i="3"/>
  <c r="AT115" i="3"/>
  <c r="C117" i="3"/>
  <c r="AQ117" i="3"/>
  <c r="B117" i="3"/>
  <c r="AR117" i="3"/>
  <c r="A118" i="3"/>
  <c r="D117" i="3"/>
  <c r="G117" i="3"/>
  <c r="H117" i="3" s="1"/>
  <c r="BN117" i="3" s="1"/>
  <c r="F117" i="3"/>
  <c r="Q117" i="3"/>
  <c r="S117" i="3"/>
  <c r="O117" i="3"/>
  <c r="U117" i="3"/>
  <c r="AF117" i="3"/>
  <c r="AD117" i="3"/>
  <c r="M117" i="3"/>
  <c r="AE117" i="3"/>
  <c r="AK117" i="3"/>
  <c r="AM117" i="3"/>
  <c r="P117" i="3"/>
  <c r="R117" i="3"/>
  <c r="T117" i="3"/>
  <c r="V117" i="3"/>
  <c r="AU115" i="3"/>
  <c r="BA114" i="3"/>
  <c r="AV114" i="3"/>
  <c r="AH116" i="3"/>
  <c r="Y116" i="3"/>
  <c r="Z116" i="3" s="1"/>
  <c r="X116" i="3"/>
  <c r="AU116" i="3"/>
  <c r="AW116" i="3" l="1"/>
  <c r="BC114" i="3"/>
  <c r="AT116" i="3"/>
  <c r="AV116" i="3" s="1"/>
  <c r="AG117" i="3"/>
  <c r="AY115" i="3"/>
  <c r="AX116" i="3"/>
  <c r="AY116" i="3" s="1"/>
  <c r="BM117" i="3"/>
  <c r="AN117" i="3"/>
  <c r="AH117" i="3"/>
  <c r="B118" i="3"/>
  <c r="AR118" i="3"/>
  <c r="A119" i="3"/>
  <c r="AQ118" i="3"/>
  <c r="C118" i="3"/>
  <c r="D118" i="3"/>
  <c r="G118" i="3"/>
  <c r="H118" i="3" s="1"/>
  <c r="F118" i="3"/>
  <c r="Q118" i="3"/>
  <c r="S118" i="3"/>
  <c r="O118" i="3"/>
  <c r="U118" i="3"/>
  <c r="AF118" i="3"/>
  <c r="AD118" i="3"/>
  <c r="AE118" i="3"/>
  <c r="M118" i="3"/>
  <c r="AK118" i="3"/>
  <c r="AM118" i="3"/>
  <c r="AN118" i="3" s="1"/>
  <c r="T118" i="3"/>
  <c r="R118" i="3"/>
  <c r="P118" i="3"/>
  <c r="V118" i="3"/>
  <c r="X117" i="3"/>
  <c r="AO117" i="3"/>
  <c r="BA115" i="3"/>
  <c r="AV115" i="3"/>
  <c r="Y117" i="3"/>
  <c r="Z117" i="3" s="1"/>
  <c r="BD114" i="3"/>
  <c r="BG114" i="3"/>
  <c r="BH114" i="3" s="1"/>
  <c r="BI114" i="3" s="1"/>
  <c r="BQ114" i="3"/>
  <c r="BF114" i="3"/>
  <c r="BJ113" i="3" s="1"/>
  <c r="BK113" i="3" s="1"/>
  <c r="BB114" i="3"/>
  <c r="AU117" i="3" l="1"/>
  <c r="BC115" i="3"/>
  <c r="BD115" i="3" s="1"/>
  <c r="BA116" i="3"/>
  <c r="BQ116" i="3" s="1"/>
  <c r="BC116" i="3"/>
  <c r="BG116" i="3" s="1"/>
  <c r="BH116" i="3" s="1"/>
  <c r="BI116" i="3" s="1"/>
  <c r="AT117" i="3"/>
  <c r="X118" i="3"/>
  <c r="AH118" i="3"/>
  <c r="AV117" i="3"/>
  <c r="AR119" i="3"/>
  <c r="A120" i="3"/>
  <c r="B119" i="3"/>
  <c r="AQ119" i="3"/>
  <c r="C119" i="3"/>
  <c r="D119" i="3"/>
  <c r="F119" i="3"/>
  <c r="BM119" i="3" s="1"/>
  <c r="G119" i="3"/>
  <c r="H119" i="3" s="1"/>
  <c r="BN119" i="3" s="1"/>
  <c r="Q119" i="3"/>
  <c r="S119" i="3"/>
  <c r="O119" i="3"/>
  <c r="U119" i="3"/>
  <c r="M119" i="3"/>
  <c r="AD119" i="3"/>
  <c r="AF119" i="3"/>
  <c r="AK119" i="3"/>
  <c r="AE119" i="3"/>
  <c r="AM119" i="3"/>
  <c r="T119" i="3"/>
  <c r="P119" i="3"/>
  <c r="R119" i="3"/>
  <c r="V119" i="3"/>
  <c r="AO118" i="3"/>
  <c r="Y118" i="3"/>
  <c r="Z118" i="3" s="1"/>
  <c r="BQ115" i="3"/>
  <c r="BF115" i="3"/>
  <c r="BJ114" i="3" s="1"/>
  <c r="BK114" i="3" s="1"/>
  <c r="BB115" i="3"/>
  <c r="BM118" i="3"/>
  <c r="AX117" i="3"/>
  <c r="AG118" i="3"/>
  <c r="BN118" i="3"/>
  <c r="AW117" i="3"/>
  <c r="BG115" i="3" l="1"/>
  <c r="BH115" i="3" s="1"/>
  <c r="BI115" i="3" s="1"/>
  <c r="BF116" i="3"/>
  <c r="BD116" i="3"/>
  <c r="AN119" i="3"/>
  <c r="BB116" i="3"/>
  <c r="AG119" i="3"/>
  <c r="BA117" i="3"/>
  <c r="BB117" i="3" s="1"/>
  <c r="BJ115" i="3"/>
  <c r="BK115" i="3" s="1"/>
  <c r="AY117" i="3"/>
  <c r="BC117" i="3" s="1"/>
  <c r="AO119" i="3"/>
  <c r="Y119" i="3"/>
  <c r="Z119" i="3" s="1"/>
  <c r="AH119" i="3"/>
  <c r="A121" i="3"/>
  <c r="B120" i="3"/>
  <c r="AQ120" i="3"/>
  <c r="AR120" i="3"/>
  <c r="C120" i="3"/>
  <c r="D120" i="3"/>
  <c r="F120" i="3"/>
  <c r="BM120" i="3" s="1"/>
  <c r="G120" i="3"/>
  <c r="H120" i="3" s="1"/>
  <c r="BN120" i="3" s="1"/>
  <c r="Q120" i="3"/>
  <c r="S120" i="3"/>
  <c r="O120" i="3"/>
  <c r="U120" i="3"/>
  <c r="AD120" i="3"/>
  <c r="M120" i="3"/>
  <c r="AM120" i="3"/>
  <c r="AE120" i="3"/>
  <c r="AF120" i="3"/>
  <c r="AK120" i="3"/>
  <c r="R120" i="3"/>
  <c r="V120" i="3"/>
  <c r="T120" i="3"/>
  <c r="P120" i="3"/>
  <c r="AW118" i="3"/>
  <c r="AT118" i="3"/>
  <c r="AX118" i="3"/>
  <c r="X119" i="3"/>
  <c r="AU118" i="3"/>
  <c r="AN120" i="3" l="1"/>
  <c r="AT119" i="3"/>
  <c r="AY118" i="3"/>
  <c r="BF117" i="3"/>
  <c r="BJ116" i="3" s="1"/>
  <c r="BK116" i="3" s="1"/>
  <c r="BQ117" i="3"/>
  <c r="AG120" i="3"/>
  <c r="AU119" i="3"/>
  <c r="AV119" i="3" s="1"/>
  <c r="BD117" i="3"/>
  <c r="BG117" i="3"/>
  <c r="BH117" i="3" s="1"/>
  <c r="BI117" i="3" s="1"/>
  <c r="AX119" i="3"/>
  <c r="AH120" i="3"/>
  <c r="AW119" i="3"/>
  <c r="AO120" i="3"/>
  <c r="Y120" i="3"/>
  <c r="Z120" i="3" s="1"/>
  <c r="X120" i="3"/>
  <c r="BA118" i="3"/>
  <c r="AV118" i="3"/>
  <c r="A122" i="3"/>
  <c r="AQ121" i="3"/>
  <c r="AR121" i="3"/>
  <c r="B121" i="3"/>
  <c r="D121" i="3"/>
  <c r="C121" i="3"/>
  <c r="G121" i="3"/>
  <c r="H121" i="3" s="1"/>
  <c r="F121" i="3"/>
  <c r="Q121" i="3"/>
  <c r="S121" i="3"/>
  <c r="O121" i="3"/>
  <c r="U121" i="3"/>
  <c r="AK121" i="3"/>
  <c r="AD121" i="3"/>
  <c r="M121" i="3"/>
  <c r="AE121" i="3"/>
  <c r="AF121" i="3"/>
  <c r="AM121" i="3"/>
  <c r="R121" i="3"/>
  <c r="V121" i="3"/>
  <c r="P121" i="3"/>
  <c r="T121" i="3"/>
  <c r="BM121" i="3" l="1"/>
  <c r="BC118" i="3"/>
  <c r="BD118" i="3" s="1"/>
  <c r="AY119" i="3"/>
  <c r="BN121" i="3"/>
  <c r="AX120" i="3"/>
  <c r="AO121" i="3"/>
  <c r="B122" i="3"/>
  <c r="AR122" i="3"/>
  <c r="A123" i="3"/>
  <c r="D122" i="3"/>
  <c r="AQ122" i="3"/>
  <c r="C122" i="3"/>
  <c r="G122" i="3"/>
  <c r="H122" i="3" s="1"/>
  <c r="F122" i="3"/>
  <c r="BM122" i="3" s="1"/>
  <c r="Q122" i="3"/>
  <c r="S122" i="3"/>
  <c r="O122" i="3"/>
  <c r="U122" i="3"/>
  <c r="AD122" i="3"/>
  <c r="AE122" i="3"/>
  <c r="M122" i="3"/>
  <c r="AM122" i="3"/>
  <c r="AF122" i="3"/>
  <c r="AK122" i="3"/>
  <c r="P122" i="3"/>
  <c r="T122" i="3"/>
  <c r="V122" i="3"/>
  <c r="R122" i="3"/>
  <c r="BQ118" i="3"/>
  <c r="BF118" i="3"/>
  <c r="BJ117" i="3" s="1"/>
  <c r="BK117" i="3" s="1"/>
  <c r="BB118" i="3"/>
  <c r="BC119" i="3"/>
  <c r="AH121" i="3"/>
  <c r="AU120" i="3"/>
  <c r="BA119" i="3"/>
  <c r="AG121" i="3"/>
  <c r="AW120" i="3"/>
  <c r="Y121" i="3"/>
  <c r="Z121" i="3" s="1"/>
  <c r="X121" i="3"/>
  <c r="AN121" i="3"/>
  <c r="AT120" i="3"/>
  <c r="BG118" i="3" l="1"/>
  <c r="BH118" i="3" s="1"/>
  <c r="BI118" i="3" s="1"/>
  <c r="AY120" i="3"/>
  <c r="BN122" i="3"/>
  <c r="AW121" i="3"/>
  <c r="AU121" i="3"/>
  <c r="AN122" i="3"/>
  <c r="AG122" i="3"/>
  <c r="AH122" i="3"/>
  <c r="AT122" i="3" s="1"/>
  <c r="BF119" i="3"/>
  <c r="BJ118" i="3" s="1"/>
  <c r="BK118" i="3" s="1"/>
  <c r="BB119" i="3"/>
  <c r="BQ119" i="3"/>
  <c r="X122" i="3"/>
  <c r="BA120" i="3"/>
  <c r="AV120" i="3"/>
  <c r="Y122" i="3"/>
  <c r="Z122" i="3" s="1"/>
  <c r="AX121" i="3"/>
  <c r="AQ123" i="3"/>
  <c r="AR123" i="3"/>
  <c r="A124" i="3"/>
  <c r="B123" i="3"/>
  <c r="C123" i="3"/>
  <c r="D123" i="3"/>
  <c r="F123" i="3"/>
  <c r="BM123" i="3" s="1"/>
  <c r="G123" i="3"/>
  <c r="H123" i="3" s="1"/>
  <c r="BN123" i="3" s="1"/>
  <c r="Q123" i="3"/>
  <c r="S123" i="3"/>
  <c r="O123" i="3"/>
  <c r="U123" i="3"/>
  <c r="AF123" i="3"/>
  <c r="AM123" i="3"/>
  <c r="M123" i="3"/>
  <c r="AD123" i="3"/>
  <c r="AK123" i="3"/>
  <c r="AE123" i="3"/>
  <c r="T123" i="3"/>
  <c r="R123" i="3"/>
  <c r="P123" i="3"/>
  <c r="V123" i="3"/>
  <c r="AT121" i="3"/>
  <c r="BD119" i="3"/>
  <c r="BG119" i="3"/>
  <c r="BH119" i="3" s="1"/>
  <c r="BI119" i="3" s="1"/>
  <c r="AO122" i="3"/>
  <c r="BC120" i="3" l="1"/>
  <c r="AY121" i="3"/>
  <c r="AU122" i="3"/>
  <c r="AV122" i="3" s="1"/>
  <c r="AO123" i="3"/>
  <c r="AG123" i="3"/>
  <c r="AR124" i="3"/>
  <c r="B124" i="3"/>
  <c r="AQ124" i="3"/>
  <c r="A125" i="3"/>
  <c r="D124" i="3"/>
  <c r="C124" i="3"/>
  <c r="G124" i="3"/>
  <c r="H124" i="3" s="1"/>
  <c r="BN124" i="3" s="1"/>
  <c r="F124" i="3"/>
  <c r="Q124" i="3"/>
  <c r="S124" i="3"/>
  <c r="O124" i="3"/>
  <c r="U124" i="3"/>
  <c r="AE124" i="3"/>
  <c r="AD124" i="3"/>
  <c r="AK124" i="3"/>
  <c r="M124" i="3"/>
  <c r="AM124" i="3"/>
  <c r="AF124" i="3"/>
  <c r="V124" i="3"/>
  <c r="P124" i="3"/>
  <c r="T124" i="3"/>
  <c r="R124" i="3"/>
  <c r="BA121" i="3"/>
  <c r="AV121" i="3"/>
  <c r="BC121" i="3" s="1"/>
  <c r="AN123" i="3"/>
  <c r="BG120" i="3"/>
  <c r="BH120" i="3" s="1"/>
  <c r="BI120" i="3" s="1"/>
  <c r="BD120" i="3"/>
  <c r="AX122" i="3"/>
  <c r="Y123" i="3"/>
  <c r="Z123" i="3" s="1"/>
  <c r="AH123" i="3"/>
  <c r="X123" i="3"/>
  <c r="BB120" i="3"/>
  <c r="BF120" i="3"/>
  <c r="BJ119" i="3" s="1"/>
  <c r="BK119" i="3" s="1"/>
  <c r="BQ120" i="3"/>
  <c r="AW122" i="3"/>
  <c r="BA122" i="3" l="1"/>
  <c r="BQ122" i="3" s="1"/>
  <c r="AU123" i="3"/>
  <c r="AT123" i="3"/>
  <c r="AO124" i="3"/>
  <c r="BM124" i="3"/>
  <c r="AG124" i="3"/>
  <c r="AX123" i="3"/>
  <c r="BF122" i="3"/>
  <c r="BB122" i="3"/>
  <c r="AH124" i="3"/>
  <c r="X124" i="3"/>
  <c r="AR125" i="3"/>
  <c r="A126" i="3"/>
  <c r="AQ125" i="3"/>
  <c r="B125" i="3"/>
  <c r="D125" i="3"/>
  <c r="C125" i="3"/>
  <c r="G125" i="3"/>
  <c r="H125" i="3" s="1"/>
  <c r="F125" i="3"/>
  <c r="Q125" i="3"/>
  <c r="S125" i="3"/>
  <c r="O125" i="3"/>
  <c r="U125" i="3"/>
  <c r="AE125" i="3"/>
  <c r="M125" i="3"/>
  <c r="AD125" i="3"/>
  <c r="AF125" i="3"/>
  <c r="AM125" i="3"/>
  <c r="AK125" i="3"/>
  <c r="P125" i="3"/>
  <c r="V125" i="3"/>
  <c r="R125" i="3"/>
  <c r="T125" i="3"/>
  <c r="BD121" i="3"/>
  <c r="BG121" i="3"/>
  <c r="BH121" i="3" s="1"/>
  <c r="BI121" i="3" s="1"/>
  <c r="Y124" i="3"/>
  <c r="Z124" i="3" s="1"/>
  <c r="BF121" i="3"/>
  <c r="BJ120" i="3" s="1"/>
  <c r="BK120" i="3" s="1"/>
  <c r="BQ121" i="3"/>
  <c r="BB121" i="3"/>
  <c r="AY122" i="3"/>
  <c r="BC122" i="3" s="1"/>
  <c r="AW123" i="3"/>
  <c r="AN124" i="3"/>
  <c r="BN125" i="3" l="1"/>
  <c r="AV123" i="3"/>
  <c r="BA123" i="3"/>
  <c r="BQ123" i="3" s="1"/>
  <c r="BM125" i="3"/>
  <c r="AY123" i="3"/>
  <c r="AN125" i="3"/>
  <c r="BB123" i="3"/>
  <c r="BF123" i="3"/>
  <c r="BJ122" i="3" s="1"/>
  <c r="BK122" i="3" s="1"/>
  <c r="BD122" i="3"/>
  <c r="BG122" i="3"/>
  <c r="BH122" i="3" s="1"/>
  <c r="BI122" i="3" s="1"/>
  <c r="X125" i="3"/>
  <c r="AW124" i="3"/>
  <c r="AX124" i="3"/>
  <c r="AG125" i="3"/>
  <c r="AH125" i="3"/>
  <c r="BC123" i="3"/>
  <c r="Y125" i="3"/>
  <c r="Z125" i="3" s="1"/>
  <c r="AT124" i="3"/>
  <c r="AU124" i="3"/>
  <c r="AO125" i="3"/>
  <c r="AQ126" i="3"/>
  <c r="AR126" i="3"/>
  <c r="A127" i="3"/>
  <c r="B126" i="3"/>
  <c r="D126" i="3"/>
  <c r="C126" i="3"/>
  <c r="F126" i="3"/>
  <c r="BM126" i="3" s="1"/>
  <c r="G126" i="3"/>
  <c r="H126" i="3" s="1"/>
  <c r="Q126" i="3"/>
  <c r="S126" i="3"/>
  <c r="O126" i="3"/>
  <c r="U126" i="3"/>
  <c r="M126" i="3"/>
  <c r="AE126" i="3"/>
  <c r="AD126" i="3"/>
  <c r="AK126" i="3"/>
  <c r="AF126" i="3"/>
  <c r="AM126" i="3"/>
  <c r="AN126" i="3" s="1"/>
  <c r="V126" i="3"/>
  <c r="T126" i="3"/>
  <c r="P126" i="3"/>
  <c r="R126" i="3"/>
  <c r="BJ121" i="3"/>
  <c r="BK121" i="3" s="1"/>
  <c r="AU125" i="3" l="1"/>
  <c r="AX125" i="3"/>
  <c r="AY124" i="3"/>
  <c r="AT125" i="3"/>
  <c r="AH126" i="3"/>
  <c r="X126" i="3"/>
  <c r="AV125" i="3"/>
  <c r="BA124" i="3"/>
  <c r="AV124" i="3"/>
  <c r="Y126" i="3"/>
  <c r="Z126" i="3" s="1"/>
  <c r="AQ127" i="3"/>
  <c r="AR127" i="3"/>
  <c r="A128" i="3"/>
  <c r="B127" i="3"/>
  <c r="D127" i="3"/>
  <c r="C127" i="3"/>
  <c r="F127" i="3"/>
  <c r="G127" i="3"/>
  <c r="H127" i="3" s="1"/>
  <c r="S127" i="3"/>
  <c r="Q127" i="3"/>
  <c r="O127" i="3"/>
  <c r="U127" i="3"/>
  <c r="M127" i="3"/>
  <c r="AD127" i="3"/>
  <c r="AF127" i="3"/>
  <c r="AE127" i="3"/>
  <c r="AK127" i="3"/>
  <c r="AM127" i="3"/>
  <c r="V127" i="3"/>
  <c r="P127" i="3"/>
  <c r="R127" i="3"/>
  <c r="T127" i="3"/>
  <c r="BD123" i="3"/>
  <c r="BG123" i="3"/>
  <c r="BH123" i="3" s="1"/>
  <c r="BI123" i="3" s="1"/>
  <c r="AG126" i="3"/>
  <c r="AO126" i="3"/>
  <c r="BN126" i="3"/>
  <c r="AW125" i="3"/>
  <c r="BN127" i="3" l="1"/>
  <c r="BM127" i="3"/>
  <c r="BC124" i="3"/>
  <c r="AY125" i="3"/>
  <c r="AG127" i="3"/>
  <c r="AW126" i="3"/>
  <c r="AN127" i="3"/>
  <c r="AT126" i="3"/>
  <c r="AU126" i="3"/>
  <c r="X127" i="3"/>
  <c r="BB124" i="3"/>
  <c r="BQ124" i="3"/>
  <c r="BF124" i="3"/>
  <c r="BJ123" i="3" s="1"/>
  <c r="BK123" i="3" s="1"/>
  <c r="BC125" i="3"/>
  <c r="BA125" i="3"/>
  <c r="AR128" i="3"/>
  <c r="B128" i="3"/>
  <c r="AQ128" i="3"/>
  <c r="A129" i="3"/>
  <c r="D128" i="3"/>
  <c r="C128" i="3"/>
  <c r="G128" i="3"/>
  <c r="H128" i="3" s="1"/>
  <c r="BN128" i="3" s="1"/>
  <c r="F128" i="3"/>
  <c r="Q128" i="3"/>
  <c r="S128" i="3"/>
  <c r="O128" i="3"/>
  <c r="U128" i="3"/>
  <c r="AF128" i="3"/>
  <c r="AK128" i="3"/>
  <c r="AD128" i="3"/>
  <c r="M128" i="3"/>
  <c r="AE128" i="3"/>
  <c r="AM128" i="3"/>
  <c r="V128" i="3"/>
  <c r="P128" i="3"/>
  <c r="R128" i="3"/>
  <c r="T128" i="3"/>
  <c r="BD124" i="3"/>
  <c r="BG124" i="3"/>
  <c r="BH124" i="3" s="1"/>
  <c r="BI124" i="3" s="1"/>
  <c r="AH127" i="3"/>
  <c r="AX126" i="3"/>
  <c r="AY126" i="3" s="1"/>
  <c r="AV126" i="3"/>
  <c r="Y127" i="3"/>
  <c r="Z127" i="3" s="1"/>
  <c r="AO127" i="3"/>
  <c r="AT127" i="3" l="1"/>
  <c r="AO128" i="3"/>
  <c r="BM128" i="3"/>
  <c r="AW127" i="3"/>
  <c r="AU127" i="3"/>
  <c r="BC126" i="3"/>
  <c r="BG126" i="3" s="1"/>
  <c r="BH126" i="3" s="1"/>
  <c r="BI126" i="3" s="1"/>
  <c r="BA126" i="3"/>
  <c r="BQ126" i="3" s="1"/>
  <c r="AH128" i="3"/>
  <c r="BD125" i="3"/>
  <c r="BG125" i="3"/>
  <c r="BH125" i="3" s="1"/>
  <c r="BI125" i="3" s="1"/>
  <c r="B129" i="3"/>
  <c r="A130" i="3"/>
  <c r="AQ129" i="3"/>
  <c r="AR129" i="3"/>
  <c r="D129" i="3"/>
  <c r="C129" i="3"/>
  <c r="F129" i="3"/>
  <c r="G129" i="3"/>
  <c r="H129" i="3" s="1"/>
  <c r="Q129" i="3"/>
  <c r="S129" i="3"/>
  <c r="O129" i="3"/>
  <c r="U129" i="3"/>
  <c r="M129" i="3"/>
  <c r="AE129" i="3"/>
  <c r="AF129" i="3"/>
  <c r="AD129" i="3"/>
  <c r="AM129" i="3"/>
  <c r="AK129" i="3"/>
  <c r="AO129" i="3" s="1"/>
  <c r="R129" i="3"/>
  <c r="T129" i="3"/>
  <c r="V129" i="3"/>
  <c r="P129" i="3"/>
  <c r="X128" i="3"/>
  <c r="Y128" i="3"/>
  <c r="Z128" i="3" s="1"/>
  <c r="AN128" i="3"/>
  <c r="BF125" i="3"/>
  <c r="BJ124" i="3" s="1"/>
  <c r="BK124" i="3" s="1"/>
  <c r="BQ125" i="3"/>
  <c r="BB125" i="3"/>
  <c r="BD126" i="3"/>
  <c r="AX127" i="3"/>
  <c r="AG128" i="3"/>
  <c r="BM129" i="3" l="1"/>
  <c r="AV127" i="3"/>
  <c r="AY127" i="3"/>
  <c r="BC127" i="3" s="1"/>
  <c r="AH129" i="3"/>
  <c r="BN129" i="3"/>
  <c r="AX128" i="3"/>
  <c r="BB126" i="3"/>
  <c r="BF126" i="3"/>
  <c r="BJ125" i="3" s="1"/>
  <c r="BK125" i="3" s="1"/>
  <c r="AT128" i="3"/>
  <c r="AG129" i="3"/>
  <c r="X129" i="3"/>
  <c r="Y129" i="3"/>
  <c r="Z129" i="3" s="1"/>
  <c r="AQ130" i="3"/>
  <c r="AR130" i="3"/>
  <c r="A131" i="3"/>
  <c r="C130" i="3"/>
  <c r="B130" i="3"/>
  <c r="D130" i="3"/>
  <c r="F130" i="3"/>
  <c r="G130" i="3"/>
  <c r="H130" i="3" s="1"/>
  <c r="Q130" i="3"/>
  <c r="S130" i="3"/>
  <c r="O130" i="3"/>
  <c r="U130" i="3"/>
  <c r="AE130" i="3"/>
  <c r="AF130" i="3"/>
  <c r="AD130" i="3"/>
  <c r="M130" i="3"/>
  <c r="AM130" i="3"/>
  <c r="AK130" i="3"/>
  <c r="AO130" i="3" s="1"/>
  <c r="P130" i="3"/>
  <c r="V130" i="3"/>
  <c r="T130" i="3"/>
  <c r="R130" i="3"/>
  <c r="AW128" i="3"/>
  <c r="AU128" i="3"/>
  <c r="AN129" i="3"/>
  <c r="BA127" i="3"/>
  <c r="AT129" i="3" l="1"/>
  <c r="AY128" i="3"/>
  <c r="BM130" i="3"/>
  <c r="AU129" i="3"/>
  <c r="AV128" i="3"/>
  <c r="AX129" i="3"/>
  <c r="BD127" i="3"/>
  <c r="BG127" i="3"/>
  <c r="BH127" i="3" s="1"/>
  <c r="BI127" i="3" s="1"/>
  <c r="Y130" i="3"/>
  <c r="Z130" i="3" s="1"/>
  <c r="X130" i="3"/>
  <c r="BA128" i="3"/>
  <c r="B131" i="3"/>
  <c r="A132" i="3"/>
  <c r="AQ131" i="3"/>
  <c r="AR131" i="3"/>
  <c r="C131" i="3"/>
  <c r="D131" i="3"/>
  <c r="G131" i="3"/>
  <c r="H131" i="3" s="1"/>
  <c r="F131" i="3"/>
  <c r="Q131" i="3"/>
  <c r="S131" i="3"/>
  <c r="O131" i="3"/>
  <c r="U131" i="3"/>
  <c r="M131" i="3"/>
  <c r="AF131" i="3"/>
  <c r="AD131" i="3"/>
  <c r="AE131" i="3"/>
  <c r="AM131" i="3"/>
  <c r="AK131" i="3"/>
  <c r="AO131" i="3" s="1"/>
  <c r="T131" i="3"/>
  <c r="V131" i="3"/>
  <c r="R131" i="3"/>
  <c r="P131" i="3"/>
  <c r="AH130" i="3"/>
  <c r="AG130" i="3"/>
  <c r="BB127" i="3"/>
  <c r="BQ127" i="3"/>
  <c r="BF127" i="3"/>
  <c r="BJ126" i="3" s="1"/>
  <c r="BK126" i="3" s="1"/>
  <c r="AN130" i="3"/>
  <c r="AV129" i="3"/>
  <c r="BN130" i="3"/>
  <c r="AW129" i="3"/>
  <c r="BC128" i="3" l="1"/>
  <c r="BD128" i="3" s="1"/>
  <c r="AY129" i="3"/>
  <c r="BM131" i="3"/>
  <c r="AX130" i="3"/>
  <c r="BC129" i="3"/>
  <c r="BD129" i="3" s="1"/>
  <c r="BA129" i="3"/>
  <c r="BQ129" i="3" s="1"/>
  <c r="AT130" i="3"/>
  <c r="AG131" i="3"/>
  <c r="BN131" i="3"/>
  <c r="AH131" i="3"/>
  <c r="X131" i="3"/>
  <c r="BF128" i="3"/>
  <c r="BJ127" i="3" s="1"/>
  <c r="BK127" i="3" s="1"/>
  <c r="BB128" i="3"/>
  <c r="BQ128" i="3"/>
  <c r="Y131" i="3"/>
  <c r="Z131" i="3" s="1"/>
  <c r="A133" i="3"/>
  <c r="B132" i="3"/>
  <c r="AR132" i="3"/>
  <c r="AQ132" i="3"/>
  <c r="C132" i="3"/>
  <c r="D132" i="3"/>
  <c r="G132" i="3"/>
  <c r="H132" i="3" s="1"/>
  <c r="F132" i="3"/>
  <c r="Q132" i="3"/>
  <c r="S132" i="3"/>
  <c r="O132" i="3"/>
  <c r="U132" i="3"/>
  <c r="M132" i="3"/>
  <c r="AD132" i="3"/>
  <c r="AE132" i="3"/>
  <c r="AF132" i="3"/>
  <c r="AK132" i="3"/>
  <c r="AM132" i="3"/>
  <c r="P132" i="3"/>
  <c r="V132" i="3"/>
  <c r="T132" i="3"/>
  <c r="R132" i="3"/>
  <c r="AU130" i="3"/>
  <c r="AW130" i="3"/>
  <c r="AN131" i="3"/>
  <c r="AN132" i="3" l="1"/>
  <c r="BG128" i="3"/>
  <c r="BH128" i="3" s="1"/>
  <c r="BI128" i="3" s="1"/>
  <c r="BG129" i="3"/>
  <c r="BH129" i="3" s="1"/>
  <c r="BI129" i="3" s="1"/>
  <c r="AY130" i="3"/>
  <c r="BN132" i="3"/>
  <c r="BF129" i="3"/>
  <c r="BJ128" i="3" s="1"/>
  <c r="BK128" i="3" s="1"/>
  <c r="BB129" i="3"/>
  <c r="AV130" i="3"/>
  <c r="BC130" i="3" s="1"/>
  <c r="BD130" i="3" s="1"/>
  <c r="AW131" i="3"/>
  <c r="AT131" i="3"/>
  <c r="AG132" i="3"/>
  <c r="AU131" i="3"/>
  <c r="AH132" i="3"/>
  <c r="X132" i="3"/>
  <c r="Y132" i="3"/>
  <c r="Z132" i="3" s="1"/>
  <c r="AO132" i="3"/>
  <c r="B133" i="3"/>
  <c r="AQ133" i="3"/>
  <c r="C133" i="3"/>
  <c r="AR133" i="3"/>
  <c r="A134" i="3"/>
  <c r="D133" i="3"/>
  <c r="F133" i="3"/>
  <c r="G133" i="3"/>
  <c r="H133" i="3" s="1"/>
  <c r="BN133" i="3" s="1"/>
  <c r="Q133" i="3"/>
  <c r="S133" i="3"/>
  <c r="O133" i="3"/>
  <c r="U133" i="3"/>
  <c r="AD133" i="3"/>
  <c r="M133" i="3"/>
  <c r="AK133" i="3"/>
  <c r="AE133" i="3"/>
  <c r="AF133" i="3"/>
  <c r="AM133" i="3"/>
  <c r="R133" i="3"/>
  <c r="T133" i="3"/>
  <c r="P133" i="3"/>
  <c r="V133" i="3"/>
  <c r="AX131" i="3"/>
  <c r="BA130" i="3"/>
  <c r="BM132" i="3"/>
  <c r="AV131" i="3" l="1"/>
  <c r="AY131" i="3"/>
  <c r="AU132" i="3"/>
  <c r="BG130" i="3"/>
  <c r="BH130" i="3" s="1"/>
  <c r="BI130" i="3" s="1"/>
  <c r="BA131" i="3"/>
  <c r="BQ131" i="3" s="1"/>
  <c r="AT132" i="3"/>
  <c r="AN133" i="3"/>
  <c r="X133" i="3"/>
  <c r="AX132" i="3"/>
  <c r="BB130" i="3"/>
  <c r="BF130" i="3"/>
  <c r="BJ129" i="3" s="1"/>
  <c r="BK129" i="3" s="1"/>
  <c r="BQ130" i="3"/>
  <c r="BM133" i="3"/>
  <c r="AW132" i="3"/>
  <c r="AG133" i="3"/>
  <c r="AO133" i="3"/>
  <c r="Y133" i="3"/>
  <c r="Z133" i="3" s="1"/>
  <c r="AH133" i="3"/>
  <c r="AR134" i="3"/>
  <c r="B134" i="3"/>
  <c r="AQ134" i="3"/>
  <c r="A135" i="3"/>
  <c r="C134" i="3"/>
  <c r="D134" i="3"/>
  <c r="G134" i="3"/>
  <c r="H134" i="3" s="1"/>
  <c r="F134" i="3"/>
  <c r="Q134" i="3"/>
  <c r="S134" i="3"/>
  <c r="O134" i="3"/>
  <c r="U134" i="3"/>
  <c r="AM134" i="3"/>
  <c r="AE134" i="3"/>
  <c r="AD134" i="3"/>
  <c r="M134" i="3"/>
  <c r="AK134" i="3"/>
  <c r="AF134" i="3"/>
  <c r="T134" i="3"/>
  <c r="P134" i="3"/>
  <c r="V134" i="3"/>
  <c r="R134" i="3"/>
  <c r="BN134" i="3" l="1"/>
  <c r="AV132" i="3"/>
  <c r="BC131" i="3"/>
  <c r="BG131" i="3" s="1"/>
  <c r="BH131" i="3" s="1"/>
  <c r="BI131" i="3" s="1"/>
  <c r="BF131" i="3"/>
  <c r="BJ130" i="3" s="1"/>
  <c r="BK130" i="3" s="1"/>
  <c r="BB131" i="3"/>
  <c r="AT133" i="3"/>
  <c r="AN134" i="3"/>
  <c r="Y134" i="3"/>
  <c r="Z134" i="3" s="1"/>
  <c r="AY132" i="3"/>
  <c r="BC132" i="3" s="1"/>
  <c r="AU133" i="3"/>
  <c r="BA132" i="3"/>
  <c r="AQ135" i="3"/>
  <c r="B135" i="3"/>
  <c r="AR135" i="3"/>
  <c r="A136" i="3"/>
  <c r="C135" i="3"/>
  <c r="D135" i="3"/>
  <c r="G135" i="3"/>
  <c r="H135" i="3" s="1"/>
  <c r="F135" i="3"/>
  <c r="Q135" i="3"/>
  <c r="S135" i="3"/>
  <c r="O135" i="3"/>
  <c r="U135" i="3"/>
  <c r="AF135" i="3"/>
  <c r="AD135" i="3"/>
  <c r="M135" i="3"/>
  <c r="AM135" i="3"/>
  <c r="AE135" i="3"/>
  <c r="AK135" i="3"/>
  <c r="P135" i="3"/>
  <c r="R135" i="3"/>
  <c r="T135" i="3"/>
  <c r="V135" i="3"/>
  <c r="BM134" i="3"/>
  <c r="AX133" i="3"/>
  <c r="X134" i="3"/>
  <c r="AO134" i="3"/>
  <c r="AW133" i="3"/>
  <c r="AH134" i="3"/>
  <c r="AG134" i="3"/>
  <c r="BD131" i="3" l="1"/>
  <c r="AO135" i="3"/>
  <c r="AH135" i="3"/>
  <c r="BA133" i="3"/>
  <c r="BQ133" i="3" s="1"/>
  <c r="AW134" i="3"/>
  <c r="AY133" i="3"/>
  <c r="BD132" i="3"/>
  <c r="BG132" i="3"/>
  <c r="BH132" i="3" s="1"/>
  <c r="BI132" i="3" s="1"/>
  <c r="BQ132" i="3"/>
  <c r="BF132" i="3"/>
  <c r="BJ131" i="3" s="1"/>
  <c r="BK131" i="3" s="1"/>
  <c r="BB132" i="3"/>
  <c r="X135" i="3"/>
  <c r="A137" i="3"/>
  <c r="B136" i="3"/>
  <c r="AR136" i="3"/>
  <c r="AQ136" i="3"/>
  <c r="C136" i="3"/>
  <c r="D136" i="3"/>
  <c r="G136" i="3"/>
  <c r="H136" i="3" s="1"/>
  <c r="BN136" i="3" s="1"/>
  <c r="F136" i="3"/>
  <c r="Q136" i="3"/>
  <c r="S136" i="3"/>
  <c r="O136" i="3"/>
  <c r="U136" i="3"/>
  <c r="AE136" i="3"/>
  <c r="AD136" i="3"/>
  <c r="AF136" i="3"/>
  <c r="M136" i="3"/>
  <c r="AK136" i="3"/>
  <c r="AM136" i="3"/>
  <c r="AN136" i="3" s="1"/>
  <c r="T136" i="3"/>
  <c r="P136" i="3"/>
  <c r="V136" i="3"/>
  <c r="R136" i="3"/>
  <c r="Y135" i="3"/>
  <c r="Z135" i="3" s="1"/>
  <c r="AX134" i="3"/>
  <c r="AG135" i="3"/>
  <c r="AU134" i="3"/>
  <c r="AN135" i="3"/>
  <c r="BM135" i="3"/>
  <c r="AV133" i="3"/>
  <c r="BN135" i="3"/>
  <c r="AT134" i="3"/>
  <c r="BB133" i="3" l="1"/>
  <c r="AW135" i="3"/>
  <c r="BF133" i="3"/>
  <c r="BJ132" i="3" s="1"/>
  <c r="BK132" i="3" s="1"/>
  <c r="AY134" i="3"/>
  <c r="AU135" i="3"/>
  <c r="BC133" i="3"/>
  <c r="BG133" i="3" s="1"/>
  <c r="BH133" i="3" s="1"/>
  <c r="BI133" i="3" s="1"/>
  <c r="X136" i="3"/>
  <c r="AG136" i="3"/>
  <c r="AH136" i="3"/>
  <c r="AV134" i="3"/>
  <c r="BA134" i="3"/>
  <c r="Y136" i="3"/>
  <c r="Z136" i="3" s="1"/>
  <c r="AT135" i="3"/>
  <c r="AO136" i="3"/>
  <c r="AR137" i="3"/>
  <c r="B137" i="3"/>
  <c r="A138" i="3"/>
  <c r="AQ137" i="3"/>
  <c r="C137" i="3"/>
  <c r="D137" i="3"/>
  <c r="G137" i="3"/>
  <c r="H137" i="3" s="1"/>
  <c r="BN137" i="3" s="1"/>
  <c r="F137" i="3"/>
  <c r="BM137" i="3" s="1"/>
  <c r="S137" i="3"/>
  <c r="Q137" i="3"/>
  <c r="O137" i="3"/>
  <c r="U137" i="3"/>
  <c r="AF137" i="3"/>
  <c r="AE137" i="3"/>
  <c r="M137" i="3"/>
  <c r="AD137" i="3"/>
  <c r="AK137" i="3"/>
  <c r="AM137" i="3"/>
  <c r="AN137" i="3" s="1"/>
  <c r="P137" i="3"/>
  <c r="R137" i="3"/>
  <c r="V137" i="3"/>
  <c r="T137" i="3"/>
  <c r="AX135" i="3"/>
  <c r="BM136" i="3"/>
  <c r="BC134" i="3" l="1"/>
  <c r="AY135" i="3"/>
  <c r="AU136" i="3"/>
  <c r="BD133" i="3"/>
  <c r="AH137" i="3"/>
  <c r="AT136" i="3"/>
  <c r="AV136" i="3" s="1"/>
  <c r="X137" i="3"/>
  <c r="D138" i="3"/>
  <c r="AR138" i="3"/>
  <c r="B138" i="3"/>
  <c r="AQ138" i="3"/>
  <c r="A139" i="3"/>
  <c r="C138" i="3"/>
  <c r="F138" i="3"/>
  <c r="BM138" i="3" s="1"/>
  <c r="G138" i="3"/>
  <c r="H138" i="3" s="1"/>
  <c r="Q138" i="3"/>
  <c r="S138" i="3"/>
  <c r="O138" i="3"/>
  <c r="U138" i="3"/>
  <c r="AF138" i="3"/>
  <c r="AD138" i="3"/>
  <c r="AE138" i="3"/>
  <c r="AM138" i="3"/>
  <c r="AK138" i="3"/>
  <c r="M138" i="3"/>
  <c r="V138" i="3"/>
  <c r="P138" i="3"/>
  <c r="R138" i="3"/>
  <c r="T138" i="3"/>
  <c r="BB134" i="3"/>
  <c r="BQ134" i="3"/>
  <c r="BF134" i="3"/>
  <c r="BJ133" i="3" s="1"/>
  <c r="BK133" i="3" s="1"/>
  <c r="AO137" i="3"/>
  <c r="BA135" i="3"/>
  <c r="AV135" i="3"/>
  <c r="BG134" i="3"/>
  <c r="BH134" i="3" s="1"/>
  <c r="BI134" i="3" s="1"/>
  <c r="BD134" i="3"/>
  <c r="AG137" i="3"/>
  <c r="AX136" i="3"/>
  <c r="Y137" i="3"/>
  <c r="Z137" i="3" s="1"/>
  <c r="AW136" i="3"/>
  <c r="AY136" i="3" l="1"/>
  <c r="BC136" i="3" s="1"/>
  <c r="BC135" i="3"/>
  <c r="AT137" i="3"/>
  <c r="AG138" i="3"/>
  <c r="AO138" i="3"/>
  <c r="AH138" i="3"/>
  <c r="AQ139" i="3"/>
  <c r="A140" i="3"/>
  <c r="AR139" i="3"/>
  <c r="B139" i="3"/>
  <c r="C139" i="3"/>
  <c r="D139" i="3"/>
  <c r="G139" i="3"/>
  <c r="H139" i="3" s="1"/>
  <c r="F139" i="3"/>
  <c r="Q139" i="3"/>
  <c r="S139" i="3"/>
  <c r="O139" i="3"/>
  <c r="U139" i="3"/>
  <c r="AF139" i="3"/>
  <c r="M139" i="3"/>
  <c r="AE139" i="3"/>
  <c r="AD139" i="3"/>
  <c r="AK139" i="3"/>
  <c r="AM139" i="3"/>
  <c r="P139" i="3"/>
  <c r="R139" i="3"/>
  <c r="T139" i="3"/>
  <c r="V139" i="3"/>
  <c r="X138" i="3"/>
  <c r="BB135" i="3"/>
  <c r="BF135" i="3"/>
  <c r="BJ134" i="3" s="1"/>
  <c r="BK134" i="3" s="1"/>
  <c r="BQ135" i="3"/>
  <c r="Y138" i="3"/>
  <c r="Z138" i="3" s="1"/>
  <c r="BD135" i="3"/>
  <c r="BG135" i="3"/>
  <c r="BH135" i="3" s="1"/>
  <c r="BI135" i="3" s="1"/>
  <c r="AW137" i="3"/>
  <c r="AX137" i="3"/>
  <c r="BA136" i="3"/>
  <c r="AN138" i="3"/>
  <c r="BN138" i="3"/>
  <c r="AU137" i="3"/>
  <c r="AT138" i="3" l="1"/>
  <c r="AV137" i="3"/>
  <c r="AU138" i="3"/>
  <c r="AV138" i="3" s="1"/>
  <c r="BN139" i="3"/>
  <c r="AO139" i="3"/>
  <c r="AN139" i="3"/>
  <c r="AQ140" i="3"/>
  <c r="A141" i="3"/>
  <c r="B140" i="3"/>
  <c r="AR140" i="3"/>
  <c r="D140" i="3"/>
  <c r="C140" i="3"/>
  <c r="G140" i="3"/>
  <c r="H140" i="3" s="1"/>
  <c r="F140" i="3"/>
  <c r="BM140" i="3" s="1"/>
  <c r="Q140" i="3"/>
  <c r="S140" i="3"/>
  <c r="O140" i="3"/>
  <c r="U140" i="3"/>
  <c r="AE140" i="3"/>
  <c r="AD140" i="3"/>
  <c r="AF140" i="3"/>
  <c r="AM140" i="3"/>
  <c r="M140" i="3"/>
  <c r="AK140" i="3"/>
  <c r="AO140" i="3" s="1"/>
  <c r="T140" i="3"/>
  <c r="P140" i="3"/>
  <c r="V140" i="3"/>
  <c r="R140" i="3"/>
  <c r="BD136" i="3"/>
  <c r="BG136" i="3"/>
  <c r="BH136" i="3" s="1"/>
  <c r="BI136" i="3" s="1"/>
  <c r="X139" i="3"/>
  <c r="BM139" i="3"/>
  <c r="AW138" i="3"/>
  <c r="AX138" i="3"/>
  <c r="BB136" i="3"/>
  <c r="BF136" i="3"/>
  <c r="BJ135" i="3" s="1"/>
  <c r="BK135" i="3" s="1"/>
  <c r="BQ136" i="3"/>
  <c r="AG139" i="3"/>
  <c r="BA137" i="3"/>
  <c r="AY137" i="3"/>
  <c r="AH139" i="3"/>
  <c r="Y139" i="3"/>
  <c r="Z139" i="3" s="1"/>
  <c r="AX139" i="3" l="1"/>
  <c r="BC137" i="3"/>
  <c r="BD137" i="3" s="1"/>
  <c r="AY138" i="3"/>
  <c r="BC138" i="3" s="1"/>
  <c r="X140" i="3"/>
  <c r="BA138" i="3"/>
  <c r="BQ138" i="3" s="1"/>
  <c r="AG140" i="3"/>
  <c r="Y140" i="3"/>
  <c r="Z140" i="3" s="1"/>
  <c r="BF138" i="3"/>
  <c r="AR141" i="3"/>
  <c r="AQ141" i="3"/>
  <c r="A142" i="3"/>
  <c r="D141" i="3"/>
  <c r="B141" i="3"/>
  <c r="C141" i="3"/>
  <c r="G141" i="3"/>
  <c r="H141" i="3" s="1"/>
  <c r="F141" i="3"/>
  <c r="Q141" i="3"/>
  <c r="S141" i="3"/>
  <c r="O141" i="3"/>
  <c r="U141" i="3"/>
  <c r="AK141" i="3"/>
  <c r="AO141" i="3" s="1"/>
  <c r="AD141" i="3"/>
  <c r="AE141" i="3"/>
  <c r="M141" i="3"/>
  <c r="AF141" i="3"/>
  <c r="AM141" i="3"/>
  <c r="P141" i="3"/>
  <c r="R141" i="3"/>
  <c r="V141" i="3"/>
  <c r="T141" i="3"/>
  <c r="BN140" i="3"/>
  <c r="AT139" i="3"/>
  <c r="BB137" i="3"/>
  <c r="BF137" i="3"/>
  <c r="BJ136" i="3" s="1"/>
  <c r="BK136" i="3" s="1"/>
  <c r="BQ137" i="3"/>
  <c r="AW139" i="3"/>
  <c r="AY139" i="3" s="1"/>
  <c r="AN140" i="3"/>
  <c r="AU139" i="3"/>
  <c r="AH140" i="3"/>
  <c r="BB138" i="3" l="1"/>
  <c r="BG137" i="3"/>
  <c r="BH137" i="3" s="1"/>
  <c r="BI137" i="3" s="1"/>
  <c r="AU140" i="3"/>
  <c r="BM141" i="3"/>
  <c r="BN141" i="3"/>
  <c r="AW140" i="3"/>
  <c r="AT140" i="3"/>
  <c r="AH141" i="3"/>
  <c r="Y141" i="3"/>
  <c r="Z141" i="3" s="1"/>
  <c r="X141" i="3"/>
  <c r="AG141" i="3"/>
  <c r="AQ142" i="3"/>
  <c r="A143" i="3"/>
  <c r="AR142" i="3"/>
  <c r="B142" i="3"/>
  <c r="C142" i="3"/>
  <c r="D142" i="3"/>
  <c r="F142" i="3"/>
  <c r="G142" i="3"/>
  <c r="H142" i="3" s="1"/>
  <c r="Q142" i="3"/>
  <c r="S142" i="3"/>
  <c r="O142" i="3"/>
  <c r="U142" i="3"/>
  <c r="AD142" i="3"/>
  <c r="AE142" i="3"/>
  <c r="AM142" i="3"/>
  <c r="M142" i="3"/>
  <c r="AF142" i="3"/>
  <c r="AK142" i="3"/>
  <c r="V142" i="3"/>
  <c r="P142" i="3"/>
  <c r="T142" i="3"/>
  <c r="R142" i="3"/>
  <c r="BD138" i="3"/>
  <c r="BG138" i="3"/>
  <c r="BH138" i="3" s="1"/>
  <c r="BI138" i="3" s="1"/>
  <c r="AX140" i="3"/>
  <c r="BA139" i="3"/>
  <c r="AV139" i="3"/>
  <c r="BC139" i="3" s="1"/>
  <c r="AN141" i="3"/>
  <c r="BJ137" i="3"/>
  <c r="BK137" i="3" s="1"/>
  <c r="BM142" i="3" l="1"/>
  <c r="BN142" i="3"/>
  <c r="AW141" i="3"/>
  <c r="AY140" i="3"/>
  <c r="AG142" i="3"/>
  <c r="AN142" i="3"/>
  <c r="AU141" i="3"/>
  <c r="AX141" i="3"/>
  <c r="BD139" i="3"/>
  <c r="BG139" i="3"/>
  <c r="BH139" i="3" s="1"/>
  <c r="BI139" i="3" s="1"/>
  <c r="AT141" i="3"/>
  <c r="AH142" i="3"/>
  <c r="Y142" i="3"/>
  <c r="Z142" i="3" s="1"/>
  <c r="BB139" i="3"/>
  <c r="BF139" i="3"/>
  <c r="BJ138" i="3" s="1"/>
  <c r="BK138" i="3" s="1"/>
  <c r="BQ139" i="3"/>
  <c r="B143" i="3"/>
  <c r="A144" i="3"/>
  <c r="AR143" i="3"/>
  <c r="AQ143" i="3"/>
  <c r="D143" i="3"/>
  <c r="C143" i="3"/>
  <c r="G143" i="3"/>
  <c r="H143" i="3" s="1"/>
  <c r="BN143" i="3" s="1"/>
  <c r="F143" i="3"/>
  <c r="BM143" i="3" s="1"/>
  <c r="Q143" i="3"/>
  <c r="S143" i="3"/>
  <c r="O143" i="3"/>
  <c r="U143" i="3"/>
  <c r="AD143" i="3"/>
  <c r="AF143" i="3"/>
  <c r="AE143" i="3"/>
  <c r="M143" i="3"/>
  <c r="AK143" i="3"/>
  <c r="AM143" i="3"/>
  <c r="AN143" i="3" s="1"/>
  <c r="R143" i="3"/>
  <c r="T143" i="3"/>
  <c r="V143" i="3"/>
  <c r="P143" i="3"/>
  <c r="AV140" i="3"/>
  <c r="BA140" i="3"/>
  <c r="X142" i="3"/>
  <c r="AO142" i="3"/>
  <c r="BC140" i="3" l="1"/>
  <c r="BD140" i="3" s="1"/>
  <c r="AY141" i="3"/>
  <c r="AG143" i="3"/>
  <c r="AT142" i="3"/>
  <c r="AU142" i="3"/>
  <c r="BG140" i="3"/>
  <c r="BH140" i="3" s="1"/>
  <c r="BI140" i="3" s="1"/>
  <c r="BA141" i="3"/>
  <c r="AV141" i="3"/>
  <c r="BQ140" i="3"/>
  <c r="BB140" i="3"/>
  <c r="BF140" i="3"/>
  <c r="BJ139" i="3" s="1"/>
  <c r="BK139" i="3" s="1"/>
  <c r="AR144" i="3"/>
  <c r="AQ144" i="3"/>
  <c r="A145" i="3"/>
  <c r="B144" i="3"/>
  <c r="D144" i="3"/>
  <c r="C144" i="3"/>
  <c r="G144" i="3"/>
  <c r="H144" i="3" s="1"/>
  <c r="F144" i="3"/>
  <c r="BM144" i="3" s="1"/>
  <c r="Q144" i="3"/>
  <c r="S144" i="3"/>
  <c r="O144" i="3"/>
  <c r="U144" i="3"/>
  <c r="AE144" i="3"/>
  <c r="AD144" i="3"/>
  <c r="AM144" i="3"/>
  <c r="AF144" i="3"/>
  <c r="M144" i="3"/>
  <c r="AK144" i="3"/>
  <c r="T144" i="3"/>
  <c r="R144" i="3"/>
  <c r="P144" i="3"/>
  <c r="V144" i="3"/>
  <c r="Y143" i="3"/>
  <c r="Z143" i="3" s="1"/>
  <c r="AX142" i="3"/>
  <c r="AW142" i="3"/>
  <c r="AO143" i="3"/>
  <c r="AH143" i="3"/>
  <c r="X143" i="3"/>
  <c r="BC141" i="3" l="1"/>
  <c r="AV142" i="3"/>
  <c r="AG144" i="3"/>
  <c r="AO144" i="3"/>
  <c r="AY142" i="3"/>
  <c r="Y144" i="3"/>
  <c r="Z144" i="3" s="1"/>
  <c r="AX143" i="3"/>
  <c r="X144" i="3"/>
  <c r="BF141" i="3"/>
  <c r="BJ140" i="3" s="1"/>
  <c r="BK140" i="3" s="1"/>
  <c r="BQ141" i="3"/>
  <c r="BB141" i="3"/>
  <c r="AU143" i="3"/>
  <c r="AN144" i="3"/>
  <c r="BN144" i="3"/>
  <c r="AW143" i="3"/>
  <c r="BA142" i="3"/>
  <c r="B145" i="3"/>
  <c r="AQ145" i="3"/>
  <c r="A146" i="3"/>
  <c r="AR145" i="3"/>
  <c r="D145" i="3"/>
  <c r="C145" i="3"/>
  <c r="G145" i="3"/>
  <c r="H145" i="3" s="1"/>
  <c r="BN145" i="3" s="1"/>
  <c r="F145" i="3"/>
  <c r="BM145" i="3" s="1"/>
  <c r="Q145" i="3"/>
  <c r="S145" i="3"/>
  <c r="O145" i="3"/>
  <c r="U145" i="3"/>
  <c r="AD145" i="3"/>
  <c r="AE145" i="3"/>
  <c r="AK145" i="3"/>
  <c r="M145" i="3"/>
  <c r="AM145" i="3"/>
  <c r="AF145" i="3"/>
  <c r="P145" i="3"/>
  <c r="T145" i="3"/>
  <c r="R145" i="3"/>
  <c r="V145" i="3"/>
  <c r="BD141" i="3"/>
  <c r="BG141" i="3"/>
  <c r="BH141" i="3" s="1"/>
  <c r="BI141" i="3" s="1"/>
  <c r="AT143" i="3"/>
  <c r="AH144" i="3"/>
  <c r="AN145" i="3" l="1"/>
  <c r="AT144" i="3"/>
  <c r="AU144" i="3"/>
  <c r="AV144" i="3" s="1"/>
  <c r="AG145" i="3"/>
  <c r="BC142" i="3"/>
  <c r="BD142" i="3" s="1"/>
  <c r="BB142" i="3"/>
  <c r="BF142" i="3"/>
  <c r="BJ141" i="3" s="1"/>
  <c r="BK141" i="3" s="1"/>
  <c r="BQ142" i="3"/>
  <c r="AY143" i="3"/>
  <c r="X145" i="3"/>
  <c r="AO145" i="3"/>
  <c r="Y145" i="3"/>
  <c r="Z145" i="3" s="1"/>
  <c r="BG142" i="3"/>
  <c r="BH142" i="3" s="1"/>
  <c r="BI142" i="3" s="1"/>
  <c r="AQ146" i="3"/>
  <c r="A147" i="3"/>
  <c r="AR146" i="3"/>
  <c r="B146" i="3"/>
  <c r="D146" i="3"/>
  <c r="C146" i="3"/>
  <c r="F146" i="3"/>
  <c r="G146" i="3"/>
  <c r="H146" i="3" s="1"/>
  <c r="Q146" i="3"/>
  <c r="S146" i="3"/>
  <c r="O146" i="3"/>
  <c r="U146" i="3"/>
  <c r="AE146" i="3"/>
  <c r="M146" i="3"/>
  <c r="AK146" i="3"/>
  <c r="AM146" i="3"/>
  <c r="AN146" i="3" s="1"/>
  <c r="AD146" i="3"/>
  <c r="AF146" i="3"/>
  <c r="P146" i="3"/>
  <c r="R146" i="3"/>
  <c r="V146" i="3"/>
  <c r="T146" i="3"/>
  <c r="BA143" i="3"/>
  <c r="AV143" i="3"/>
  <c r="AX144" i="3"/>
  <c r="AH145" i="3"/>
  <c r="AW144" i="3"/>
  <c r="BA144" i="3" s="1"/>
  <c r="BN146" i="3" l="1"/>
  <c r="BM146" i="3"/>
  <c r="AX145" i="3"/>
  <c r="AH146" i="3"/>
  <c r="AY144" i="3"/>
  <c r="BC143" i="3"/>
  <c r="BD143" i="3" s="1"/>
  <c r="BQ144" i="3"/>
  <c r="BB144" i="3"/>
  <c r="BF144" i="3"/>
  <c r="AQ147" i="3"/>
  <c r="B147" i="3"/>
  <c r="A148" i="3"/>
  <c r="AR147" i="3"/>
  <c r="D147" i="3"/>
  <c r="C147" i="3"/>
  <c r="F147" i="3"/>
  <c r="BM147" i="3" s="1"/>
  <c r="G147" i="3"/>
  <c r="H147" i="3" s="1"/>
  <c r="Q147" i="3"/>
  <c r="S147" i="3"/>
  <c r="O147" i="3"/>
  <c r="U147" i="3"/>
  <c r="AD147" i="3"/>
  <c r="M147" i="3"/>
  <c r="AF147" i="3"/>
  <c r="AK147" i="3"/>
  <c r="AE147" i="3"/>
  <c r="AM147" i="3"/>
  <c r="V147" i="3"/>
  <c r="P147" i="3"/>
  <c r="T147" i="3"/>
  <c r="R147" i="3"/>
  <c r="AW145" i="3"/>
  <c r="AY145" i="3" s="1"/>
  <c r="AO146" i="3"/>
  <c r="X146" i="3"/>
  <c r="BQ143" i="3"/>
  <c r="BF143" i="3"/>
  <c r="BJ142" i="3" s="1"/>
  <c r="BK142" i="3" s="1"/>
  <c r="BB143" i="3"/>
  <c r="AG146" i="3"/>
  <c r="BC144" i="3"/>
  <c r="AU146" i="3"/>
  <c r="Y146" i="3"/>
  <c r="Z146" i="3" s="1"/>
  <c r="AU145" i="3"/>
  <c r="AT145" i="3"/>
  <c r="BG143" i="3" l="1"/>
  <c r="BH143" i="3" s="1"/>
  <c r="BI143" i="3" s="1"/>
  <c r="AX146" i="3"/>
  <c r="AH147" i="3"/>
  <c r="AT146" i="3"/>
  <c r="AV146" i="3" s="1"/>
  <c r="AN147" i="3"/>
  <c r="X147" i="3"/>
  <c r="BD144" i="3"/>
  <c r="BG144" i="3"/>
  <c r="BH144" i="3" s="1"/>
  <c r="BI144" i="3" s="1"/>
  <c r="AO147" i="3"/>
  <c r="BN147" i="3"/>
  <c r="BJ143" i="3"/>
  <c r="BK143" i="3" s="1"/>
  <c r="Y147" i="3"/>
  <c r="Z147" i="3" s="1"/>
  <c r="BA145" i="3"/>
  <c r="AV145" i="3"/>
  <c r="BC145" i="3" s="1"/>
  <c r="B148" i="3"/>
  <c r="AR148" i="3"/>
  <c r="A149" i="3"/>
  <c r="AQ148" i="3"/>
  <c r="C148" i="3"/>
  <c r="D148" i="3"/>
  <c r="G148" i="3"/>
  <c r="H148" i="3" s="1"/>
  <c r="BN148" i="3" s="1"/>
  <c r="F148" i="3"/>
  <c r="BM148" i="3" s="1"/>
  <c r="Q148" i="3"/>
  <c r="S148" i="3"/>
  <c r="O148" i="3"/>
  <c r="U148" i="3"/>
  <c r="AD148" i="3"/>
  <c r="AK148" i="3"/>
  <c r="AE148" i="3"/>
  <c r="AF148" i="3"/>
  <c r="AM148" i="3"/>
  <c r="AN148" i="3" s="1"/>
  <c r="M148" i="3"/>
  <c r="P148" i="3"/>
  <c r="T148" i="3"/>
  <c r="V148" i="3"/>
  <c r="R148" i="3"/>
  <c r="AG147" i="3"/>
  <c r="AW146" i="3"/>
  <c r="AY146" i="3" l="1"/>
  <c r="BC146" i="3" s="1"/>
  <c r="AW147" i="3"/>
  <c r="BA146" i="3"/>
  <c r="AH148" i="3"/>
  <c r="AU147" i="3"/>
  <c r="Y148" i="3"/>
  <c r="Z148" i="3" s="1"/>
  <c r="BB145" i="3"/>
  <c r="BF145" i="3"/>
  <c r="BJ144" i="3" s="1"/>
  <c r="BK144" i="3" s="1"/>
  <c r="BQ145" i="3"/>
  <c r="AT147" i="3"/>
  <c r="AX147" i="3"/>
  <c r="BD145" i="3"/>
  <c r="BG145" i="3"/>
  <c r="BH145" i="3" s="1"/>
  <c r="BI145" i="3" s="1"/>
  <c r="AR149" i="3"/>
  <c r="B149" i="3"/>
  <c r="AQ149" i="3"/>
  <c r="A150" i="3"/>
  <c r="D149" i="3"/>
  <c r="C149" i="3"/>
  <c r="F149" i="3"/>
  <c r="BM149" i="3" s="1"/>
  <c r="G149" i="3"/>
  <c r="H149" i="3" s="1"/>
  <c r="BN149" i="3" s="1"/>
  <c r="Q149" i="3"/>
  <c r="S149" i="3"/>
  <c r="O149" i="3"/>
  <c r="U149" i="3"/>
  <c r="AD149" i="3"/>
  <c r="AF149" i="3"/>
  <c r="AE149" i="3"/>
  <c r="AK149" i="3"/>
  <c r="M149" i="3"/>
  <c r="AM149" i="3"/>
  <c r="T149" i="3"/>
  <c r="P149" i="3"/>
  <c r="R149" i="3"/>
  <c r="V149" i="3"/>
  <c r="AG148" i="3"/>
  <c r="AU148" i="3" s="1"/>
  <c r="AO148" i="3"/>
  <c r="X148" i="3"/>
  <c r="AG149" i="3" l="1"/>
  <c r="AY147" i="3"/>
  <c r="AO149" i="3"/>
  <c r="Y149" i="3"/>
  <c r="Z149" i="3" s="1"/>
  <c r="AW148" i="3"/>
  <c r="AH149" i="3"/>
  <c r="AU149" i="3" s="1"/>
  <c r="AX148" i="3"/>
  <c r="X149" i="3"/>
  <c r="AR150" i="3"/>
  <c r="B150" i="3"/>
  <c r="A151" i="3"/>
  <c r="AQ150" i="3"/>
  <c r="D150" i="3"/>
  <c r="C150" i="3"/>
  <c r="G150" i="3"/>
  <c r="H150" i="3" s="1"/>
  <c r="BN150" i="3" s="1"/>
  <c r="F150" i="3"/>
  <c r="BM150" i="3" s="1"/>
  <c r="Q150" i="3"/>
  <c r="S150" i="3"/>
  <c r="O150" i="3"/>
  <c r="U150" i="3"/>
  <c r="AF150" i="3"/>
  <c r="AE150" i="3"/>
  <c r="AD150" i="3"/>
  <c r="M150" i="3"/>
  <c r="AM150" i="3"/>
  <c r="AK150" i="3"/>
  <c r="P150" i="3"/>
  <c r="V150" i="3"/>
  <c r="T150" i="3"/>
  <c r="R150" i="3"/>
  <c r="BF146" i="3"/>
  <c r="BJ145" i="3" s="1"/>
  <c r="BK145" i="3" s="1"/>
  <c r="BB146" i="3"/>
  <c r="BQ146" i="3"/>
  <c r="AV147" i="3"/>
  <c r="BA147" i="3"/>
  <c r="AT148" i="3"/>
  <c r="AN149" i="3"/>
  <c r="BD146" i="3"/>
  <c r="BG146" i="3"/>
  <c r="BH146" i="3" s="1"/>
  <c r="BI146" i="3" s="1"/>
  <c r="BC147" i="3" l="1"/>
  <c r="AW149" i="3"/>
  <c r="AN150" i="3"/>
  <c r="AO150" i="3"/>
  <c r="AQ151" i="3"/>
  <c r="B151" i="3"/>
  <c r="A152" i="3"/>
  <c r="AR151" i="3"/>
  <c r="D151" i="3"/>
  <c r="C151" i="3"/>
  <c r="F151" i="3"/>
  <c r="G151" i="3"/>
  <c r="H151" i="3" s="1"/>
  <c r="Q151" i="3"/>
  <c r="S151" i="3"/>
  <c r="O151" i="3"/>
  <c r="U151" i="3"/>
  <c r="AE151" i="3"/>
  <c r="AF151" i="3"/>
  <c r="AM151" i="3"/>
  <c r="AD151" i="3"/>
  <c r="M151" i="3"/>
  <c r="AK151" i="3"/>
  <c r="R151" i="3"/>
  <c r="V151" i="3"/>
  <c r="P151" i="3"/>
  <c r="T151" i="3"/>
  <c r="X150" i="3"/>
  <c r="AX149" i="3"/>
  <c r="BD147" i="3"/>
  <c r="BG147" i="3"/>
  <c r="BH147" i="3" s="1"/>
  <c r="BI147" i="3" s="1"/>
  <c r="BA148" i="3"/>
  <c r="AV148" i="3"/>
  <c r="AG150" i="3"/>
  <c r="AY148" i="3"/>
  <c r="AH150" i="3"/>
  <c r="BF147" i="3"/>
  <c r="BJ146" i="3" s="1"/>
  <c r="BK146" i="3" s="1"/>
  <c r="BB147" i="3"/>
  <c r="BQ147" i="3"/>
  <c r="Y150" i="3"/>
  <c r="Z150" i="3" s="1"/>
  <c r="AT149" i="3"/>
  <c r="AU150" i="3" l="1"/>
  <c r="AY149" i="3"/>
  <c r="BM151" i="3"/>
  <c r="AG151" i="3"/>
  <c r="BC148" i="3"/>
  <c r="BG148" i="3" s="1"/>
  <c r="BH148" i="3" s="1"/>
  <c r="BI148" i="3" s="1"/>
  <c r="AN151" i="3"/>
  <c r="AX150" i="3"/>
  <c r="AW150" i="3"/>
  <c r="BQ148" i="3"/>
  <c r="BF148" i="3"/>
  <c r="BJ147" i="3" s="1"/>
  <c r="BK147" i="3" s="1"/>
  <c r="BB148" i="3"/>
  <c r="A153" i="3"/>
  <c r="B152" i="3"/>
  <c r="AQ152" i="3"/>
  <c r="AR152" i="3"/>
  <c r="D152" i="3"/>
  <c r="C152" i="3"/>
  <c r="F152" i="3"/>
  <c r="BM152" i="3" s="1"/>
  <c r="G152" i="3"/>
  <c r="H152" i="3" s="1"/>
  <c r="Q152" i="3"/>
  <c r="S152" i="3"/>
  <c r="O152" i="3"/>
  <c r="U152" i="3"/>
  <c r="AE152" i="3"/>
  <c r="M152" i="3"/>
  <c r="AD152" i="3"/>
  <c r="AF152" i="3"/>
  <c r="AM152" i="3"/>
  <c r="AK152" i="3"/>
  <c r="P152" i="3"/>
  <c r="V152" i="3"/>
  <c r="R152" i="3"/>
  <c r="T152" i="3"/>
  <c r="Y151" i="3"/>
  <c r="Z151" i="3" s="1"/>
  <c r="AT150" i="3"/>
  <c r="AO151" i="3"/>
  <c r="BA149" i="3"/>
  <c r="AV149" i="3"/>
  <c r="X151" i="3"/>
  <c r="AH151" i="3"/>
  <c r="BN151" i="3"/>
  <c r="AO152" i="3" l="1"/>
  <c r="BD148" i="3"/>
  <c r="AX151" i="3"/>
  <c r="BC149" i="3"/>
  <c r="BG149" i="3" s="1"/>
  <c r="BH149" i="3" s="1"/>
  <c r="BI149" i="3" s="1"/>
  <c r="AY150" i="3"/>
  <c r="AH152" i="3"/>
  <c r="BN152" i="3"/>
  <c r="AN152" i="3"/>
  <c r="AR153" i="3"/>
  <c r="B153" i="3"/>
  <c r="AQ153" i="3"/>
  <c r="A154" i="3"/>
  <c r="D153" i="3"/>
  <c r="C153" i="3"/>
  <c r="G153" i="3"/>
  <c r="H153" i="3" s="1"/>
  <c r="F153" i="3"/>
  <c r="Q153" i="3"/>
  <c r="S153" i="3"/>
  <c r="O153" i="3"/>
  <c r="U153" i="3"/>
  <c r="M153" i="3"/>
  <c r="AD153" i="3"/>
  <c r="AF153" i="3"/>
  <c r="AE153" i="3"/>
  <c r="AM153" i="3"/>
  <c r="AK153" i="3"/>
  <c r="V153" i="3"/>
  <c r="P153" i="3"/>
  <c r="T153" i="3"/>
  <c r="R153" i="3"/>
  <c r="X152" i="3"/>
  <c r="AV150" i="3"/>
  <c r="BA150" i="3"/>
  <c r="AU151" i="3"/>
  <c r="AG152" i="3"/>
  <c r="AW151" i="3"/>
  <c r="BD149" i="3"/>
  <c r="BB149" i="3"/>
  <c r="BF149" i="3"/>
  <c r="BJ148" i="3" s="1"/>
  <c r="BK148" i="3" s="1"/>
  <c r="BQ149" i="3"/>
  <c r="Y152" i="3"/>
  <c r="Z152" i="3" s="1"/>
  <c r="AT151" i="3"/>
  <c r="AY151" i="3" l="1"/>
  <c r="AU152" i="3"/>
  <c r="BC150" i="3"/>
  <c r="BG150" i="3" s="1"/>
  <c r="BH150" i="3" s="1"/>
  <c r="BI150" i="3" s="1"/>
  <c r="BN153" i="3"/>
  <c r="AT152" i="3"/>
  <c r="AN153" i="3"/>
  <c r="AX152" i="3"/>
  <c r="AW152" i="3"/>
  <c r="AO153" i="3"/>
  <c r="AH153" i="3"/>
  <c r="AV151" i="3"/>
  <c r="BC151" i="3" s="1"/>
  <c r="BA151" i="3"/>
  <c r="X153" i="3"/>
  <c r="Y153" i="3"/>
  <c r="Z153" i="3" s="1"/>
  <c r="AR154" i="3"/>
  <c r="B154" i="3"/>
  <c r="A155" i="3"/>
  <c r="C154" i="3"/>
  <c r="AQ154" i="3"/>
  <c r="D154" i="3"/>
  <c r="F154" i="3"/>
  <c r="G154" i="3"/>
  <c r="H154" i="3" s="1"/>
  <c r="BN154" i="3" s="1"/>
  <c r="Q154" i="3"/>
  <c r="S154" i="3"/>
  <c r="O154" i="3"/>
  <c r="U154" i="3"/>
  <c r="AE154" i="3"/>
  <c r="AM154" i="3"/>
  <c r="AF154" i="3"/>
  <c r="AD154" i="3"/>
  <c r="M154" i="3"/>
  <c r="AK154" i="3"/>
  <c r="T154" i="3"/>
  <c r="P154" i="3"/>
  <c r="R154" i="3"/>
  <c r="V154" i="3"/>
  <c r="BQ150" i="3"/>
  <c r="BF150" i="3"/>
  <c r="BJ149" i="3" s="1"/>
  <c r="BK149" i="3" s="1"/>
  <c r="BB150" i="3"/>
  <c r="AG153" i="3"/>
  <c r="BM153" i="3"/>
  <c r="AY152" i="3" l="1"/>
  <c r="AW153" i="3"/>
  <c r="AV152" i="3"/>
  <c r="BD150" i="3"/>
  <c r="BA152" i="3"/>
  <c r="BB152" i="3" s="1"/>
  <c r="AG154" i="3"/>
  <c r="AO154" i="3"/>
  <c r="X154" i="3"/>
  <c r="AU153" i="3"/>
  <c r="AR155" i="3"/>
  <c r="AQ155" i="3"/>
  <c r="B155" i="3"/>
  <c r="A156" i="3"/>
  <c r="D155" i="3"/>
  <c r="C155" i="3"/>
  <c r="F155" i="3"/>
  <c r="BM155" i="3" s="1"/>
  <c r="G155" i="3"/>
  <c r="H155" i="3" s="1"/>
  <c r="Q155" i="3"/>
  <c r="S155" i="3"/>
  <c r="O155" i="3"/>
  <c r="U155" i="3"/>
  <c r="AF155" i="3"/>
  <c r="AE155" i="3"/>
  <c r="M155" i="3"/>
  <c r="AD155" i="3"/>
  <c r="AM155" i="3"/>
  <c r="AK155" i="3"/>
  <c r="T155" i="3"/>
  <c r="R155" i="3"/>
  <c r="V155" i="3"/>
  <c r="P155" i="3"/>
  <c r="BC152" i="3"/>
  <c r="BQ151" i="3"/>
  <c r="BB151" i="3"/>
  <c r="BF151" i="3"/>
  <c r="BJ150" i="3" s="1"/>
  <c r="BK150" i="3" s="1"/>
  <c r="BM154" i="3"/>
  <c r="BD151" i="3"/>
  <c r="BG151" i="3"/>
  <c r="BH151" i="3" s="1"/>
  <c r="BI151" i="3" s="1"/>
  <c r="AH154" i="3"/>
  <c r="AN154" i="3"/>
  <c r="Y154" i="3"/>
  <c r="Z154" i="3" s="1"/>
  <c r="AT153" i="3"/>
  <c r="AX153" i="3"/>
  <c r="AY153" i="3" s="1"/>
  <c r="BN155" i="3" l="1"/>
  <c r="BF152" i="3"/>
  <c r="BJ151" i="3" s="1"/>
  <c r="BK151" i="3" s="1"/>
  <c r="BQ152" i="3"/>
  <c r="AW154" i="3"/>
  <c r="AN155" i="3"/>
  <c r="AO155" i="3"/>
  <c r="AT154" i="3"/>
  <c r="BD152" i="3"/>
  <c r="BG152" i="3"/>
  <c r="BH152" i="3" s="1"/>
  <c r="BI152" i="3" s="1"/>
  <c r="AG155" i="3"/>
  <c r="AX154" i="3"/>
  <c r="AH155" i="3"/>
  <c r="AU154" i="3"/>
  <c r="BA153" i="3"/>
  <c r="AV153" i="3"/>
  <c r="BC153" i="3" s="1"/>
  <c r="Y155" i="3"/>
  <c r="Z155" i="3" s="1"/>
  <c r="X155" i="3"/>
  <c r="A157" i="3"/>
  <c r="AR156" i="3"/>
  <c r="AQ156" i="3"/>
  <c r="B156" i="3"/>
  <c r="D156" i="3"/>
  <c r="C156" i="3"/>
  <c r="F156" i="3"/>
  <c r="G156" i="3"/>
  <c r="H156" i="3" s="1"/>
  <c r="Q156" i="3"/>
  <c r="S156" i="3"/>
  <c r="O156" i="3"/>
  <c r="U156" i="3"/>
  <c r="AF156" i="3"/>
  <c r="M156" i="3"/>
  <c r="AE156" i="3"/>
  <c r="AM156" i="3"/>
  <c r="AD156" i="3"/>
  <c r="AK156" i="3"/>
  <c r="P156" i="3"/>
  <c r="T156" i="3"/>
  <c r="V156" i="3"/>
  <c r="R156" i="3"/>
  <c r="BM156" i="3" l="1"/>
  <c r="AY154" i="3"/>
  <c r="AW155" i="3"/>
  <c r="AG156" i="3"/>
  <c r="AT155" i="3"/>
  <c r="AO156" i="3"/>
  <c r="BA154" i="3"/>
  <c r="AV154" i="3"/>
  <c r="AU155" i="3"/>
  <c r="AV155" i="3" s="1"/>
  <c r="Y156" i="3"/>
  <c r="Z156" i="3" s="1"/>
  <c r="BD153" i="3"/>
  <c r="BG153" i="3"/>
  <c r="BH153" i="3" s="1"/>
  <c r="BI153" i="3" s="1"/>
  <c r="BB153" i="3"/>
  <c r="BF153" i="3"/>
  <c r="BJ152" i="3" s="1"/>
  <c r="BK152" i="3" s="1"/>
  <c r="BQ153" i="3"/>
  <c r="AH156" i="3"/>
  <c r="AT156" i="3" s="1"/>
  <c r="A158" i="3"/>
  <c r="AR157" i="3"/>
  <c r="B157" i="3"/>
  <c r="AQ157" i="3"/>
  <c r="D157" i="3"/>
  <c r="C157" i="3"/>
  <c r="F157" i="3"/>
  <c r="BM157" i="3" s="1"/>
  <c r="G157" i="3"/>
  <c r="H157" i="3" s="1"/>
  <c r="BN157" i="3" s="1"/>
  <c r="Q157" i="3"/>
  <c r="S157" i="3"/>
  <c r="O157" i="3"/>
  <c r="U157" i="3"/>
  <c r="AE157" i="3"/>
  <c r="AK157" i="3"/>
  <c r="AD157" i="3"/>
  <c r="M157" i="3"/>
  <c r="AF157" i="3"/>
  <c r="AM157" i="3"/>
  <c r="T157" i="3"/>
  <c r="P157" i="3"/>
  <c r="R157" i="3"/>
  <c r="V157" i="3"/>
  <c r="X156" i="3"/>
  <c r="AN156" i="3"/>
  <c r="BN156" i="3"/>
  <c r="AX155" i="3"/>
  <c r="AY155" i="3" l="1"/>
  <c r="BC155" i="3" s="1"/>
  <c r="BC154" i="3"/>
  <c r="BD154" i="3" s="1"/>
  <c r="AH157" i="3"/>
  <c r="AN157" i="3"/>
  <c r="AR158" i="3"/>
  <c r="AQ158" i="3"/>
  <c r="A159" i="3"/>
  <c r="B158" i="3"/>
  <c r="C158" i="3"/>
  <c r="D158" i="3"/>
  <c r="G158" i="3"/>
  <c r="H158" i="3" s="1"/>
  <c r="BN158" i="3" s="1"/>
  <c r="F158" i="3"/>
  <c r="BM158" i="3" s="1"/>
  <c r="Q158" i="3"/>
  <c r="S158" i="3"/>
  <c r="O158" i="3"/>
  <c r="U158" i="3"/>
  <c r="AF158" i="3"/>
  <c r="AD158" i="3"/>
  <c r="M158" i="3"/>
  <c r="AE158" i="3"/>
  <c r="AG158" i="3" s="1"/>
  <c r="AM158" i="3"/>
  <c r="AK158" i="3"/>
  <c r="AO158" i="3" s="1"/>
  <c r="R158" i="3"/>
  <c r="P158" i="3"/>
  <c r="V158" i="3"/>
  <c r="T158" i="3"/>
  <c r="AO157" i="3"/>
  <c r="Y157" i="3"/>
  <c r="Z157" i="3" s="1"/>
  <c r="BQ154" i="3"/>
  <c r="BB154" i="3"/>
  <c r="BF154" i="3"/>
  <c r="BJ153" i="3" s="1"/>
  <c r="BK153" i="3" s="1"/>
  <c r="AG157" i="3"/>
  <c r="AU157" i="3" s="1"/>
  <c r="X157" i="3"/>
  <c r="BA155" i="3"/>
  <c r="AX156" i="3"/>
  <c r="AW156" i="3"/>
  <c r="AU156" i="3"/>
  <c r="AV156" i="3" s="1"/>
  <c r="BD155" i="3" l="1"/>
  <c r="BG155" i="3"/>
  <c r="BH155" i="3" s="1"/>
  <c r="BI155" i="3" s="1"/>
  <c r="BG154" i="3"/>
  <c r="BH154" i="3" s="1"/>
  <c r="BI154" i="3" s="1"/>
  <c r="AW157" i="3"/>
  <c r="X158" i="3"/>
  <c r="BB155" i="3"/>
  <c r="BQ155" i="3"/>
  <c r="BF155" i="3"/>
  <c r="BJ154" i="3" s="1"/>
  <c r="BK154" i="3" s="1"/>
  <c r="AR159" i="3"/>
  <c r="AQ159" i="3"/>
  <c r="B159" i="3"/>
  <c r="A160" i="3"/>
  <c r="D159" i="3"/>
  <c r="C159" i="3"/>
  <c r="F159" i="3"/>
  <c r="BM159" i="3" s="1"/>
  <c r="G159" i="3"/>
  <c r="H159" i="3" s="1"/>
  <c r="BN159" i="3" s="1"/>
  <c r="Q159" i="3"/>
  <c r="S159" i="3"/>
  <c r="O159" i="3"/>
  <c r="U159" i="3"/>
  <c r="AF159" i="3"/>
  <c r="AE159" i="3"/>
  <c r="AD159" i="3"/>
  <c r="M159" i="3"/>
  <c r="AM159" i="3"/>
  <c r="AK159" i="3"/>
  <c r="R159" i="3"/>
  <c r="V159" i="3"/>
  <c r="P159" i="3"/>
  <c r="T159" i="3"/>
  <c r="BA156" i="3"/>
  <c r="AN158" i="3"/>
  <c r="AT157" i="3"/>
  <c r="AH158" i="3"/>
  <c r="AT158" i="3" s="1"/>
  <c r="AX157" i="3"/>
  <c r="AY156" i="3"/>
  <c r="BC156" i="3" s="1"/>
  <c r="Y158" i="3"/>
  <c r="Z158" i="3" s="1"/>
  <c r="AY157" i="3" l="1"/>
  <c r="AU158" i="3"/>
  <c r="AV158" i="3" s="1"/>
  <c r="AN159" i="3"/>
  <c r="AW158" i="3"/>
  <c r="AH159" i="3"/>
  <c r="BD156" i="3"/>
  <c r="BG156" i="3"/>
  <c r="BH156" i="3" s="1"/>
  <c r="BI156" i="3" s="1"/>
  <c r="AO159" i="3"/>
  <c r="AX159" i="3" s="1"/>
  <c r="BA157" i="3"/>
  <c r="AV157" i="3"/>
  <c r="BB156" i="3"/>
  <c r="BQ156" i="3"/>
  <c r="BF156" i="3"/>
  <c r="BJ155" i="3" s="1"/>
  <c r="BK155" i="3" s="1"/>
  <c r="AG159" i="3"/>
  <c r="AX158" i="3"/>
  <c r="Y159" i="3"/>
  <c r="Z159" i="3" s="1"/>
  <c r="X159" i="3"/>
  <c r="A161" i="3"/>
  <c r="AR160" i="3"/>
  <c r="AQ160" i="3"/>
  <c r="B160" i="3"/>
  <c r="C160" i="3"/>
  <c r="D160" i="3"/>
  <c r="F160" i="3"/>
  <c r="G160" i="3"/>
  <c r="H160" i="3" s="1"/>
  <c r="Q160" i="3"/>
  <c r="S160" i="3"/>
  <c r="O160" i="3"/>
  <c r="U160" i="3"/>
  <c r="AF160" i="3"/>
  <c r="AD160" i="3"/>
  <c r="AE160" i="3"/>
  <c r="M160" i="3"/>
  <c r="AK160" i="3"/>
  <c r="AM160" i="3"/>
  <c r="AN160" i="3" s="1"/>
  <c r="T160" i="3"/>
  <c r="V160" i="3"/>
  <c r="P160" i="3"/>
  <c r="R160" i="3"/>
  <c r="BN160" i="3" l="1"/>
  <c r="BC157" i="3"/>
  <c r="BA158" i="3"/>
  <c r="AG160" i="3"/>
  <c r="AW159" i="3"/>
  <c r="AY159" i="3" s="1"/>
  <c r="AT159" i="3"/>
  <c r="AY158" i="3"/>
  <c r="BC158" i="3" s="1"/>
  <c r="Y160" i="3"/>
  <c r="Z160" i="3" s="1"/>
  <c r="X160" i="3"/>
  <c r="BG157" i="3"/>
  <c r="BH157" i="3" s="1"/>
  <c r="BI157" i="3" s="1"/>
  <c r="BD157" i="3"/>
  <c r="BF157" i="3"/>
  <c r="BJ156" i="3" s="1"/>
  <c r="BK156" i="3" s="1"/>
  <c r="BQ157" i="3"/>
  <c r="BB157" i="3"/>
  <c r="A162" i="3"/>
  <c r="AR161" i="3"/>
  <c r="B161" i="3"/>
  <c r="AQ161" i="3"/>
  <c r="D161" i="3"/>
  <c r="C161" i="3"/>
  <c r="F161" i="3"/>
  <c r="BM161" i="3" s="1"/>
  <c r="G161" i="3"/>
  <c r="H161" i="3" s="1"/>
  <c r="Q161" i="3"/>
  <c r="S161" i="3"/>
  <c r="O161" i="3"/>
  <c r="U161" i="3"/>
  <c r="AD161" i="3"/>
  <c r="AF161" i="3"/>
  <c r="AE161" i="3"/>
  <c r="AM161" i="3"/>
  <c r="M161" i="3"/>
  <c r="AK161" i="3"/>
  <c r="T161" i="3"/>
  <c r="V161" i="3"/>
  <c r="P161" i="3"/>
  <c r="R161" i="3"/>
  <c r="AU159" i="3"/>
  <c r="BB158" i="3"/>
  <c r="BF158" i="3"/>
  <c r="BQ158" i="3"/>
  <c r="AO160" i="3"/>
  <c r="BM160" i="3"/>
  <c r="AH160" i="3"/>
  <c r="AU160" i="3" l="1"/>
  <c r="BA159" i="3"/>
  <c r="AG161" i="3"/>
  <c r="AO161" i="3"/>
  <c r="BJ157" i="3"/>
  <c r="BK157" i="3" s="1"/>
  <c r="BF159" i="3"/>
  <c r="BB159" i="3"/>
  <c r="BQ159" i="3"/>
  <c r="AH161" i="3"/>
  <c r="X161" i="3"/>
  <c r="AW160" i="3"/>
  <c r="AX160" i="3"/>
  <c r="BD158" i="3"/>
  <c r="BG158" i="3"/>
  <c r="BH158" i="3" s="1"/>
  <c r="BI158" i="3" s="1"/>
  <c r="AR162" i="3"/>
  <c r="AQ162" i="3"/>
  <c r="A163" i="3"/>
  <c r="D162" i="3"/>
  <c r="B162" i="3"/>
  <c r="C162" i="3"/>
  <c r="F162" i="3"/>
  <c r="BM162" i="3" s="1"/>
  <c r="G162" i="3"/>
  <c r="H162" i="3" s="1"/>
  <c r="Q162" i="3"/>
  <c r="S162" i="3"/>
  <c r="O162" i="3"/>
  <c r="U162" i="3"/>
  <c r="AD162" i="3"/>
  <c r="AF162" i="3"/>
  <c r="M162" i="3"/>
  <c r="AM162" i="3"/>
  <c r="AE162" i="3"/>
  <c r="AK162" i="3"/>
  <c r="AO162" i="3" s="1"/>
  <c r="P162" i="3"/>
  <c r="V162" i="3"/>
  <c r="R162" i="3"/>
  <c r="T162" i="3"/>
  <c r="AV159" i="3"/>
  <c r="BC159" i="3" s="1"/>
  <c r="Y161" i="3"/>
  <c r="Z161" i="3" s="1"/>
  <c r="AT160" i="3"/>
  <c r="AN161" i="3"/>
  <c r="BN161" i="3"/>
  <c r="AU161" i="3" l="1"/>
  <c r="AG162" i="3"/>
  <c r="AW161" i="3"/>
  <c r="AT161" i="3"/>
  <c r="AV161" i="3" s="1"/>
  <c r="Y162" i="3"/>
  <c r="Z162" i="3" s="1"/>
  <c r="A164" i="3"/>
  <c r="AR163" i="3"/>
  <c r="AQ163" i="3"/>
  <c r="B163" i="3"/>
  <c r="D163" i="3"/>
  <c r="C163" i="3"/>
  <c r="G163" i="3"/>
  <c r="H163" i="3" s="1"/>
  <c r="BN163" i="3" s="1"/>
  <c r="F163" i="3"/>
  <c r="Q163" i="3"/>
  <c r="S163" i="3"/>
  <c r="O163" i="3"/>
  <c r="U163" i="3"/>
  <c r="AF163" i="3"/>
  <c r="M163" i="3"/>
  <c r="AE163" i="3"/>
  <c r="AD163" i="3"/>
  <c r="AM163" i="3"/>
  <c r="AK163" i="3"/>
  <c r="R163" i="3"/>
  <c r="V163" i="3"/>
  <c r="P163" i="3"/>
  <c r="T163" i="3"/>
  <c r="AX161" i="3"/>
  <c r="AN162" i="3"/>
  <c r="BD159" i="3"/>
  <c r="BG159" i="3"/>
  <c r="BH159" i="3" s="1"/>
  <c r="BI159" i="3" s="1"/>
  <c r="X162" i="3"/>
  <c r="BA160" i="3"/>
  <c r="AV160" i="3"/>
  <c r="BN162" i="3"/>
  <c r="AH162" i="3"/>
  <c r="AY160" i="3"/>
  <c r="BJ158" i="3"/>
  <c r="BK158" i="3" s="1"/>
  <c r="AY161" i="3" l="1"/>
  <c r="AO163" i="3"/>
  <c r="AX162" i="3"/>
  <c r="BC160" i="3"/>
  <c r="BD160" i="3" s="1"/>
  <c r="BA161" i="3"/>
  <c r="BQ161" i="3" s="1"/>
  <c r="AU162" i="3"/>
  <c r="BC161" i="3"/>
  <c r="BD161" i="3" s="1"/>
  <c r="X163" i="3"/>
  <c r="AG163" i="3"/>
  <c r="BQ160" i="3"/>
  <c r="BB160" i="3"/>
  <c r="BF160" i="3"/>
  <c r="BJ159" i="3" s="1"/>
  <c r="BK159" i="3" s="1"/>
  <c r="BG160" i="3"/>
  <c r="BH160" i="3" s="1"/>
  <c r="BI160" i="3" s="1"/>
  <c r="AT162" i="3"/>
  <c r="AN163" i="3"/>
  <c r="B164" i="3"/>
  <c r="AR164" i="3"/>
  <c r="AQ164" i="3"/>
  <c r="A165" i="3"/>
  <c r="D164" i="3"/>
  <c r="C164" i="3"/>
  <c r="G164" i="3"/>
  <c r="H164" i="3" s="1"/>
  <c r="F164" i="3"/>
  <c r="BM164" i="3" s="1"/>
  <c r="Q164" i="3"/>
  <c r="S164" i="3"/>
  <c r="O164" i="3"/>
  <c r="U164" i="3"/>
  <c r="AF164" i="3"/>
  <c r="M164" i="3"/>
  <c r="AD164" i="3"/>
  <c r="AE164" i="3"/>
  <c r="AM164" i="3"/>
  <c r="AK164" i="3"/>
  <c r="T164" i="3"/>
  <c r="V164" i="3"/>
  <c r="R164" i="3"/>
  <c r="P164" i="3"/>
  <c r="Y163" i="3"/>
  <c r="Z163" i="3" s="1"/>
  <c r="BF161" i="3"/>
  <c r="BB161" i="3"/>
  <c r="AW162" i="3"/>
  <c r="AH163" i="3"/>
  <c r="BM163" i="3"/>
  <c r="AY162" i="3" l="1"/>
  <c r="AU163" i="3"/>
  <c r="BG161" i="3"/>
  <c r="BH161" i="3" s="1"/>
  <c r="BI161" i="3" s="1"/>
  <c r="X164" i="3"/>
  <c r="AT163" i="3"/>
  <c r="AO164" i="3"/>
  <c r="BJ160" i="3"/>
  <c r="BK160" i="3" s="1"/>
  <c r="AV163" i="3"/>
  <c r="AN164" i="3"/>
  <c r="AW163" i="3"/>
  <c r="Y164" i="3"/>
  <c r="Z164" i="3" s="1"/>
  <c r="AG164" i="3"/>
  <c r="AQ165" i="3"/>
  <c r="A166" i="3"/>
  <c r="AR165" i="3"/>
  <c r="C165" i="3"/>
  <c r="B165" i="3"/>
  <c r="D165" i="3"/>
  <c r="G165" i="3"/>
  <c r="H165" i="3" s="1"/>
  <c r="BN165" i="3" s="1"/>
  <c r="F165" i="3"/>
  <c r="Q165" i="3"/>
  <c r="S165" i="3"/>
  <c r="O165" i="3"/>
  <c r="U165" i="3"/>
  <c r="AD165" i="3"/>
  <c r="M165" i="3"/>
  <c r="AE165" i="3"/>
  <c r="AK165" i="3"/>
  <c r="AF165" i="3"/>
  <c r="AM165" i="3"/>
  <c r="P165" i="3"/>
  <c r="R165" i="3"/>
  <c r="T165" i="3"/>
  <c r="V165" i="3"/>
  <c r="AH164" i="3"/>
  <c r="BN164" i="3"/>
  <c r="AX163" i="3"/>
  <c r="AV162" i="3"/>
  <c r="BC162" i="3" s="1"/>
  <c r="BA162" i="3"/>
  <c r="AX164" i="3" l="1"/>
  <c r="AY163" i="3"/>
  <c r="BC163" i="3" s="1"/>
  <c r="AG165" i="3"/>
  <c r="AN165" i="3"/>
  <c r="Y165" i="3"/>
  <c r="Z165" i="3" s="1"/>
  <c r="AU164" i="3"/>
  <c r="AH165" i="3"/>
  <c r="AT165" i="3" s="1"/>
  <c r="X165" i="3"/>
  <c r="AR166" i="3"/>
  <c r="B166" i="3"/>
  <c r="AQ166" i="3"/>
  <c r="A167" i="3"/>
  <c r="C166" i="3"/>
  <c r="D166" i="3"/>
  <c r="G166" i="3"/>
  <c r="H166" i="3" s="1"/>
  <c r="F166" i="3"/>
  <c r="BM166" i="3" s="1"/>
  <c r="Q166" i="3"/>
  <c r="S166" i="3"/>
  <c r="O166" i="3"/>
  <c r="U166" i="3"/>
  <c r="AD166" i="3"/>
  <c r="M166" i="3"/>
  <c r="AE166" i="3"/>
  <c r="AM166" i="3"/>
  <c r="AK166" i="3"/>
  <c r="AF166" i="3"/>
  <c r="T166" i="3"/>
  <c r="V166" i="3"/>
  <c r="P166" i="3"/>
  <c r="R166" i="3"/>
  <c r="AT164" i="3"/>
  <c r="BQ162" i="3"/>
  <c r="BF162" i="3"/>
  <c r="BJ161" i="3" s="1"/>
  <c r="BK161" i="3" s="1"/>
  <c r="BB162" i="3"/>
  <c r="BD162" i="3"/>
  <c r="BG162" i="3"/>
  <c r="BH162" i="3" s="1"/>
  <c r="BI162" i="3" s="1"/>
  <c r="AO165" i="3"/>
  <c r="BM165" i="3"/>
  <c r="AW164" i="3"/>
  <c r="AY164" i="3" s="1"/>
  <c r="BA163" i="3"/>
  <c r="BN166" i="3" l="1"/>
  <c r="AN166" i="3"/>
  <c r="AO166" i="3"/>
  <c r="BF163" i="3"/>
  <c r="BJ162" i="3" s="1"/>
  <c r="BK162" i="3" s="1"/>
  <c r="BQ163" i="3"/>
  <c r="BB163" i="3"/>
  <c r="AG166" i="3"/>
  <c r="AH166" i="3"/>
  <c r="Y166" i="3"/>
  <c r="Z166" i="3" s="1"/>
  <c r="X166" i="3"/>
  <c r="B167" i="3"/>
  <c r="A168" i="3"/>
  <c r="AQ167" i="3"/>
  <c r="AR167" i="3"/>
  <c r="D167" i="3"/>
  <c r="C167" i="3"/>
  <c r="G167" i="3"/>
  <c r="H167" i="3" s="1"/>
  <c r="F167" i="3"/>
  <c r="Q167" i="3"/>
  <c r="S167" i="3"/>
  <c r="O167" i="3"/>
  <c r="U167" i="3"/>
  <c r="AF167" i="3"/>
  <c r="AD167" i="3"/>
  <c r="M167" i="3"/>
  <c r="AE167" i="3"/>
  <c r="AM167" i="3"/>
  <c r="AK167" i="3"/>
  <c r="T167" i="3"/>
  <c r="V167" i="3"/>
  <c r="R167" i="3"/>
  <c r="P167" i="3"/>
  <c r="BA164" i="3"/>
  <c r="AV164" i="3"/>
  <c r="BC164" i="3" s="1"/>
  <c r="AX165" i="3"/>
  <c r="BD163" i="3"/>
  <c r="BG163" i="3"/>
  <c r="BH163" i="3" s="1"/>
  <c r="BI163" i="3" s="1"/>
  <c r="AU165" i="3"/>
  <c r="AV165" i="3" s="1"/>
  <c r="AW165" i="3"/>
  <c r="BN167" i="3" l="1"/>
  <c r="BM167" i="3"/>
  <c r="X167" i="3"/>
  <c r="AO167" i="3"/>
  <c r="AW166" i="3"/>
  <c r="Y167" i="3"/>
  <c r="Z167" i="3" s="1"/>
  <c r="AG167" i="3"/>
  <c r="AT166" i="3"/>
  <c r="BQ164" i="3"/>
  <c r="BF164" i="3"/>
  <c r="BJ163" i="3" s="1"/>
  <c r="BK163" i="3" s="1"/>
  <c r="BB164" i="3"/>
  <c r="BD164" i="3"/>
  <c r="BG164" i="3"/>
  <c r="BH164" i="3" s="1"/>
  <c r="BI164" i="3" s="1"/>
  <c r="AH167" i="3"/>
  <c r="BA165" i="3"/>
  <c r="A169" i="3"/>
  <c r="B168" i="3"/>
  <c r="AR168" i="3"/>
  <c r="AQ168" i="3"/>
  <c r="D168" i="3"/>
  <c r="C168" i="3"/>
  <c r="G168" i="3"/>
  <c r="H168" i="3" s="1"/>
  <c r="BN168" i="3" s="1"/>
  <c r="F168" i="3"/>
  <c r="BM168" i="3" s="1"/>
  <c r="Q168" i="3"/>
  <c r="S168" i="3"/>
  <c r="O168" i="3"/>
  <c r="U168" i="3"/>
  <c r="AE168" i="3"/>
  <c r="AF168" i="3"/>
  <c r="M168" i="3"/>
  <c r="AK168" i="3"/>
  <c r="AD168" i="3"/>
  <c r="AH168" i="3" s="1"/>
  <c r="AM168" i="3"/>
  <c r="R168" i="3"/>
  <c r="V168" i="3"/>
  <c r="T168" i="3"/>
  <c r="P168" i="3"/>
  <c r="AN167" i="3"/>
  <c r="AY165" i="3"/>
  <c r="BC165" i="3" s="1"/>
  <c r="AU166" i="3"/>
  <c r="AX166" i="3"/>
  <c r="AT167" i="3" l="1"/>
  <c r="AW167" i="3"/>
  <c r="AU167" i="3"/>
  <c r="AV167" i="3" s="1"/>
  <c r="Y168" i="3"/>
  <c r="Z168" i="3" s="1"/>
  <c r="AY166" i="3"/>
  <c r="AN168" i="3"/>
  <c r="BG165" i="3"/>
  <c r="BH165" i="3" s="1"/>
  <c r="BI165" i="3" s="1"/>
  <c r="BD165" i="3"/>
  <c r="X168" i="3"/>
  <c r="BQ165" i="3"/>
  <c r="BF165" i="3"/>
  <c r="BJ164" i="3" s="1"/>
  <c r="BK164" i="3" s="1"/>
  <c r="BB165" i="3"/>
  <c r="BA166" i="3"/>
  <c r="AV166" i="3"/>
  <c r="BC166" i="3" s="1"/>
  <c r="B169" i="3"/>
  <c r="AQ169" i="3"/>
  <c r="AR169" i="3"/>
  <c r="A170" i="3"/>
  <c r="C169" i="3"/>
  <c r="D169" i="3"/>
  <c r="G169" i="3"/>
  <c r="H169" i="3" s="1"/>
  <c r="BN169" i="3" s="1"/>
  <c r="F169" i="3"/>
  <c r="BM169" i="3" s="1"/>
  <c r="Q169" i="3"/>
  <c r="S169" i="3"/>
  <c r="O169" i="3"/>
  <c r="U169" i="3"/>
  <c r="AF169" i="3"/>
  <c r="AE169" i="3"/>
  <c r="AD169" i="3"/>
  <c r="M169" i="3"/>
  <c r="AK169" i="3"/>
  <c r="AM169" i="3"/>
  <c r="AN169" i="3" s="1"/>
  <c r="V169" i="3"/>
  <c r="T169" i="3"/>
  <c r="R169" i="3"/>
  <c r="P169" i="3"/>
  <c r="AO168" i="3"/>
  <c r="AG168" i="3"/>
  <c r="AX167" i="3"/>
  <c r="BA167" i="3" s="1"/>
  <c r="AW168" i="3" l="1"/>
  <c r="BF167" i="3"/>
  <c r="BB167" i="3"/>
  <c r="BQ167" i="3"/>
  <c r="AY167" i="3"/>
  <c r="AO169" i="3"/>
  <c r="BC167" i="3"/>
  <c r="AG169" i="3"/>
  <c r="AW169" i="3" s="1"/>
  <c r="AT168" i="3"/>
  <c r="BD166" i="3"/>
  <c r="BG166" i="3"/>
  <c r="BH166" i="3" s="1"/>
  <c r="BI166" i="3" s="1"/>
  <c r="AX168" i="3"/>
  <c r="AY168" i="3" s="1"/>
  <c r="AU168" i="3"/>
  <c r="AH169" i="3"/>
  <c r="X169" i="3"/>
  <c r="AR170" i="3"/>
  <c r="B170" i="3"/>
  <c r="AQ170" i="3"/>
  <c r="A171" i="3"/>
  <c r="C170" i="3"/>
  <c r="D170" i="3"/>
  <c r="G170" i="3"/>
  <c r="H170" i="3" s="1"/>
  <c r="BN170" i="3" s="1"/>
  <c r="F170" i="3"/>
  <c r="Q170" i="3"/>
  <c r="S170" i="3"/>
  <c r="O170" i="3"/>
  <c r="U170" i="3"/>
  <c r="AE170" i="3"/>
  <c r="AD170" i="3"/>
  <c r="M170" i="3"/>
  <c r="AK170" i="3"/>
  <c r="AM170" i="3"/>
  <c r="AN170" i="3" s="1"/>
  <c r="AF170" i="3"/>
  <c r="P170" i="3"/>
  <c r="T170" i="3"/>
  <c r="V170" i="3"/>
  <c r="R170" i="3"/>
  <c r="BB166" i="3"/>
  <c r="BF166" i="3"/>
  <c r="BJ165" i="3" s="1"/>
  <c r="BK165" i="3" s="1"/>
  <c r="BQ166" i="3"/>
  <c r="Y169" i="3"/>
  <c r="Z169" i="3" s="1"/>
  <c r="AX169" i="3" l="1"/>
  <c r="AY169" i="3" s="1"/>
  <c r="AH170" i="3"/>
  <c r="AG170" i="3"/>
  <c r="AT170" i="3" s="1"/>
  <c r="AQ171" i="3"/>
  <c r="B171" i="3"/>
  <c r="AR171" i="3"/>
  <c r="A172" i="3"/>
  <c r="C171" i="3"/>
  <c r="D171" i="3"/>
  <c r="F171" i="3"/>
  <c r="G171" i="3"/>
  <c r="H171" i="3" s="1"/>
  <c r="BN171" i="3" s="1"/>
  <c r="Q171" i="3"/>
  <c r="S171" i="3"/>
  <c r="O171" i="3"/>
  <c r="U171" i="3"/>
  <c r="AF171" i="3"/>
  <c r="AE171" i="3"/>
  <c r="M171" i="3"/>
  <c r="AK171" i="3"/>
  <c r="AM171" i="3"/>
  <c r="AD171" i="3"/>
  <c r="R171" i="3"/>
  <c r="V171" i="3"/>
  <c r="P171" i="3"/>
  <c r="T171" i="3"/>
  <c r="AT169" i="3"/>
  <c r="AU169" i="3"/>
  <c r="X170" i="3"/>
  <c r="BD167" i="3"/>
  <c r="BG167" i="3"/>
  <c r="BH167" i="3" s="1"/>
  <c r="BI167" i="3" s="1"/>
  <c r="BA168" i="3"/>
  <c r="AV168" i="3"/>
  <c r="BC168" i="3" s="1"/>
  <c r="Y170" i="3"/>
  <c r="Z170" i="3" s="1"/>
  <c r="AO170" i="3"/>
  <c r="BM170" i="3"/>
  <c r="BJ166" i="3"/>
  <c r="BK166" i="3" s="1"/>
  <c r="AX170" i="3" l="1"/>
  <c r="AU170" i="3"/>
  <c r="X171" i="3"/>
  <c r="AN171" i="3"/>
  <c r="Y171" i="3"/>
  <c r="Z171" i="3" s="1"/>
  <c r="A173" i="3"/>
  <c r="B172" i="3"/>
  <c r="AR172" i="3"/>
  <c r="AQ172" i="3"/>
  <c r="C172" i="3"/>
  <c r="D172" i="3"/>
  <c r="G172" i="3"/>
  <c r="H172" i="3" s="1"/>
  <c r="BN172" i="3" s="1"/>
  <c r="F172" i="3"/>
  <c r="Q172" i="3"/>
  <c r="S172" i="3"/>
  <c r="O172" i="3"/>
  <c r="U172" i="3"/>
  <c r="M172" i="3"/>
  <c r="AD172" i="3"/>
  <c r="AE172" i="3"/>
  <c r="AF172" i="3"/>
  <c r="AM172" i="3"/>
  <c r="AK172" i="3"/>
  <c r="V172" i="3"/>
  <c r="P172" i="3"/>
  <c r="T172" i="3"/>
  <c r="R172" i="3"/>
  <c r="AO171" i="3"/>
  <c r="AW170" i="3"/>
  <c r="AY170" i="3" s="1"/>
  <c r="AV169" i="3"/>
  <c r="BC169" i="3" s="1"/>
  <c r="BA169" i="3"/>
  <c r="BM171" i="3"/>
  <c r="AH171" i="3"/>
  <c r="BD168" i="3"/>
  <c r="BG168" i="3"/>
  <c r="BH168" i="3" s="1"/>
  <c r="BI168" i="3" s="1"/>
  <c r="BB168" i="3"/>
  <c r="BQ168" i="3"/>
  <c r="BF168" i="3"/>
  <c r="BJ167" i="3" s="1"/>
  <c r="BK167" i="3" s="1"/>
  <c r="AV170" i="3"/>
  <c r="AG171" i="3"/>
  <c r="AO172" i="3" l="1"/>
  <c r="BA170" i="3"/>
  <c r="BQ170" i="3" s="1"/>
  <c r="AW171" i="3"/>
  <c r="BC170" i="3"/>
  <c r="BD170" i="3" s="1"/>
  <c r="AG172" i="3"/>
  <c r="AH172" i="3"/>
  <c r="AT172" i="3" s="1"/>
  <c r="Y172" i="3"/>
  <c r="Z172" i="3" s="1"/>
  <c r="BB170" i="3"/>
  <c r="X172" i="3"/>
  <c r="AT171" i="3"/>
  <c r="BD169" i="3"/>
  <c r="BG169" i="3"/>
  <c r="BH169" i="3" s="1"/>
  <c r="BI169" i="3" s="1"/>
  <c r="AX171" i="3"/>
  <c r="AY171" i="3" s="1"/>
  <c r="BQ169" i="3"/>
  <c r="BB169" i="3"/>
  <c r="BF169" i="3"/>
  <c r="BJ168" i="3" s="1"/>
  <c r="BK168" i="3" s="1"/>
  <c r="AN172" i="3"/>
  <c r="AR173" i="3"/>
  <c r="B173" i="3"/>
  <c r="A174" i="3"/>
  <c r="C173" i="3"/>
  <c r="AQ173" i="3"/>
  <c r="D173" i="3"/>
  <c r="F173" i="3"/>
  <c r="G173" i="3"/>
  <c r="H173" i="3" s="1"/>
  <c r="Q173" i="3"/>
  <c r="S173" i="3"/>
  <c r="O173" i="3"/>
  <c r="U173" i="3"/>
  <c r="M173" i="3"/>
  <c r="AF173" i="3"/>
  <c r="AE173" i="3"/>
  <c r="AK173" i="3"/>
  <c r="AD173" i="3"/>
  <c r="AM173" i="3"/>
  <c r="AN173" i="3" s="1"/>
  <c r="P173" i="3"/>
  <c r="T173" i="3"/>
  <c r="V173" i="3"/>
  <c r="R173" i="3"/>
  <c r="AU171" i="3"/>
  <c r="BM172" i="3"/>
  <c r="BF170" i="3" l="1"/>
  <c r="BG170" i="3"/>
  <c r="BH170" i="3" s="1"/>
  <c r="BI170" i="3" s="1"/>
  <c r="BJ169" i="3"/>
  <c r="BK169" i="3" s="1"/>
  <c r="BN173" i="3"/>
  <c r="AW172" i="3"/>
  <c r="BM173" i="3"/>
  <c r="AU172" i="3"/>
  <c r="AV172" i="3" s="1"/>
  <c r="AH173" i="3"/>
  <c r="A175" i="3"/>
  <c r="AR174" i="3"/>
  <c r="B174" i="3"/>
  <c r="AQ174" i="3"/>
  <c r="D174" i="3"/>
  <c r="C174" i="3"/>
  <c r="F174" i="3"/>
  <c r="BM174" i="3" s="1"/>
  <c r="G174" i="3"/>
  <c r="H174" i="3" s="1"/>
  <c r="Q174" i="3"/>
  <c r="S174" i="3"/>
  <c r="O174" i="3"/>
  <c r="U174" i="3"/>
  <c r="AF174" i="3"/>
  <c r="AE174" i="3"/>
  <c r="M174" i="3"/>
  <c r="AD174" i="3"/>
  <c r="AM174" i="3"/>
  <c r="AK174" i="3"/>
  <c r="P174" i="3"/>
  <c r="V174" i="3"/>
  <c r="R174" i="3"/>
  <c r="T174" i="3"/>
  <c r="AV171" i="3"/>
  <c r="BC171" i="3" s="1"/>
  <c r="BA171" i="3"/>
  <c r="AO173" i="3"/>
  <c r="AG173" i="3"/>
  <c r="Y173" i="3"/>
  <c r="Z173" i="3" s="1"/>
  <c r="AX172" i="3"/>
  <c r="X173" i="3"/>
  <c r="AO174" i="3" l="1"/>
  <c r="AY172" i="3"/>
  <c r="BC172" i="3" s="1"/>
  <c r="AW173" i="3"/>
  <c r="BN174" i="3"/>
  <c r="AU173" i="3"/>
  <c r="AH174" i="3"/>
  <c r="BD171" i="3"/>
  <c r="BG171" i="3"/>
  <c r="BH171" i="3" s="1"/>
  <c r="BI171" i="3" s="1"/>
  <c r="BA172" i="3"/>
  <c r="X174" i="3"/>
  <c r="AX173" i="3"/>
  <c r="Y174" i="3"/>
  <c r="Z174" i="3" s="1"/>
  <c r="BF171" i="3"/>
  <c r="BJ170" i="3" s="1"/>
  <c r="BK170" i="3" s="1"/>
  <c r="BB171" i="3"/>
  <c r="BQ171" i="3"/>
  <c r="AG174" i="3"/>
  <c r="AT173" i="3"/>
  <c r="AN174" i="3"/>
  <c r="AQ175" i="3"/>
  <c r="A176" i="3"/>
  <c r="AR175" i="3"/>
  <c r="B175" i="3"/>
  <c r="D175" i="3"/>
  <c r="C175" i="3"/>
  <c r="F175" i="3"/>
  <c r="G175" i="3"/>
  <c r="H175" i="3" s="1"/>
  <c r="Q175" i="3"/>
  <c r="S175" i="3"/>
  <c r="O175" i="3"/>
  <c r="U175" i="3"/>
  <c r="AF175" i="3"/>
  <c r="M175" i="3"/>
  <c r="AD175" i="3"/>
  <c r="AE175" i="3"/>
  <c r="AM175" i="3"/>
  <c r="AK175" i="3"/>
  <c r="P175" i="3"/>
  <c r="V175" i="3"/>
  <c r="T175" i="3"/>
  <c r="R175" i="3"/>
  <c r="AY173" i="3" l="1"/>
  <c r="AX174" i="3"/>
  <c r="AO175" i="3"/>
  <c r="AW174" i="3"/>
  <c r="BA173" i="3"/>
  <c r="AV173" i="3"/>
  <c r="BC173" i="3" s="1"/>
  <c r="AU174" i="3"/>
  <c r="Y175" i="3"/>
  <c r="Z175" i="3" s="1"/>
  <c r="BQ172" i="3"/>
  <c r="BF172" i="3"/>
  <c r="BJ171" i="3" s="1"/>
  <c r="BK171" i="3" s="1"/>
  <c r="BB172" i="3"/>
  <c r="AQ176" i="3"/>
  <c r="A177" i="3"/>
  <c r="B176" i="3"/>
  <c r="AR176" i="3"/>
  <c r="D176" i="3"/>
  <c r="C176" i="3"/>
  <c r="F176" i="3"/>
  <c r="BM176" i="3" s="1"/>
  <c r="G176" i="3"/>
  <c r="H176" i="3" s="1"/>
  <c r="Q176" i="3"/>
  <c r="S176" i="3"/>
  <c r="O176" i="3"/>
  <c r="U176" i="3"/>
  <c r="AD176" i="3"/>
  <c r="M176" i="3"/>
  <c r="AE176" i="3"/>
  <c r="AF176" i="3"/>
  <c r="AK176" i="3"/>
  <c r="AM176" i="3"/>
  <c r="R176" i="3"/>
  <c r="V176" i="3"/>
  <c r="P176" i="3"/>
  <c r="T176" i="3"/>
  <c r="X175" i="3"/>
  <c r="AN175" i="3"/>
  <c r="BD172" i="3"/>
  <c r="BG172" i="3"/>
  <c r="BH172" i="3" s="1"/>
  <c r="BI172" i="3" s="1"/>
  <c r="AG175" i="3"/>
  <c r="BN175" i="3"/>
  <c r="AH175" i="3"/>
  <c r="BM175" i="3"/>
  <c r="AT174" i="3"/>
  <c r="AY174" i="3" l="1"/>
  <c r="AX175" i="3"/>
  <c r="AG176" i="3"/>
  <c r="AO176" i="3"/>
  <c r="AH176" i="3"/>
  <c r="AT175" i="3"/>
  <c r="X176" i="3"/>
  <c r="Y176" i="3"/>
  <c r="Z176" i="3" s="1"/>
  <c r="AN176" i="3"/>
  <c r="AR177" i="3"/>
  <c r="AQ177" i="3"/>
  <c r="A178" i="3"/>
  <c r="B177" i="3"/>
  <c r="D177" i="3"/>
  <c r="C177" i="3"/>
  <c r="F177" i="3"/>
  <c r="BM177" i="3" s="1"/>
  <c r="G177" i="3"/>
  <c r="H177" i="3" s="1"/>
  <c r="Q177" i="3"/>
  <c r="S177" i="3"/>
  <c r="O177" i="3"/>
  <c r="U177" i="3"/>
  <c r="AE177" i="3"/>
  <c r="AF177" i="3"/>
  <c r="AD177" i="3"/>
  <c r="AK177" i="3"/>
  <c r="AM177" i="3"/>
  <c r="M177" i="3"/>
  <c r="R177" i="3"/>
  <c r="T177" i="3"/>
  <c r="P177" i="3"/>
  <c r="V177" i="3"/>
  <c r="AW175" i="3"/>
  <c r="BD173" i="3"/>
  <c r="BG173" i="3"/>
  <c r="BH173" i="3" s="1"/>
  <c r="BI173" i="3" s="1"/>
  <c r="AU175" i="3"/>
  <c r="AV174" i="3"/>
  <c r="BA174" i="3"/>
  <c r="BN176" i="3"/>
  <c r="BQ173" i="3"/>
  <c r="BB173" i="3"/>
  <c r="BF173" i="3"/>
  <c r="BJ172" i="3" s="1"/>
  <c r="BK172" i="3" s="1"/>
  <c r="BC174" i="3" l="1"/>
  <c r="AU176" i="3"/>
  <c r="AT176" i="3"/>
  <c r="AH177" i="3"/>
  <c r="BN177" i="3"/>
  <c r="AY175" i="3"/>
  <c r="AO177" i="3"/>
  <c r="AG177" i="3"/>
  <c r="AT177" i="3" s="1"/>
  <c r="X177" i="3"/>
  <c r="AV175" i="3"/>
  <c r="BA175" i="3"/>
  <c r="Y177" i="3"/>
  <c r="Z177" i="3" s="1"/>
  <c r="BF174" i="3"/>
  <c r="BJ173" i="3" s="1"/>
  <c r="BK173" i="3" s="1"/>
  <c r="BQ174" i="3"/>
  <c r="BB174" i="3"/>
  <c r="BD174" i="3"/>
  <c r="BG174" i="3"/>
  <c r="BH174" i="3" s="1"/>
  <c r="BI174" i="3" s="1"/>
  <c r="A179" i="3"/>
  <c r="D178" i="3"/>
  <c r="AR178" i="3"/>
  <c r="B178" i="3"/>
  <c r="AQ178" i="3"/>
  <c r="C178" i="3"/>
  <c r="G178" i="3"/>
  <c r="H178" i="3" s="1"/>
  <c r="F178" i="3"/>
  <c r="S178" i="3"/>
  <c r="Q178" i="3"/>
  <c r="O178" i="3"/>
  <c r="U178" i="3"/>
  <c r="AF178" i="3"/>
  <c r="M178" i="3"/>
  <c r="AM178" i="3"/>
  <c r="AE178" i="3"/>
  <c r="AD178" i="3"/>
  <c r="AK178" i="3"/>
  <c r="R178" i="3"/>
  <c r="P178" i="3"/>
  <c r="T178" i="3"/>
  <c r="V178" i="3"/>
  <c r="AV176" i="3"/>
  <c r="AX176" i="3"/>
  <c r="AN177" i="3"/>
  <c r="AW176" i="3"/>
  <c r="BM178" i="3" l="1"/>
  <c r="AU177" i="3"/>
  <c r="BC175" i="3"/>
  <c r="BG175" i="3" s="1"/>
  <c r="BH175" i="3" s="1"/>
  <c r="BI175" i="3" s="1"/>
  <c r="AO178" i="3"/>
  <c r="AX177" i="3"/>
  <c r="BN178" i="3"/>
  <c r="AG178" i="3"/>
  <c r="AT178" i="3" s="1"/>
  <c r="BA176" i="3"/>
  <c r="BB176" i="3" s="1"/>
  <c r="X178" i="3"/>
  <c r="BQ175" i="3"/>
  <c r="BB175" i="3"/>
  <c r="BF175" i="3"/>
  <c r="BJ174" i="3" s="1"/>
  <c r="BK174" i="3" s="1"/>
  <c r="AH178" i="3"/>
  <c r="B179" i="3"/>
  <c r="A180" i="3"/>
  <c r="AR179" i="3"/>
  <c r="AQ179" i="3"/>
  <c r="D179" i="3"/>
  <c r="C179" i="3"/>
  <c r="F179" i="3"/>
  <c r="G179" i="3"/>
  <c r="H179" i="3" s="1"/>
  <c r="Q179" i="3"/>
  <c r="S179" i="3"/>
  <c r="O179" i="3"/>
  <c r="U179" i="3"/>
  <c r="AD179" i="3"/>
  <c r="M179" i="3"/>
  <c r="AE179" i="3"/>
  <c r="AK179" i="3"/>
  <c r="AF179" i="3"/>
  <c r="AM179" i="3"/>
  <c r="T179" i="3"/>
  <c r="R179" i="3"/>
  <c r="P179" i="3"/>
  <c r="V179" i="3"/>
  <c r="BD175" i="3"/>
  <c r="AW177" i="3"/>
  <c r="AV177" i="3"/>
  <c r="AN178" i="3"/>
  <c r="AY176" i="3"/>
  <c r="BC176" i="3" s="1"/>
  <c r="Y178" i="3"/>
  <c r="Z178" i="3" s="1"/>
  <c r="AY177" i="3" l="1"/>
  <c r="AU178" i="3"/>
  <c r="BQ176" i="3"/>
  <c r="BF176" i="3"/>
  <c r="BJ175" i="3" s="1"/>
  <c r="BK175" i="3" s="1"/>
  <c r="Y179" i="3"/>
  <c r="Z179" i="3" s="1"/>
  <c r="BA177" i="3"/>
  <c r="BQ177" i="3" s="1"/>
  <c r="BC177" i="3"/>
  <c r="BD177" i="3" s="1"/>
  <c r="AO179" i="3"/>
  <c r="BD176" i="3"/>
  <c r="BG176" i="3"/>
  <c r="BH176" i="3" s="1"/>
  <c r="BI176" i="3" s="1"/>
  <c r="X179" i="3"/>
  <c r="AN179" i="3"/>
  <c r="AR180" i="3"/>
  <c r="AQ180" i="3"/>
  <c r="A181" i="3"/>
  <c r="B180" i="3"/>
  <c r="D180" i="3"/>
  <c r="C180" i="3"/>
  <c r="F180" i="3"/>
  <c r="BM180" i="3" s="1"/>
  <c r="G180" i="3"/>
  <c r="H180" i="3" s="1"/>
  <c r="Q180" i="3"/>
  <c r="S180" i="3"/>
  <c r="O180" i="3"/>
  <c r="U180" i="3"/>
  <c r="M180" i="3"/>
  <c r="AD180" i="3"/>
  <c r="AE180" i="3"/>
  <c r="AM180" i="3"/>
  <c r="AK180" i="3"/>
  <c r="AO180" i="3" s="1"/>
  <c r="AF180" i="3"/>
  <c r="T180" i="3"/>
  <c r="V180" i="3"/>
  <c r="P180" i="3"/>
  <c r="R180" i="3"/>
  <c r="AV178" i="3"/>
  <c r="AH179" i="3"/>
  <c r="BN179" i="3"/>
  <c r="AW178" i="3"/>
  <c r="AX178" i="3"/>
  <c r="AG179" i="3"/>
  <c r="BM179" i="3"/>
  <c r="BB177" i="3" l="1"/>
  <c r="BN180" i="3"/>
  <c r="AU179" i="3"/>
  <c r="BG177" i="3"/>
  <c r="BH177" i="3" s="1"/>
  <c r="BI177" i="3" s="1"/>
  <c r="BF177" i="3"/>
  <c r="BJ176" i="3" s="1"/>
  <c r="BK176" i="3" s="1"/>
  <c r="AY178" i="3"/>
  <c r="BC178" i="3" s="1"/>
  <c r="BA178" i="3"/>
  <c r="BF178" i="3" s="1"/>
  <c r="BJ177" i="3" s="1"/>
  <c r="BK177" i="3" s="1"/>
  <c r="Y180" i="3"/>
  <c r="Z180" i="3" s="1"/>
  <c r="X180" i="3"/>
  <c r="B181" i="3"/>
  <c r="AQ181" i="3"/>
  <c r="A182" i="3"/>
  <c r="D181" i="3"/>
  <c r="AR181" i="3"/>
  <c r="C181" i="3"/>
  <c r="G181" i="3"/>
  <c r="H181" i="3" s="1"/>
  <c r="F181" i="3"/>
  <c r="Q181" i="3"/>
  <c r="S181" i="3"/>
  <c r="O181" i="3"/>
  <c r="U181" i="3"/>
  <c r="M181" i="3"/>
  <c r="AE181" i="3"/>
  <c r="AD181" i="3"/>
  <c r="AK181" i="3"/>
  <c r="AM181" i="3"/>
  <c r="AF181" i="3"/>
  <c r="R181" i="3"/>
  <c r="P181" i="3"/>
  <c r="V181" i="3"/>
  <c r="T181" i="3"/>
  <c r="AT179" i="3"/>
  <c r="AG180" i="3"/>
  <c r="AN180" i="3"/>
  <c r="AH180" i="3"/>
  <c r="AX179" i="3"/>
  <c r="AW179" i="3"/>
  <c r="BM181" i="3" l="1"/>
  <c r="AY179" i="3"/>
  <c r="BB178" i="3"/>
  <c r="BQ178" i="3"/>
  <c r="AX180" i="3"/>
  <c r="AH181" i="3"/>
  <c r="AO181" i="3"/>
  <c r="Y181" i="3"/>
  <c r="Z181" i="3" s="1"/>
  <c r="X181" i="3"/>
  <c r="B182" i="3"/>
  <c r="AQ182" i="3"/>
  <c r="AR182" i="3"/>
  <c r="A183" i="3"/>
  <c r="D182" i="3"/>
  <c r="C182" i="3"/>
  <c r="G182" i="3"/>
  <c r="H182" i="3" s="1"/>
  <c r="F182" i="3"/>
  <c r="Q182" i="3"/>
  <c r="S182" i="3"/>
  <c r="O182" i="3"/>
  <c r="U182" i="3"/>
  <c r="AD182" i="3"/>
  <c r="M182" i="3"/>
  <c r="AE182" i="3"/>
  <c r="AF182" i="3"/>
  <c r="AK182" i="3"/>
  <c r="AM182" i="3"/>
  <c r="R182" i="3"/>
  <c r="P182" i="3"/>
  <c r="V182" i="3"/>
  <c r="T182" i="3"/>
  <c r="AW180" i="3"/>
  <c r="AY180" i="3" s="1"/>
  <c r="BA179" i="3"/>
  <c r="AV179" i="3"/>
  <c r="BC179" i="3" s="1"/>
  <c r="AN181" i="3"/>
  <c r="BD178" i="3"/>
  <c r="BG178" i="3"/>
  <c r="BH178" i="3" s="1"/>
  <c r="BI178" i="3" s="1"/>
  <c r="BN181" i="3"/>
  <c r="AT180" i="3"/>
  <c r="AU180" i="3"/>
  <c r="AG181" i="3"/>
  <c r="BM182" i="3" l="1"/>
  <c r="AN182" i="3"/>
  <c r="AH182" i="3"/>
  <c r="AW181" i="3"/>
  <c r="Y182" i="3"/>
  <c r="Z182" i="3" s="1"/>
  <c r="X182" i="3"/>
  <c r="AQ183" i="3"/>
  <c r="B183" i="3"/>
  <c r="A184" i="3"/>
  <c r="AR183" i="3"/>
  <c r="C183" i="3"/>
  <c r="D183" i="3"/>
  <c r="F183" i="3"/>
  <c r="BM183" i="3" s="1"/>
  <c r="G183" i="3"/>
  <c r="H183" i="3" s="1"/>
  <c r="BN183" i="3" s="1"/>
  <c r="Q183" i="3"/>
  <c r="S183" i="3"/>
  <c r="O183" i="3"/>
  <c r="U183" i="3"/>
  <c r="M183" i="3"/>
  <c r="AE183" i="3"/>
  <c r="AD183" i="3"/>
  <c r="AF183" i="3"/>
  <c r="AM183" i="3"/>
  <c r="AK183" i="3"/>
  <c r="R183" i="3"/>
  <c r="T183" i="3"/>
  <c r="V183" i="3"/>
  <c r="P183" i="3"/>
  <c r="BQ179" i="3"/>
  <c r="BF179" i="3"/>
  <c r="BJ178" i="3" s="1"/>
  <c r="BK178" i="3" s="1"/>
  <c r="BB179" i="3"/>
  <c r="BA180" i="3"/>
  <c r="AV180" i="3"/>
  <c r="BC180" i="3" s="1"/>
  <c r="AO182" i="3"/>
  <c r="AG182" i="3"/>
  <c r="AU182" i="3" s="1"/>
  <c r="BN182" i="3"/>
  <c r="BD179" i="3"/>
  <c r="BG179" i="3"/>
  <c r="BH179" i="3" s="1"/>
  <c r="BI179" i="3" s="1"/>
  <c r="AX181" i="3"/>
  <c r="AY181" i="3" s="1"/>
  <c r="AU181" i="3"/>
  <c r="AT181" i="3"/>
  <c r="AO183" i="3" l="1"/>
  <c r="X183" i="3"/>
  <c r="AW182" i="3"/>
  <c r="B184" i="3"/>
  <c r="AR184" i="3"/>
  <c r="A185" i="3"/>
  <c r="AQ184" i="3"/>
  <c r="D184" i="3"/>
  <c r="C184" i="3"/>
  <c r="G184" i="3"/>
  <c r="H184" i="3" s="1"/>
  <c r="F184" i="3"/>
  <c r="Q184" i="3"/>
  <c r="S184" i="3"/>
  <c r="O184" i="3"/>
  <c r="U184" i="3"/>
  <c r="AD184" i="3"/>
  <c r="M184" i="3"/>
  <c r="AF184" i="3"/>
  <c r="AE184" i="3"/>
  <c r="AK184" i="3"/>
  <c r="AM184" i="3"/>
  <c r="AN184" i="3" s="1"/>
  <c r="V184" i="3"/>
  <c r="T184" i="3"/>
  <c r="P184" i="3"/>
  <c r="R184" i="3"/>
  <c r="BB180" i="3"/>
  <c r="BF180" i="3"/>
  <c r="BJ179" i="3" s="1"/>
  <c r="BK179" i="3" s="1"/>
  <c r="BQ180" i="3"/>
  <c r="AN183" i="3"/>
  <c r="AH183" i="3"/>
  <c r="AG183" i="3"/>
  <c r="AW183" i="3" s="1"/>
  <c r="AT182" i="3"/>
  <c r="AV181" i="3"/>
  <c r="BC181" i="3" s="1"/>
  <c r="BA181" i="3"/>
  <c r="BD180" i="3"/>
  <c r="BG180" i="3"/>
  <c r="BH180" i="3" s="1"/>
  <c r="BI180" i="3" s="1"/>
  <c r="Y183" i="3"/>
  <c r="Z183" i="3" s="1"/>
  <c r="AX182" i="3"/>
  <c r="AY182" i="3" s="1"/>
  <c r="BN184" i="3" l="1"/>
  <c r="AH184" i="3"/>
  <c r="Y184" i="3"/>
  <c r="Z184" i="3" s="1"/>
  <c r="AR185" i="3"/>
  <c r="B185" i="3"/>
  <c r="AQ185" i="3"/>
  <c r="A186" i="3"/>
  <c r="C185" i="3"/>
  <c r="D185" i="3"/>
  <c r="F185" i="3"/>
  <c r="G185" i="3"/>
  <c r="H185" i="3" s="1"/>
  <c r="BN185" i="3" s="1"/>
  <c r="Q185" i="3"/>
  <c r="S185" i="3"/>
  <c r="O185" i="3"/>
  <c r="U185" i="3"/>
  <c r="AF185" i="3"/>
  <c r="AE185" i="3"/>
  <c r="AD185" i="3"/>
  <c r="AK185" i="3"/>
  <c r="M185" i="3"/>
  <c r="AM185" i="3"/>
  <c r="AN185" i="3" s="1"/>
  <c r="R185" i="3"/>
  <c r="V185" i="3"/>
  <c r="P185" i="3"/>
  <c r="T185" i="3"/>
  <c r="AX183" i="3"/>
  <c r="AY183" i="3" s="1"/>
  <c r="BD181" i="3"/>
  <c r="BG181" i="3"/>
  <c r="BH181" i="3" s="1"/>
  <c r="BI181" i="3" s="1"/>
  <c r="AO184" i="3"/>
  <c r="X184" i="3"/>
  <c r="BF181" i="3"/>
  <c r="BJ180" i="3" s="1"/>
  <c r="BK180" i="3" s="1"/>
  <c r="BB181" i="3"/>
  <c r="BQ181" i="3"/>
  <c r="AU183" i="3"/>
  <c r="BA182" i="3"/>
  <c r="AV182" i="3"/>
  <c r="BC182" i="3" s="1"/>
  <c r="AG184" i="3"/>
  <c r="BM184" i="3"/>
  <c r="AT183" i="3"/>
  <c r="AW184" i="3" l="1"/>
  <c r="BM185" i="3"/>
  <c r="AH185" i="3"/>
  <c r="BB182" i="3"/>
  <c r="BQ182" i="3"/>
  <c r="BF182" i="3"/>
  <c r="BJ181" i="3" s="1"/>
  <c r="BK181" i="3" s="1"/>
  <c r="AO185" i="3"/>
  <c r="BD182" i="3"/>
  <c r="BG182" i="3"/>
  <c r="BH182" i="3" s="1"/>
  <c r="BI182" i="3" s="1"/>
  <c r="AG185" i="3"/>
  <c r="Y185" i="3"/>
  <c r="Z185" i="3" s="1"/>
  <c r="AU184" i="3"/>
  <c r="AT184" i="3"/>
  <c r="BA183" i="3"/>
  <c r="AV183" i="3"/>
  <c r="BC183" i="3" s="1"/>
  <c r="X185" i="3"/>
  <c r="B186" i="3"/>
  <c r="AQ186" i="3"/>
  <c r="C186" i="3"/>
  <c r="AR186" i="3"/>
  <c r="A187" i="3"/>
  <c r="D186" i="3"/>
  <c r="G186" i="3"/>
  <c r="H186" i="3" s="1"/>
  <c r="F186" i="3"/>
  <c r="Q186" i="3"/>
  <c r="S186" i="3"/>
  <c r="O186" i="3"/>
  <c r="U186" i="3"/>
  <c r="AK186" i="3"/>
  <c r="AD186" i="3"/>
  <c r="AE186" i="3"/>
  <c r="M186" i="3"/>
  <c r="AM186" i="3"/>
  <c r="AF186" i="3"/>
  <c r="T186" i="3"/>
  <c r="R186" i="3"/>
  <c r="P186" i="3"/>
  <c r="V186" i="3"/>
  <c r="AX184" i="3"/>
  <c r="AY184" i="3" s="1"/>
  <c r="AU185" i="3" l="1"/>
  <c r="Y186" i="3"/>
  <c r="Z186" i="3" s="1"/>
  <c r="AO186" i="3"/>
  <c r="X186" i="3"/>
  <c r="AQ187" i="3"/>
  <c r="B187" i="3"/>
  <c r="A188" i="3"/>
  <c r="AR187" i="3"/>
  <c r="D187" i="3"/>
  <c r="C187" i="3"/>
  <c r="G187" i="3"/>
  <c r="H187" i="3" s="1"/>
  <c r="BN187" i="3" s="1"/>
  <c r="F187" i="3"/>
  <c r="BM187" i="3" s="1"/>
  <c r="Q187" i="3"/>
  <c r="S187" i="3"/>
  <c r="O187" i="3"/>
  <c r="U187" i="3"/>
  <c r="M187" i="3"/>
  <c r="AE187" i="3"/>
  <c r="AK187" i="3"/>
  <c r="AF187" i="3"/>
  <c r="AD187" i="3"/>
  <c r="AM187" i="3"/>
  <c r="V187" i="3"/>
  <c r="T187" i="3"/>
  <c r="R187" i="3"/>
  <c r="P187" i="3"/>
  <c r="BA184" i="3"/>
  <c r="AV184" i="3"/>
  <c r="BC184" i="3" s="1"/>
  <c r="BQ183" i="3"/>
  <c r="BF183" i="3"/>
  <c r="BJ182" i="3" s="1"/>
  <c r="BK182" i="3" s="1"/>
  <c r="BB183" i="3"/>
  <c r="AN186" i="3"/>
  <c r="AH186" i="3"/>
  <c r="BM186" i="3"/>
  <c r="AW185" i="3"/>
  <c r="AG186" i="3"/>
  <c r="BN186" i="3"/>
  <c r="BD183" i="3"/>
  <c r="BG183" i="3"/>
  <c r="BH183" i="3" s="1"/>
  <c r="BI183" i="3" s="1"/>
  <c r="AX185" i="3"/>
  <c r="AT185" i="3"/>
  <c r="AX186" i="3" l="1"/>
  <c r="AO187" i="3"/>
  <c r="BD184" i="3"/>
  <c r="BG184" i="3"/>
  <c r="BH184" i="3" s="1"/>
  <c r="BI184" i="3" s="1"/>
  <c r="BA185" i="3"/>
  <c r="AV185" i="3"/>
  <c r="Y187" i="3"/>
  <c r="Z187" i="3" s="1"/>
  <c r="BF184" i="3"/>
  <c r="BJ183" i="3" s="1"/>
  <c r="BK183" i="3" s="1"/>
  <c r="BQ184" i="3"/>
  <c r="BB184" i="3"/>
  <c r="AU186" i="3"/>
  <c r="X187" i="3"/>
  <c r="AG187" i="3"/>
  <c r="AW186" i="3"/>
  <c r="AY186" i="3" s="1"/>
  <c r="A189" i="3"/>
  <c r="B188" i="3"/>
  <c r="AQ188" i="3"/>
  <c r="AR188" i="3"/>
  <c r="D188" i="3"/>
  <c r="C188" i="3"/>
  <c r="F188" i="3"/>
  <c r="BM188" i="3" s="1"/>
  <c r="G188" i="3"/>
  <c r="H188" i="3" s="1"/>
  <c r="BN188" i="3" s="1"/>
  <c r="Q188" i="3"/>
  <c r="S188" i="3"/>
  <c r="O188" i="3"/>
  <c r="U188" i="3"/>
  <c r="AF188" i="3"/>
  <c r="AD188" i="3"/>
  <c r="AE188" i="3"/>
  <c r="AK188" i="3"/>
  <c r="AM188" i="3"/>
  <c r="AN188" i="3" s="1"/>
  <c r="M188" i="3"/>
  <c r="P188" i="3"/>
  <c r="V188" i="3"/>
  <c r="R188" i="3"/>
  <c r="T188" i="3"/>
  <c r="AY185" i="3"/>
  <c r="AN187" i="3"/>
  <c r="AT186" i="3"/>
  <c r="AH187" i="3"/>
  <c r="AG188" i="3" l="1"/>
  <c r="AV186" i="3"/>
  <c r="BC186" i="3" s="1"/>
  <c r="BA186" i="3"/>
  <c r="D189" i="3"/>
  <c r="AR189" i="3"/>
  <c r="B189" i="3"/>
  <c r="AQ189" i="3"/>
  <c r="A190" i="3"/>
  <c r="C189" i="3"/>
  <c r="F189" i="3"/>
  <c r="G189" i="3"/>
  <c r="H189" i="3" s="1"/>
  <c r="Q189" i="3"/>
  <c r="S189" i="3"/>
  <c r="O189" i="3"/>
  <c r="U189" i="3"/>
  <c r="AF189" i="3"/>
  <c r="M189" i="3"/>
  <c r="AD189" i="3"/>
  <c r="AE189" i="3"/>
  <c r="AM189" i="3"/>
  <c r="AK189" i="3"/>
  <c r="V189" i="3"/>
  <c r="P189" i="3"/>
  <c r="R189" i="3"/>
  <c r="T189" i="3"/>
  <c r="AW187" i="3"/>
  <c r="AO188" i="3"/>
  <c r="AH188" i="3"/>
  <c r="AT187" i="3"/>
  <c r="BC185" i="3"/>
  <c r="Y188" i="3"/>
  <c r="Z188" i="3" s="1"/>
  <c r="BF185" i="3"/>
  <c r="BJ184" i="3" s="1"/>
  <c r="BK184" i="3" s="1"/>
  <c r="BQ185" i="3"/>
  <c r="BB185" i="3"/>
  <c r="AU187" i="3"/>
  <c r="X188" i="3"/>
  <c r="AX187" i="3"/>
  <c r="AT188" i="3" l="1"/>
  <c r="AU188" i="3"/>
  <c r="AO189" i="3"/>
  <c r="BN189" i="3"/>
  <c r="AW188" i="3"/>
  <c r="AX188" i="3"/>
  <c r="AR190" i="3"/>
  <c r="AQ190" i="3"/>
  <c r="A191" i="3"/>
  <c r="B190" i="3"/>
  <c r="C190" i="3"/>
  <c r="D190" i="3"/>
  <c r="G190" i="3"/>
  <c r="H190" i="3" s="1"/>
  <c r="BN190" i="3" s="1"/>
  <c r="F190" i="3"/>
  <c r="Q190" i="3"/>
  <c r="S190" i="3"/>
  <c r="O190" i="3"/>
  <c r="U190" i="3"/>
  <c r="AD190" i="3"/>
  <c r="AF190" i="3"/>
  <c r="M190" i="3"/>
  <c r="AE190" i="3"/>
  <c r="AM190" i="3"/>
  <c r="AK190" i="3"/>
  <c r="AO190" i="3" s="1"/>
  <c r="R190" i="3"/>
  <c r="V190" i="3"/>
  <c r="P190" i="3"/>
  <c r="T190" i="3"/>
  <c r="BD185" i="3"/>
  <c r="BG185" i="3"/>
  <c r="BH185" i="3" s="1"/>
  <c r="BI185" i="3" s="1"/>
  <c r="Y189" i="3"/>
  <c r="Z189" i="3" s="1"/>
  <c r="AV188" i="3"/>
  <c r="X189" i="3"/>
  <c r="AN189" i="3"/>
  <c r="AG189" i="3"/>
  <c r="BQ186" i="3"/>
  <c r="BB186" i="3"/>
  <c r="BF186" i="3"/>
  <c r="BJ185" i="3" s="1"/>
  <c r="BK185" i="3" s="1"/>
  <c r="BA187" i="3"/>
  <c r="AV187" i="3"/>
  <c r="AY187" i="3"/>
  <c r="AH189" i="3"/>
  <c r="BM189" i="3"/>
  <c r="BD186" i="3"/>
  <c r="BG186" i="3"/>
  <c r="BH186" i="3" s="1"/>
  <c r="BI186" i="3" s="1"/>
  <c r="BA188" i="3" l="1"/>
  <c r="AY188" i="3"/>
  <c r="BC188" i="3" s="1"/>
  <c r="BG188" i="3" s="1"/>
  <c r="BH188" i="3" s="1"/>
  <c r="BI188" i="3" s="1"/>
  <c r="BM190" i="3"/>
  <c r="AX189" i="3"/>
  <c r="AG190" i="3"/>
  <c r="BQ187" i="3"/>
  <c r="BF187" i="3"/>
  <c r="BJ186" i="3" s="1"/>
  <c r="BK186" i="3" s="1"/>
  <c r="BB187" i="3"/>
  <c r="X190" i="3"/>
  <c r="Y190" i="3"/>
  <c r="Z190" i="3" s="1"/>
  <c r="AU189" i="3"/>
  <c r="AT189" i="3"/>
  <c r="AR191" i="3"/>
  <c r="AQ191" i="3"/>
  <c r="B191" i="3"/>
  <c r="A192" i="3"/>
  <c r="D191" i="3"/>
  <c r="C191" i="3"/>
  <c r="G191" i="3"/>
  <c r="H191" i="3" s="1"/>
  <c r="F191" i="3"/>
  <c r="Q191" i="3"/>
  <c r="S191" i="3"/>
  <c r="O191" i="3"/>
  <c r="U191" i="3"/>
  <c r="AD191" i="3"/>
  <c r="M191" i="3"/>
  <c r="AF191" i="3"/>
  <c r="AM191" i="3"/>
  <c r="AK191" i="3"/>
  <c r="AE191" i="3"/>
  <c r="P191" i="3"/>
  <c r="V191" i="3"/>
  <c r="T191" i="3"/>
  <c r="R191" i="3"/>
  <c r="BC187" i="3"/>
  <c r="BQ188" i="3"/>
  <c r="BF188" i="3"/>
  <c r="BB188" i="3"/>
  <c r="AH190" i="3"/>
  <c r="AW189" i="3"/>
  <c r="AY189" i="3" s="1"/>
  <c r="AN190" i="3"/>
  <c r="BD188" i="3" l="1"/>
  <c r="AX190" i="3"/>
  <c r="BJ187" i="3"/>
  <c r="BK187" i="3" s="1"/>
  <c r="AO191" i="3"/>
  <c r="AW190" i="3"/>
  <c r="A193" i="3"/>
  <c r="AR192" i="3"/>
  <c r="AQ192" i="3"/>
  <c r="B192" i="3"/>
  <c r="C192" i="3"/>
  <c r="D192" i="3"/>
  <c r="F192" i="3"/>
  <c r="G192" i="3"/>
  <c r="H192" i="3" s="1"/>
  <c r="BN192" i="3" s="1"/>
  <c r="Q192" i="3"/>
  <c r="S192" i="3"/>
  <c r="O192" i="3"/>
  <c r="U192" i="3"/>
  <c r="AF192" i="3"/>
  <c r="AD192" i="3"/>
  <c r="M192" i="3"/>
  <c r="AE192" i="3"/>
  <c r="AM192" i="3"/>
  <c r="AK192" i="3"/>
  <c r="V192" i="3"/>
  <c r="P192" i="3"/>
  <c r="T192" i="3"/>
  <c r="R192" i="3"/>
  <c r="AU190" i="3"/>
  <c r="Y191" i="3"/>
  <c r="Z191" i="3" s="1"/>
  <c r="X191" i="3"/>
  <c r="AT190" i="3"/>
  <c r="BM191" i="3"/>
  <c r="AV189" i="3"/>
  <c r="BC189" i="3" s="1"/>
  <c r="BA189" i="3"/>
  <c r="AG191" i="3"/>
  <c r="AN191" i="3"/>
  <c r="BD187" i="3"/>
  <c r="BG187" i="3"/>
  <c r="BH187" i="3" s="1"/>
  <c r="BI187" i="3" s="1"/>
  <c r="AH191" i="3"/>
  <c r="BN191" i="3"/>
  <c r="AY190" i="3" l="1"/>
  <c r="AO192" i="3"/>
  <c r="AX191" i="3"/>
  <c r="X192" i="3"/>
  <c r="AN192" i="3"/>
  <c r="A194" i="3"/>
  <c r="AR193" i="3"/>
  <c r="B193" i="3"/>
  <c r="AQ193" i="3"/>
  <c r="D193" i="3"/>
  <c r="C193" i="3"/>
  <c r="G193" i="3"/>
  <c r="H193" i="3" s="1"/>
  <c r="F193" i="3"/>
  <c r="BM193" i="3" s="1"/>
  <c r="Q193" i="3"/>
  <c r="S193" i="3"/>
  <c r="O193" i="3"/>
  <c r="U193" i="3"/>
  <c r="AF193" i="3"/>
  <c r="M193" i="3"/>
  <c r="AE193" i="3"/>
  <c r="AK193" i="3"/>
  <c r="AM193" i="3"/>
  <c r="AN193" i="3" s="1"/>
  <c r="AD193" i="3"/>
  <c r="P193" i="3"/>
  <c r="V193" i="3"/>
  <c r="T193" i="3"/>
  <c r="R193" i="3"/>
  <c r="BA190" i="3"/>
  <c r="AV190" i="3"/>
  <c r="AT191" i="3"/>
  <c r="AW191" i="3"/>
  <c r="AU191" i="3"/>
  <c r="BB189" i="3"/>
  <c r="BQ189" i="3"/>
  <c r="BF189" i="3"/>
  <c r="BJ188" i="3" s="1"/>
  <c r="BK188" i="3" s="1"/>
  <c r="BM192" i="3"/>
  <c r="Y192" i="3"/>
  <c r="Z192" i="3" s="1"/>
  <c r="AG192" i="3"/>
  <c r="BD189" i="3"/>
  <c r="BG189" i="3"/>
  <c r="BH189" i="3" s="1"/>
  <c r="BI189" i="3" s="1"/>
  <c r="AH192" i="3"/>
  <c r="BC190" i="3" l="1"/>
  <c r="AU192" i="3"/>
  <c r="X193" i="3"/>
  <c r="AY191" i="3"/>
  <c r="BN193" i="3"/>
  <c r="Y193" i="3"/>
  <c r="Z193" i="3" s="1"/>
  <c r="AH193" i="3"/>
  <c r="AW192" i="3"/>
  <c r="BD190" i="3"/>
  <c r="BG190" i="3"/>
  <c r="BH190" i="3" s="1"/>
  <c r="BI190" i="3" s="1"/>
  <c r="AR194" i="3"/>
  <c r="AQ194" i="3"/>
  <c r="A195" i="3"/>
  <c r="D194" i="3"/>
  <c r="B194" i="3"/>
  <c r="C194" i="3"/>
  <c r="F194" i="3"/>
  <c r="G194" i="3"/>
  <c r="H194" i="3" s="1"/>
  <c r="Q194" i="3"/>
  <c r="S194" i="3"/>
  <c r="O194" i="3"/>
  <c r="U194" i="3"/>
  <c r="AE194" i="3"/>
  <c r="AF194" i="3"/>
  <c r="M194" i="3"/>
  <c r="AK194" i="3"/>
  <c r="AD194" i="3"/>
  <c r="AM194" i="3"/>
  <c r="V194" i="3"/>
  <c r="R194" i="3"/>
  <c r="T194" i="3"/>
  <c r="P194" i="3"/>
  <c r="BF190" i="3"/>
  <c r="BJ189" i="3" s="1"/>
  <c r="BK189" i="3" s="1"/>
  <c r="BB190" i="3"/>
  <c r="BQ190" i="3"/>
  <c r="AG193" i="3"/>
  <c r="AT192" i="3"/>
  <c r="BA191" i="3"/>
  <c r="AV191" i="3"/>
  <c r="AO193" i="3"/>
  <c r="AX192" i="3"/>
  <c r="BM194" i="3" l="1"/>
  <c r="AY192" i="3"/>
  <c r="AN194" i="3"/>
  <c r="AW193" i="3"/>
  <c r="AH194" i="3"/>
  <c r="BC191" i="3"/>
  <c r="BG191" i="3" s="1"/>
  <c r="BH191" i="3" s="1"/>
  <c r="BI191" i="3" s="1"/>
  <c r="X194" i="3"/>
  <c r="AV192" i="3"/>
  <c r="BC192" i="3" s="1"/>
  <c r="BA192" i="3"/>
  <c r="Y194" i="3"/>
  <c r="Z194" i="3" s="1"/>
  <c r="BN194" i="3"/>
  <c r="A196" i="3"/>
  <c r="AR195" i="3"/>
  <c r="AQ195" i="3"/>
  <c r="B195" i="3"/>
  <c r="D195" i="3"/>
  <c r="C195" i="3"/>
  <c r="F195" i="3"/>
  <c r="BM195" i="3" s="1"/>
  <c r="G195" i="3"/>
  <c r="H195" i="3" s="1"/>
  <c r="Q195" i="3"/>
  <c r="S195" i="3"/>
  <c r="O195" i="3"/>
  <c r="U195" i="3"/>
  <c r="M195" i="3"/>
  <c r="AK195" i="3"/>
  <c r="AF195" i="3"/>
  <c r="AD195" i="3"/>
  <c r="AE195" i="3"/>
  <c r="AM195" i="3"/>
  <c r="P195" i="3"/>
  <c r="V195" i="3"/>
  <c r="T195" i="3"/>
  <c r="R195" i="3"/>
  <c r="AX193" i="3"/>
  <c r="AO194" i="3"/>
  <c r="AT193" i="3"/>
  <c r="BQ191" i="3"/>
  <c r="BF191" i="3"/>
  <c r="BJ190" i="3" s="1"/>
  <c r="BK190" i="3" s="1"/>
  <c r="BB191" i="3"/>
  <c r="AG194" i="3"/>
  <c r="AU193" i="3"/>
  <c r="BN195" i="3" l="1"/>
  <c r="BD191" i="3"/>
  <c r="AY193" i="3"/>
  <c r="AH195" i="3"/>
  <c r="AW194" i="3"/>
  <c r="AO195" i="3"/>
  <c r="AT194" i="3"/>
  <c r="Y195" i="3"/>
  <c r="Z195" i="3" s="1"/>
  <c r="AX194" i="3"/>
  <c r="X195" i="3"/>
  <c r="BQ192" i="3"/>
  <c r="BF192" i="3"/>
  <c r="BJ191" i="3" s="1"/>
  <c r="BK191" i="3" s="1"/>
  <c r="BB192" i="3"/>
  <c r="BG192" i="3"/>
  <c r="BH192" i="3" s="1"/>
  <c r="BI192" i="3" s="1"/>
  <c r="BD192" i="3"/>
  <c r="AN195" i="3"/>
  <c r="AX195" i="3" s="1"/>
  <c r="AT195" i="3"/>
  <c r="AU194" i="3"/>
  <c r="AV193" i="3"/>
  <c r="BA193" i="3"/>
  <c r="AG195" i="3"/>
  <c r="B196" i="3"/>
  <c r="AR196" i="3"/>
  <c r="AQ196" i="3"/>
  <c r="A197" i="3"/>
  <c r="C196" i="3"/>
  <c r="D196" i="3"/>
  <c r="G196" i="3"/>
  <c r="H196" i="3" s="1"/>
  <c r="F196" i="3"/>
  <c r="Q196" i="3"/>
  <c r="S196" i="3"/>
  <c r="O196" i="3"/>
  <c r="U196" i="3"/>
  <c r="AD196" i="3"/>
  <c r="AF196" i="3"/>
  <c r="M196" i="3"/>
  <c r="AE196" i="3"/>
  <c r="AM196" i="3"/>
  <c r="AK196" i="3"/>
  <c r="AO196" i="3" s="1"/>
  <c r="R196" i="3"/>
  <c r="V196" i="3"/>
  <c r="T196" i="3"/>
  <c r="P196" i="3"/>
  <c r="BN196" i="3" l="1"/>
  <c r="BC193" i="3"/>
  <c r="AY194" i="3"/>
  <c r="AW195" i="3"/>
  <c r="AY195" i="3" s="1"/>
  <c r="AU195" i="3"/>
  <c r="BM196" i="3"/>
  <c r="AG196" i="3"/>
  <c r="AQ197" i="3"/>
  <c r="A198" i="3"/>
  <c r="AR197" i="3"/>
  <c r="B197" i="3"/>
  <c r="C197" i="3"/>
  <c r="D197" i="3"/>
  <c r="F197" i="3"/>
  <c r="G197" i="3"/>
  <c r="H197" i="3" s="1"/>
  <c r="Q197" i="3"/>
  <c r="S197" i="3"/>
  <c r="O197" i="3"/>
  <c r="U197" i="3"/>
  <c r="AF197" i="3"/>
  <c r="AD197" i="3"/>
  <c r="M197" i="3"/>
  <c r="AE197" i="3"/>
  <c r="AK197" i="3"/>
  <c r="AM197" i="3"/>
  <c r="T197" i="3"/>
  <c r="R197" i="3"/>
  <c r="P197" i="3"/>
  <c r="V197" i="3"/>
  <c r="BA195" i="3"/>
  <c r="AV195" i="3"/>
  <c r="BF193" i="3"/>
  <c r="BJ192" i="3" s="1"/>
  <c r="BK192" i="3" s="1"/>
  <c r="BB193" i="3"/>
  <c r="BQ193" i="3"/>
  <c r="AH196" i="3"/>
  <c r="Y196" i="3"/>
  <c r="Z196" i="3" s="1"/>
  <c r="BD193" i="3"/>
  <c r="BG193" i="3"/>
  <c r="BH193" i="3" s="1"/>
  <c r="BI193" i="3" s="1"/>
  <c r="AV194" i="3"/>
  <c r="BC194" i="3" s="1"/>
  <c r="BA194" i="3"/>
  <c r="AN196" i="3"/>
  <c r="X196" i="3"/>
  <c r="AN197" i="3" l="1"/>
  <c r="AX196" i="3"/>
  <c r="BM197" i="3"/>
  <c r="Y197" i="3"/>
  <c r="Z197" i="3" s="1"/>
  <c r="AH197" i="3"/>
  <c r="BC195" i="3"/>
  <c r="BD195" i="3" s="1"/>
  <c r="BD194" i="3"/>
  <c r="BG194" i="3"/>
  <c r="BH194" i="3" s="1"/>
  <c r="BI194" i="3" s="1"/>
  <c r="BB194" i="3"/>
  <c r="BQ194" i="3"/>
  <c r="BF194" i="3"/>
  <c r="BJ193" i="3" s="1"/>
  <c r="BK193" i="3" s="1"/>
  <c r="X197" i="3"/>
  <c r="AU196" i="3"/>
  <c r="AT196" i="3"/>
  <c r="AR198" i="3"/>
  <c r="B198" i="3"/>
  <c r="AQ198" i="3"/>
  <c r="A199" i="3"/>
  <c r="C198" i="3"/>
  <c r="D198" i="3"/>
  <c r="F198" i="3"/>
  <c r="G198" i="3"/>
  <c r="H198" i="3" s="1"/>
  <c r="BN198" i="3" s="1"/>
  <c r="Q198" i="3"/>
  <c r="S198" i="3"/>
  <c r="O198" i="3"/>
  <c r="U198" i="3"/>
  <c r="AF198" i="3"/>
  <c r="AE198" i="3"/>
  <c r="AD198" i="3"/>
  <c r="M198" i="3"/>
  <c r="AK198" i="3"/>
  <c r="AM198" i="3"/>
  <c r="AN198" i="3" s="1"/>
  <c r="T198" i="3"/>
  <c r="P198" i="3"/>
  <c r="R198" i="3"/>
  <c r="V198" i="3"/>
  <c r="AW196" i="3"/>
  <c r="BG195" i="3"/>
  <c r="BH195" i="3" s="1"/>
  <c r="BI195" i="3" s="1"/>
  <c r="AO197" i="3"/>
  <c r="BF195" i="3"/>
  <c r="BQ195" i="3"/>
  <c r="BB195" i="3"/>
  <c r="AG197" i="3"/>
  <c r="BN197" i="3"/>
  <c r="AY196" i="3" l="1"/>
  <c r="AU197" i="3"/>
  <c r="BJ194" i="3"/>
  <c r="BK194" i="3" s="1"/>
  <c r="AX197" i="3"/>
  <c r="AO198" i="3"/>
  <c r="X198" i="3"/>
  <c r="B199" i="3"/>
  <c r="A200" i="3"/>
  <c r="AQ199" i="3"/>
  <c r="AR199" i="3"/>
  <c r="D199" i="3"/>
  <c r="C199" i="3"/>
  <c r="F199" i="3"/>
  <c r="G199" i="3"/>
  <c r="H199" i="3" s="1"/>
  <c r="Q199" i="3"/>
  <c r="S199" i="3"/>
  <c r="O199" i="3"/>
  <c r="U199" i="3"/>
  <c r="M199" i="3"/>
  <c r="AF199" i="3"/>
  <c r="AD199" i="3"/>
  <c r="AE199" i="3"/>
  <c r="AM199" i="3"/>
  <c r="AK199" i="3"/>
  <c r="R199" i="3"/>
  <c r="P199" i="3"/>
  <c r="T199" i="3"/>
  <c r="V199" i="3"/>
  <c r="AV196" i="3"/>
  <c r="BC196" i="3" s="1"/>
  <c r="BA196" i="3"/>
  <c r="AW197" i="3"/>
  <c r="AH198" i="3"/>
  <c r="BM198" i="3"/>
  <c r="Y198" i="3"/>
  <c r="Z198" i="3" s="1"/>
  <c r="AG198" i="3"/>
  <c r="AT197" i="3"/>
  <c r="AY197" i="3" l="1"/>
  <c r="AW198" i="3"/>
  <c r="AO199" i="3"/>
  <c r="Y199" i="3"/>
  <c r="Z199" i="3" s="1"/>
  <c r="AG199" i="3"/>
  <c r="X199" i="3"/>
  <c r="AX198" i="3"/>
  <c r="AY198" i="3" s="1"/>
  <c r="A201" i="3"/>
  <c r="B200" i="3"/>
  <c r="AR200" i="3"/>
  <c r="AQ200" i="3"/>
  <c r="D200" i="3"/>
  <c r="C200" i="3"/>
  <c r="F200" i="3"/>
  <c r="BM200" i="3" s="1"/>
  <c r="G200" i="3"/>
  <c r="H200" i="3" s="1"/>
  <c r="BN200" i="3" s="1"/>
  <c r="Q200" i="3"/>
  <c r="S200" i="3"/>
  <c r="O200" i="3"/>
  <c r="U200" i="3"/>
  <c r="AE200" i="3"/>
  <c r="M200" i="3"/>
  <c r="AD200" i="3"/>
  <c r="AM200" i="3"/>
  <c r="AK200" i="3"/>
  <c r="AO200" i="3" s="1"/>
  <c r="AF200" i="3"/>
  <c r="T200" i="3"/>
  <c r="P200" i="3"/>
  <c r="R200" i="3"/>
  <c r="V200" i="3"/>
  <c r="BF196" i="3"/>
  <c r="BJ195" i="3" s="1"/>
  <c r="BK195" i="3" s="1"/>
  <c r="BQ196" i="3"/>
  <c r="BB196" i="3"/>
  <c r="AN199" i="3"/>
  <c r="AV197" i="3"/>
  <c r="BC197" i="3" s="1"/>
  <c r="BA197" i="3"/>
  <c r="BD196" i="3"/>
  <c r="BG196" i="3"/>
  <c r="BH196" i="3" s="1"/>
  <c r="BI196" i="3" s="1"/>
  <c r="BN199" i="3"/>
  <c r="AT198" i="3"/>
  <c r="AH199" i="3"/>
  <c r="BM199" i="3"/>
  <c r="AU198" i="3"/>
  <c r="AX199" i="3" l="1"/>
  <c r="B201" i="3"/>
  <c r="AQ201" i="3"/>
  <c r="AR201" i="3"/>
  <c r="A202" i="3"/>
  <c r="C201" i="3"/>
  <c r="D201" i="3"/>
  <c r="F201" i="3"/>
  <c r="BM201" i="3" s="1"/>
  <c r="G201" i="3"/>
  <c r="H201" i="3" s="1"/>
  <c r="Q201" i="3"/>
  <c r="S201" i="3"/>
  <c r="O201" i="3"/>
  <c r="U201" i="3"/>
  <c r="M201" i="3"/>
  <c r="AE201" i="3"/>
  <c r="AF201" i="3"/>
  <c r="AD201" i="3"/>
  <c r="AM201" i="3"/>
  <c r="AK201" i="3"/>
  <c r="AO201" i="3" s="1"/>
  <c r="P201" i="3"/>
  <c r="T201" i="3"/>
  <c r="R201" i="3"/>
  <c r="V201" i="3"/>
  <c r="AN200" i="3"/>
  <c r="AU199" i="3"/>
  <c r="AW199" i="3"/>
  <c r="BQ197" i="3"/>
  <c r="BF197" i="3"/>
  <c r="BJ196" i="3" s="1"/>
  <c r="BK196" i="3" s="1"/>
  <c r="BB197" i="3"/>
  <c r="AG200" i="3"/>
  <c r="Y200" i="3"/>
  <c r="Z200" i="3" s="1"/>
  <c r="AT199" i="3"/>
  <c r="AV198" i="3"/>
  <c r="BC198" i="3" s="1"/>
  <c r="BA198" i="3"/>
  <c r="AH200" i="3"/>
  <c r="BD197" i="3"/>
  <c r="BG197" i="3"/>
  <c r="BH197" i="3" s="1"/>
  <c r="BI197" i="3" s="1"/>
  <c r="X200" i="3"/>
  <c r="AU200" i="3"/>
  <c r="Y201" i="3" l="1"/>
  <c r="Z201" i="3" s="1"/>
  <c r="AY199" i="3"/>
  <c r="X201" i="3"/>
  <c r="AG201" i="3"/>
  <c r="AW200" i="3"/>
  <c r="AR202" i="3"/>
  <c r="B202" i="3"/>
  <c r="AQ202" i="3"/>
  <c r="A203" i="3"/>
  <c r="C202" i="3"/>
  <c r="D202" i="3"/>
  <c r="G202" i="3"/>
  <c r="H202" i="3" s="1"/>
  <c r="BN202" i="3" s="1"/>
  <c r="F202" i="3"/>
  <c r="Q202" i="3"/>
  <c r="S202" i="3"/>
  <c r="O202" i="3"/>
  <c r="U202" i="3"/>
  <c r="AF202" i="3"/>
  <c r="AM202" i="3"/>
  <c r="AD202" i="3"/>
  <c r="AE202" i="3"/>
  <c r="M202" i="3"/>
  <c r="AK202" i="3"/>
  <c r="AO202" i="3" s="1"/>
  <c r="V202" i="3"/>
  <c r="P202" i="3"/>
  <c r="T202" i="3"/>
  <c r="R202" i="3"/>
  <c r="BF198" i="3"/>
  <c r="BJ197" i="3" s="1"/>
  <c r="BK197" i="3" s="1"/>
  <c r="BB198" i="3"/>
  <c r="BQ198" i="3"/>
  <c r="BD198" i="3"/>
  <c r="BG198" i="3"/>
  <c r="BH198" i="3" s="1"/>
  <c r="BI198" i="3" s="1"/>
  <c r="AN201" i="3"/>
  <c r="AX200" i="3"/>
  <c r="AV199" i="3"/>
  <c r="BA199" i="3"/>
  <c r="AH201" i="3"/>
  <c r="BN201" i="3"/>
  <c r="AT200" i="3"/>
  <c r="BC199" i="3" l="1"/>
  <c r="BD199" i="3" s="1"/>
  <c r="AT201" i="3"/>
  <c r="BM202" i="3"/>
  <c r="AG202" i="3"/>
  <c r="AY200" i="3"/>
  <c r="AU201" i="3"/>
  <c r="AN202" i="3"/>
  <c r="Y202" i="3"/>
  <c r="Z202" i="3" s="1"/>
  <c r="BB199" i="3"/>
  <c r="BQ199" i="3"/>
  <c r="BF199" i="3"/>
  <c r="BJ198" i="3" s="1"/>
  <c r="BK198" i="3" s="1"/>
  <c r="AV200" i="3"/>
  <c r="BA200" i="3"/>
  <c r="AH202" i="3"/>
  <c r="X202" i="3"/>
  <c r="AQ203" i="3"/>
  <c r="B203" i="3"/>
  <c r="AR203" i="3"/>
  <c r="A204" i="3"/>
  <c r="D203" i="3"/>
  <c r="C203" i="3"/>
  <c r="F203" i="3"/>
  <c r="G203" i="3"/>
  <c r="H203" i="3" s="1"/>
  <c r="Q203" i="3"/>
  <c r="S203" i="3"/>
  <c r="O203" i="3"/>
  <c r="U203" i="3"/>
  <c r="M203" i="3"/>
  <c r="AF203" i="3"/>
  <c r="AD203" i="3"/>
  <c r="AE203" i="3"/>
  <c r="AK203" i="3"/>
  <c r="AM203" i="3"/>
  <c r="V203" i="3"/>
  <c r="P203" i="3"/>
  <c r="R203" i="3"/>
  <c r="T203" i="3"/>
  <c r="AW201" i="3"/>
  <c r="AX201" i="3"/>
  <c r="AX202" i="3" l="1"/>
  <c r="BC200" i="3"/>
  <c r="BG199" i="3"/>
  <c r="BH199" i="3" s="1"/>
  <c r="BI199" i="3" s="1"/>
  <c r="BM203" i="3"/>
  <c r="AN203" i="3"/>
  <c r="BA201" i="3"/>
  <c r="BF201" i="3" s="1"/>
  <c r="AO203" i="3"/>
  <c r="AH203" i="3"/>
  <c r="AX203" i="3" s="1"/>
  <c r="BB200" i="3"/>
  <c r="BF200" i="3"/>
  <c r="BJ199" i="3" s="1"/>
  <c r="BK199" i="3" s="1"/>
  <c r="BQ200" i="3"/>
  <c r="BD200" i="3"/>
  <c r="BG200" i="3"/>
  <c r="BH200" i="3" s="1"/>
  <c r="BI200" i="3" s="1"/>
  <c r="X203" i="3"/>
  <c r="A205" i="3"/>
  <c r="B204" i="3"/>
  <c r="AR204" i="3"/>
  <c r="AQ204" i="3"/>
  <c r="D204" i="3"/>
  <c r="C204" i="3"/>
  <c r="G204" i="3"/>
  <c r="H204" i="3" s="1"/>
  <c r="BN204" i="3" s="1"/>
  <c r="F204" i="3"/>
  <c r="Q204" i="3"/>
  <c r="S204" i="3"/>
  <c r="O204" i="3"/>
  <c r="U204" i="3"/>
  <c r="AD204" i="3"/>
  <c r="AF204" i="3"/>
  <c r="M204" i="3"/>
  <c r="AE204" i="3"/>
  <c r="AK204" i="3"/>
  <c r="AM204" i="3"/>
  <c r="R204" i="3"/>
  <c r="P204" i="3"/>
  <c r="T204" i="3"/>
  <c r="V204" i="3"/>
  <c r="AW202" i="3"/>
  <c r="Y203" i="3"/>
  <c r="Z203" i="3" s="1"/>
  <c r="AT202" i="3"/>
  <c r="AV201" i="3"/>
  <c r="AU202" i="3"/>
  <c r="AY201" i="3"/>
  <c r="AG203" i="3"/>
  <c r="BN203" i="3"/>
  <c r="AY202" i="3" l="1"/>
  <c r="BB201" i="3"/>
  <c r="AU203" i="3"/>
  <c r="BQ201" i="3"/>
  <c r="AW203" i="3"/>
  <c r="AY203" i="3" s="1"/>
  <c r="BC201" i="3"/>
  <c r="BG201" i="3" s="1"/>
  <c r="BH201" i="3" s="1"/>
  <c r="BI201" i="3" s="1"/>
  <c r="AO204" i="3"/>
  <c r="AG204" i="3"/>
  <c r="AH204" i="3"/>
  <c r="X204" i="3"/>
  <c r="BA202" i="3"/>
  <c r="AV202" i="3"/>
  <c r="BC202" i="3" s="1"/>
  <c r="AT203" i="3"/>
  <c r="AN204" i="3"/>
  <c r="Y204" i="3"/>
  <c r="Z204" i="3" s="1"/>
  <c r="AR205" i="3"/>
  <c r="B205" i="3"/>
  <c r="A206" i="3"/>
  <c r="D205" i="3"/>
  <c r="AQ205" i="3"/>
  <c r="C205" i="3"/>
  <c r="F205" i="3"/>
  <c r="BM205" i="3" s="1"/>
  <c r="G205" i="3"/>
  <c r="H205" i="3" s="1"/>
  <c r="BN205" i="3" s="1"/>
  <c r="Q205" i="3"/>
  <c r="S205" i="3"/>
  <c r="O205" i="3"/>
  <c r="U205" i="3"/>
  <c r="AE205" i="3"/>
  <c r="AK205" i="3"/>
  <c r="AD205" i="3"/>
  <c r="M205" i="3"/>
  <c r="AF205" i="3"/>
  <c r="AM205" i="3"/>
  <c r="V205" i="3"/>
  <c r="P205" i="3"/>
  <c r="T205" i="3"/>
  <c r="R205" i="3"/>
  <c r="BJ200" i="3"/>
  <c r="BK200" i="3" s="1"/>
  <c r="BM204" i="3"/>
  <c r="BD201" i="3" l="1"/>
  <c r="AT204" i="3"/>
  <c r="AU204" i="3"/>
  <c r="AN205" i="3"/>
  <c r="AG205" i="3"/>
  <c r="Y205" i="3"/>
  <c r="Z205" i="3" s="1"/>
  <c r="A207" i="3"/>
  <c r="AR206" i="3"/>
  <c r="B206" i="3"/>
  <c r="AQ206" i="3"/>
  <c r="D206" i="3"/>
  <c r="C206" i="3"/>
  <c r="F206" i="3"/>
  <c r="BM206" i="3" s="1"/>
  <c r="G206" i="3"/>
  <c r="H206" i="3" s="1"/>
  <c r="Q206" i="3"/>
  <c r="S206" i="3"/>
  <c r="O206" i="3"/>
  <c r="U206" i="3"/>
  <c r="M206" i="3"/>
  <c r="AF206" i="3"/>
  <c r="AE206" i="3"/>
  <c r="AD206" i="3"/>
  <c r="AM206" i="3"/>
  <c r="AK206" i="3"/>
  <c r="P206" i="3"/>
  <c r="T206" i="3"/>
  <c r="V206" i="3"/>
  <c r="R206" i="3"/>
  <c r="BF202" i="3"/>
  <c r="BJ201" i="3" s="1"/>
  <c r="BK201" i="3" s="1"/>
  <c r="BB202" i="3"/>
  <c r="BQ202" i="3"/>
  <c r="AH205" i="3"/>
  <c r="AO205" i="3"/>
  <c r="X205" i="3"/>
  <c r="AW204" i="3"/>
  <c r="AX204" i="3"/>
  <c r="AV203" i="3"/>
  <c r="BC203" i="3" s="1"/>
  <c r="BA203" i="3"/>
  <c r="BD202" i="3"/>
  <c r="BG202" i="3"/>
  <c r="BH202" i="3" s="1"/>
  <c r="BI202" i="3" s="1"/>
  <c r="AV204" i="3" l="1"/>
  <c r="BA204" i="3"/>
  <c r="BQ204" i="3" s="1"/>
  <c r="Y206" i="3"/>
  <c r="Z206" i="3" s="1"/>
  <c r="AX205" i="3"/>
  <c r="AO206" i="3"/>
  <c r="AG206" i="3"/>
  <c r="BQ203" i="3"/>
  <c r="BF203" i="3"/>
  <c r="BJ202" i="3" s="1"/>
  <c r="BK202" i="3" s="1"/>
  <c r="BB203" i="3"/>
  <c r="BD203" i="3"/>
  <c r="BG203" i="3"/>
  <c r="BH203" i="3" s="1"/>
  <c r="BI203" i="3" s="1"/>
  <c r="AN206" i="3"/>
  <c r="AQ207" i="3"/>
  <c r="A208" i="3"/>
  <c r="AR207" i="3"/>
  <c r="B207" i="3"/>
  <c r="D207" i="3"/>
  <c r="C207" i="3"/>
  <c r="G207" i="3"/>
  <c r="H207" i="3" s="1"/>
  <c r="BN207" i="3" s="1"/>
  <c r="F207" i="3"/>
  <c r="BM207" i="3" s="1"/>
  <c r="Q207" i="3"/>
  <c r="S207" i="3"/>
  <c r="O207" i="3"/>
  <c r="U207" i="3"/>
  <c r="AD207" i="3"/>
  <c r="AE207" i="3"/>
  <c r="AF207" i="3"/>
  <c r="AK207" i="3"/>
  <c r="AM207" i="3"/>
  <c r="M207" i="3"/>
  <c r="P207" i="3"/>
  <c r="T207" i="3"/>
  <c r="R207" i="3"/>
  <c r="V207" i="3"/>
  <c r="AW205" i="3"/>
  <c r="AH206" i="3"/>
  <c r="BN206" i="3"/>
  <c r="X206" i="3"/>
  <c r="AU205" i="3"/>
  <c r="AY204" i="3"/>
  <c r="BC204" i="3" s="1"/>
  <c r="AT205" i="3"/>
  <c r="AY205" i="3" l="1"/>
  <c r="AX206" i="3"/>
  <c r="BF204" i="3"/>
  <c r="BJ203" i="3" s="1"/>
  <c r="BK203" i="3" s="1"/>
  <c r="BB204" i="3"/>
  <c r="AW206" i="3"/>
  <c r="AY206" i="3" s="1"/>
  <c r="AN207" i="3"/>
  <c r="AQ208" i="3"/>
  <c r="A209" i="3"/>
  <c r="B208" i="3"/>
  <c r="AR208" i="3"/>
  <c r="D208" i="3"/>
  <c r="C208" i="3"/>
  <c r="G208" i="3"/>
  <c r="H208" i="3" s="1"/>
  <c r="BN208" i="3" s="1"/>
  <c r="F208" i="3"/>
  <c r="Q208" i="3"/>
  <c r="S208" i="3"/>
  <c r="O208" i="3"/>
  <c r="U208" i="3"/>
  <c r="AK208" i="3"/>
  <c r="AD208" i="3"/>
  <c r="AF208" i="3"/>
  <c r="AE208" i="3"/>
  <c r="M208" i="3"/>
  <c r="AM208" i="3"/>
  <c r="R208" i="3"/>
  <c r="T208" i="3"/>
  <c r="P208" i="3"/>
  <c r="V208" i="3"/>
  <c r="AT206" i="3"/>
  <c r="AU206" i="3"/>
  <c r="BD204" i="3"/>
  <c r="BG204" i="3"/>
  <c r="BH204" i="3" s="1"/>
  <c r="BI204" i="3" s="1"/>
  <c r="AG207" i="3"/>
  <c r="X207" i="3"/>
  <c r="AO207" i="3"/>
  <c r="AV205" i="3"/>
  <c r="BA205" i="3"/>
  <c r="AH207" i="3"/>
  <c r="Y207" i="3"/>
  <c r="Z207" i="3" s="1"/>
  <c r="AO208" i="3" l="1"/>
  <c r="BC205" i="3"/>
  <c r="AU207" i="3"/>
  <c r="AH208" i="3"/>
  <c r="AV206" i="3"/>
  <c r="BC206" i="3" s="1"/>
  <c r="BA206" i="3"/>
  <c r="AN208" i="3"/>
  <c r="AR209" i="3"/>
  <c r="AQ209" i="3"/>
  <c r="A210" i="3"/>
  <c r="B209" i="3"/>
  <c r="C209" i="3"/>
  <c r="D209" i="3"/>
  <c r="G209" i="3"/>
  <c r="H209" i="3" s="1"/>
  <c r="BN209" i="3" s="1"/>
  <c r="F209" i="3"/>
  <c r="BM209" i="3" s="1"/>
  <c r="Q209" i="3"/>
  <c r="S209" i="3"/>
  <c r="O209" i="3"/>
  <c r="U209" i="3"/>
  <c r="AD209" i="3"/>
  <c r="AE209" i="3"/>
  <c r="AM209" i="3"/>
  <c r="M209" i="3"/>
  <c r="AK209" i="3"/>
  <c r="AO209" i="3" s="1"/>
  <c r="AF209" i="3"/>
  <c r="V209" i="3"/>
  <c r="R209" i="3"/>
  <c r="T209" i="3"/>
  <c r="P209" i="3"/>
  <c r="BD205" i="3"/>
  <c r="BG205" i="3"/>
  <c r="BH205" i="3" s="1"/>
  <c r="BI205" i="3" s="1"/>
  <c r="Y208" i="3"/>
  <c r="Z208" i="3" s="1"/>
  <c r="X208" i="3"/>
  <c r="AW207" i="3"/>
  <c r="AX207" i="3"/>
  <c r="BQ205" i="3"/>
  <c r="BF205" i="3"/>
  <c r="BJ204" i="3" s="1"/>
  <c r="BK204" i="3" s="1"/>
  <c r="BB205" i="3"/>
  <c r="AG208" i="3"/>
  <c r="BM208" i="3"/>
  <c r="AT207" i="3"/>
  <c r="AW208" i="3" l="1"/>
  <c r="AY207" i="3"/>
  <c r="AX208" i="3"/>
  <c r="AY208" i="3" s="1"/>
  <c r="AU208" i="3"/>
  <c r="AN209" i="3"/>
  <c r="BQ206" i="3"/>
  <c r="BB206" i="3"/>
  <c r="BF206" i="3"/>
  <c r="BJ205" i="3" s="1"/>
  <c r="BK205" i="3" s="1"/>
  <c r="BD206" i="3"/>
  <c r="BG206" i="3"/>
  <c r="BH206" i="3" s="1"/>
  <c r="BI206" i="3" s="1"/>
  <c r="AG209" i="3"/>
  <c r="AH209" i="3"/>
  <c r="X209" i="3"/>
  <c r="AT208" i="3"/>
  <c r="BA207" i="3"/>
  <c r="AV207" i="3"/>
  <c r="BC207" i="3" s="1"/>
  <c r="Y209" i="3"/>
  <c r="Z209" i="3" s="1"/>
  <c r="A211" i="3"/>
  <c r="D210" i="3"/>
  <c r="AR210" i="3"/>
  <c r="B210" i="3"/>
  <c r="AQ210" i="3"/>
  <c r="C210" i="3"/>
  <c r="G210" i="3"/>
  <c r="H210" i="3" s="1"/>
  <c r="BN210" i="3" s="1"/>
  <c r="F210" i="3"/>
  <c r="Q210" i="3"/>
  <c r="S210" i="3"/>
  <c r="O210" i="3"/>
  <c r="U210" i="3"/>
  <c r="AD210" i="3"/>
  <c r="AE210" i="3"/>
  <c r="AM210" i="3"/>
  <c r="AK210" i="3"/>
  <c r="AF210" i="3"/>
  <c r="M210" i="3"/>
  <c r="P210" i="3"/>
  <c r="R210" i="3"/>
  <c r="V210" i="3"/>
  <c r="T210" i="3"/>
  <c r="AN210" i="3" l="1"/>
  <c r="AG210" i="3"/>
  <c r="AX209" i="3"/>
  <c r="BD207" i="3"/>
  <c r="BG207" i="3"/>
  <c r="BH207" i="3" s="1"/>
  <c r="BI207" i="3" s="1"/>
  <c r="BB207" i="3"/>
  <c r="BQ207" i="3"/>
  <c r="BF207" i="3"/>
  <c r="AH210" i="3"/>
  <c r="X210" i="3"/>
  <c r="Y210" i="3"/>
  <c r="Z210" i="3" s="1"/>
  <c r="AW209" i="3"/>
  <c r="AT209" i="3"/>
  <c r="B211" i="3"/>
  <c r="A212" i="3"/>
  <c r="AR211" i="3"/>
  <c r="AQ211" i="3"/>
  <c r="D211" i="3"/>
  <c r="C211" i="3"/>
  <c r="F211" i="3"/>
  <c r="BM211" i="3" s="1"/>
  <c r="G211" i="3"/>
  <c r="H211" i="3" s="1"/>
  <c r="BN211" i="3" s="1"/>
  <c r="Q211" i="3"/>
  <c r="S211" i="3"/>
  <c r="O211" i="3"/>
  <c r="U211" i="3"/>
  <c r="AF211" i="3"/>
  <c r="AK211" i="3"/>
  <c r="AD211" i="3"/>
  <c r="M211" i="3"/>
  <c r="AE211" i="3"/>
  <c r="AM211" i="3"/>
  <c r="AN211" i="3" s="1"/>
  <c r="R211" i="3"/>
  <c r="V211" i="3"/>
  <c r="T211" i="3"/>
  <c r="P211" i="3"/>
  <c r="AV208" i="3"/>
  <c r="BC208" i="3" s="1"/>
  <c r="BA208" i="3"/>
  <c r="AO210" i="3"/>
  <c r="BM210" i="3"/>
  <c r="AU209" i="3"/>
  <c r="AG211" i="3" l="1"/>
  <c r="AY209" i="3"/>
  <c r="AW210" i="3"/>
  <c r="AR212" i="3"/>
  <c r="AQ212" i="3"/>
  <c r="A213" i="3"/>
  <c r="B212" i="3"/>
  <c r="C212" i="3"/>
  <c r="D212" i="3"/>
  <c r="F212" i="3"/>
  <c r="G212" i="3"/>
  <c r="H212" i="3" s="1"/>
  <c r="Q212" i="3"/>
  <c r="S212" i="3"/>
  <c r="O212" i="3"/>
  <c r="U212" i="3"/>
  <c r="AD212" i="3"/>
  <c r="AE212" i="3"/>
  <c r="M212" i="3"/>
  <c r="AF212" i="3"/>
  <c r="AK212" i="3"/>
  <c r="AM212" i="3"/>
  <c r="P212" i="3"/>
  <c r="T212" i="3"/>
  <c r="R212" i="3"/>
  <c r="V212" i="3"/>
  <c r="AX210" i="3"/>
  <c r="BJ206" i="3"/>
  <c r="BK206" i="3" s="1"/>
  <c r="BF208" i="3"/>
  <c r="BJ207" i="3" s="1"/>
  <c r="BK207" i="3" s="1"/>
  <c r="BB208" i="3"/>
  <c r="BQ208" i="3"/>
  <c r="BD208" i="3"/>
  <c r="BG208" i="3"/>
  <c r="BH208" i="3" s="1"/>
  <c r="BI208" i="3" s="1"/>
  <c r="AO211" i="3"/>
  <c r="BA209" i="3"/>
  <c r="AV209" i="3"/>
  <c r="AT210" i="3"/>
  <c r="Y211" i="3"/>
  <c r="Z211" i="3" s="1"/>
  <c r="X211" i="3"/>
  <c r="AU210" i="3"/>
  <c r="AH211" i="3"/>
  <c r="AT211" i="3" s="1"/>
  <c r="BM212" i="3" l="1"/>
  <c r="AN212" i="3"/>
  <c r="BC209" i="3"/>
  <c r="BG209" i="3" s="1"/>
  <c r="BH209" i="3" s="1"/>
  <c r="BI209" i="3" s="1"/>
  <c r="AY210" i="3"/>
  <c r="BN212" i="3"/>
  <c r="AW211" i="3"/>
  <c r="AU211" i="3"/>
  <c r="AV211" i="3" s="1"/>
  <c r="Y212" i="3"/>
  <c r="Z212" i="3" s="1"/>
  <c r="AH212" i="3"/>
  <c r="AT212" i="3" s="1"/>
  <c r="AV210" i="3"/>
  <c r="BA210" i="3"/>
  <c r="X212" i="3"/>
  <c r="AG212" i="3"/>
  <c r="B213" i="3"/>
  <c r="AQ213" i="3"/>
  <c r="A214" i="3"/>
  <c r="C213" i="3"/>
  <c r="AR213" i="3"/>
  <c r="D213" i="3"/>
  <c r="F213" i="3"/>
  <c r="G213" i="3"/>
  <c r="H213" i="3" s="1"/>
  <c r="Q213" i="3"/>
  <c r="S213" i="3"/>
  <c r="O213" i="3"/>
  <c r="U213" i="3"/>
  <c r="AE213" i="3"/>
  <c r="AD213" i="3"/>
  <c r="AF213" i="3"/>
  <c r="M213" i="3"/>
  <c r="AM213" i="3"/>
  <c r="AK213" i="3"/>
  <c r="R213" i="3"/>
  <c r="T213" i="3"/>
  <c r="P213" i="3"/>
  <c r="V213" i="3"/>
  <c r="BD209" i="3"/>
  <c r="AX211" i="3"/>
  <c r="BQ209" i="3"/>
  <c r="BF209" i="3"/>
  <c r="BJ208" i="3" s="1"/>
  <c r="BK208" i="3" s="1"/>
  <c r="BB209" i="3"/>
  <c r="AO212" i="3"/>
  <c r="BA211" i="3" l="1"/>
  <c r="BB211" i="3" s="1"/>
  <c r="AO213" i="3"/>
  <c r="BC210" i="3"/>
  <c r="BD210" i="3" s="1"/>
  <c r="AH213" i="3"/>
  <c r="Y213" i="3"/>
  <c r="Z213" i="3" s="1"/>
  <c r="X213" i="3"/>
  <c r="BF211" i="3"/>
  <c r="BQ211" i="3"/>
  <c r="BF210" i="3"/>
  <c r="BJ209" i="3" s="1"/>
  <c r="BK209" i="3" s="1"/>
  <c r="BQ210" i="3"/>
  <c r="BB210" i="3"/>
  <c r="AX212" i="3"/>
  <c r="B214" i="3"/>
  <c r="AQ214" i="3"/>
  <c r="AR214" i="3"/>
  <c r="A215" i="3"/>
  <c r="D214" i="3"/>
  <c r="C214" i="3"/>
  <c r="F214" i="3"/>
  <c r="BM214" i="3" s="1"/>
  <c r="G214" i="3"/>
  <c r="H214" i="3" s="1"/>
  <c r="Q214" i="3"/>
  <c r="S214" i="3"/>
  <c r="O214" i="3"/>
  <c r="U214" i="3"/>
  <c r="AF214" i="3"/>
  <c r="AD214" i="3"/>
  <c r="M214" i="3"/>
  <c r="AE214" i="3"/>
  <c r="AM214" i="3"/>
  <c r="AK214" i="3"/>
  <c r="V214" i="3"/>
  <c r="P214" i="3"/>
  <c r="T214" i="3"/>
  <c r="R214" i="3"/>
  <c r="AG213" i="3"/>
  <c r="AU212" i="3"/>
  <c r="AV212" i="3" s="1"/>
  <c r="AN213" i="3"/>
  <c r="AY211" i="3"/>
  <c r="BC211" i="3" s="1"/>
  <c r="BN213" i="3"/>
  <c r="AW212" i="3"/>
  <c r="BM213" i="3"/>
  <c r="AX213" i="3" l="1"/>
  <c r="AO214" i="3"/>
  <c r="BG210" i="3"/>
  <c r="BH210" i="3" s="1"/>
  <c r="BI210" i="3" s="1"/>
  <c r="AW213" i="3"/>
  <c r="AY213" i="3" s="1"/>
  <c r="BA212" i="3"/>
  <c r="BD211" i="3"/>
  <c r="BG211" i="3"/>
  <c r="BH211" i="3" s="1"/>
  <c r="BI211" i="3" s="1"/>
  <c r="Y214" i="3"/>
  <c r="Z214" i="3" s="1"/>
  <c r="AQ215" i="3"/>
  <c r="B215" i="3"/>
  <c r="A216" i="3"/>
  <c r="AR215" i="3"/>
  <c r="C215" i="3"/>
  <c r="D215" i="3"/>
  <c r="F215" i="3"/>
  <c r="BM215" i="3" s="1"/>
  <c r="G215" i="3"/>
  <c r="H215" i="3" s="1"/>
  <c r="BN215" i="3" s="1"/>
  <c r="Q215" i="3"/>
  <c r="S215" i="3"/>
  <c r="O215" i="3"/>
  <c r="U215" i="3"/>
  <c r="AE215" i="3"/>
  <c r="AM215" i="3"/>
  <c r="M215" i="3"/>
  <c r="AD215" i="3"/>
  <c r="AF215" i="3"/>
  <c r="AK215" i="3"/>
  <c r="V215" i="3"/>
  <c r="R215" i="3"/>
  <c r="T215" i="3"/>
  <c r="P215" i="3"/>
  <c r="AN214" i="3"/>
  <c r="AU213" i="3"/>
  <c r="AG214" i="3"/>
  <c r="BN214" i="3"/>
  <c r="AT213" i="3"/>
  <c r="AY212" i="3"/>
  <c r="BC212" i="3" s="1"/>
  <c r="BJ210" i="3"/>
  <c r="BK210" i="3" s="1"/>
  <c r="BF212" i="3"/>
  <c r="BJ211" i="3" s="1"/>
  <c r="BK211" i="3" s="1"/>
  <c r="BB212" i="3"/>
  <c r="BQ212" i="3"/>
  <c r="AH214" i="3"/>
  <c r="X214" i="3"/>
  <c r="AO215" i="3" l="1"/>
  <c r="Y215" i="3"/>
  <c r="Z215" i="3" s="1"/>
  <c r="AW214" i="3"/>
  <c r="BD212" i="3"/>
  <c r="BG212" i="3"/>
  <c r="BH212" i="3" s="1"/>
  <c r="BI212" i="3" s="1"/>
  <c r="B216" i="3"/>
  <c r="AR216" i="3"/>
  <c r="A217" i="3"/>
  <c r="AQ216" i="3"/>
  <c r="C216" i="3"/>
  <c r="D216" i="3"/>
  <c r="G216" i="3"/>
  <c r="H216" i="3" s="1"/>
  <c r="F216" i="3"/>
  <c r="Q216" i="3"/>
  <c r="S216" i="3"/>
  <c r="O216" i="3"/>
  <c r="U216" i="3"/>
  <c r="AE216" i="3"/>
  <c r="AF216" i="3"/>
  <c r="M216" i="3"/>
  <c r="AK216" i="3"/>
  <c r="AD216" i="3"/>
  <c r="AM216" i="3"/>
  <c r="AN216" i="3" s="1"/>
  <c r="R216" i="3"/>
  <c r="T216" i="3"/>
  <c r="V216" i="3"/>
  <c r="P216" i="3"/>
  <c r="AU214" i="3"/>
  <c r="AT214" i="3"/>
  <c r="AN215" i="3"/>
  <c r="AH215" i="3"/>
  <c r="AG215" i="3"/>
  <c r="X215" i="3"/>
  <c r="AV213" i="3"/>
  <c r="BC213" i="3" s="1"/>
  <c r="BA213" i="3"/>
  <c r="AX214" i="3"/>
  <c r="AY214" i="3" l="1"/>
  <c r="AW215" i="3"/>
  <c r="Y216" i="3"/>
  <c r="Z216" i="3" s="1"/>
  <c r="AG216" i="3"/>
  <c r="AT215" i="3"/>
  <c r="X216" i="3"/>
  <c r="AR217" i="3"/>
  <c r="B217" i="3"/>
  <c r="AQ217" i="3"/>
  <c r="A218" i="3"/>
  <c r="D217" i="3"/>
  <c r="C217" i="3"/>
  <c r="F217" i="3"/>
  <c r="G217" i="3"/>
  <c r="H217" i="3" s="1"/>
  <c r="Q217" i="3"/>
  <c r="S217" i="3"/>
  <c r="O217" i="3"/>
  <c r="U217" i="3"/>
  <c r="AD217" i="3"/>
  <c r="AF217" i="3"/>
  <c r="AE217" i="3"/>
  <c r="M217" i="3"/>
  <c r="AM217" i="3"/>
  <c r="AK217" i="3"/>
  <c r="V217" i="3"/>
  <c r="P217" i="3"/>
  <c r="T217" i="3"/>
  <c r="R217" i="3"/>
  <c r="AV214" i="3"/>
  <c r="BC214" i="3" s="1"/>
  <c r="BA214" i="3"/>
  <c r="AH216" i="3"/>
  <c r="AX215" i="3"/>
  <c r="AY215" i="3" s="1"/>
  <c r="AO216" i="3"/>
  <c r="BM216" i="3"/>
  <c r="BB213" i="3"/>
  <c r="BQ213" i="3"/>
  <c r="BF213" i="3"/>
  <c r="BJ212" i="3" s="1"/>
  <c r="BK212" i="3" s="1"/>
  <c r="BD213" i="3"/>
  <c r="BG213" i="3"/>
  <c r="BH213" i="3" s="1"/>
  <c r="BI213" i="3" s="1"/>
  <c r="AU215" i="3"/>
  <c r="AV215" i="3" s="1"/>
  <c r="BN216" i="3"/>
  <c r="BN217" i="3" l="1"/>
  <c r="BM217" i="3"/>
  <c r="AO217" i="3"/>
  <c r="Y217" i="3"/>
  <c r="Z217" i="3" s="1"/>
  <c r="BC215" i="3"/>
  <c r="BD215" i="3" s="1"/>
  <c r="AX216" i="3"/>
  <c r="AG217" i="3"/>
  <c r="BG215" i="3"/>
  <c r="BH215" i="3" s="1"/>
  <c r="BI215" i="3" s="1"/>
  <c r="AT216" i="3"/>
  <c r="AN217" i="3"/>
  <c r="BD214" i="3"/>
  <c r="BG214" i="3"/>
  <c r="BH214" i="3" s="1"/>
  <c r="BI214" i="3" s="1"/>
  <c r="AW216" i="3"/>
  <c r="AU216" i="3"/>
  <c r="BB214" i="3"/>
  <c r="BF214" i="3"/>
  <c r="BJ213" i="3" s="1"/>
  <c r="BK213" i="3" s="1"/>
  <c r="BQ214" i="3"/>
  <c r="AH217" i="3"/>
  <c r="BA215" i="3"/>
  <c r="X217" i="3"/>
  <c r="B218" i="3"/>
  <c r="AQ218" i="3"/>
  <c r="C218" i="3"/>
  <c r="A219" i="3"/>
  <c r="AR218" i="3"/>
  <c r="D218" i="3"/>
  <c r="F218" i="3"/>
  <c r="G218" i="3"/>
  <c r="H218" i="3" s="1"/>
  <c r="BN218" i="3" s="1"/>
  <c r="Q218" i="3"/>
  <c r="S218" i="3"/>
  <c r="O218" i="3"/>
  <c r="U218" i="3"/>
  <c r="AF218" i="3"/>
  <c r="M218" i="3"/>
  <c r="AD218" i="3"/>
  <c r="AE218" i="3"/>
  <c r="AK218" i="3"/>
  <c r="AM218" i="3"/>
  <c r="AN218" i="3" s="1"/>
  <c r="P218" i="3"/>
  <c r="V218" i="3"/>
  <c r="R218" i="3"/>
  <c r="T218" i="3"/>
  <c r="AH218" i="3" l="1"/>
  <c r="AX217" i="3"/>
  <c r="AY216" i="3"/>
  <c r="X218" i="3"/>
  <c r="AW217" i="3"/>
  <c r="AY217" i="3" s="1"/>
  <c r="AT217" i="3"/>
  <c r="AO218" i="3"/>
  <c r="AV216" i="3"/>
  <c r="BC216" i="3" s="1"/>
  <c r="BA216" i="3"/>
  <c r="AQ219" i="3"/>
  <c r="B219" i="3"/>
  <c r="A220" i="3"/>
  <c r="AR219" i="3"/>
  <c r="C219" i="3"/>
  <c r="D219" i="3"/>
  <c r="F219" i="3"/>
  <c r="BM219" i="3" s="1"/>
  <c r="G219" i="3"/>
  <c r="H219" i="3" s="1"/>
  <c r="Q219" i="3"/>
  <c r="S219" i="3"/>
  <c r="O219" i="3"/>
  <c r="U219" i="3"/>
  <c r="AD219" i="3"/>
  <c r="AE219" i="3"/>
  <c r="M219" i="3"/>
  <c r="AF219" i="3"/>
  <c r="AM219" i="3"/>
  <c r="AK219" i="3"/>
  <c r="AO219" i="3" s="1"/>
  <c r="T219" i="3"/>
  <c r="R219" i="3"/>
  <c r="V219" i="3"/>
  <c r="P219" i="3"/>
  <c r="AG218" i="3"/>
  <c r="AU217" i="3"/>
  <c r="BM218" i="3"/>
  <c r="BQ215" i="3"/>
  <c r="BB215" i="3"/>
  <c r="BF215" i="3"/>
  <c r="BJ214" i="3" s="1"/>
  <c r="BK214" i="3" s="1"/>
  <c r="Y218" i="3"/>
  <c r="Z218" i="3" s="1"/>
  <c r="AW218" i="3" l="1"/>
  <c r="BN219" i="3"/>
  <c r="AU218" i="3"/>
  <c r="BB216" i="3"/>
  <c r="BQ216" i="3"/>
  <c r="BF216" i="3"/>
  <c r="BJ215" i="3" s="1"/>
  <c r="BK215" i="3" s="1"/>
  <c r="BD216" i="3"/>
  <c r="BG216" i="3"/>
  <c r="BH216" i="3" s="1"/>
  <c r="BI216" i="3" s="1"/>
  <c r="AG219" i="3"/>
  <c r="AH219" i="3"/>
  <c r="BA217" i="3"/>
  <c r="AV217" i="3"/>
  <c r="BC217" i="3" s="1"/>
  <c r="AN219" i="3"/>
  <c r="AX218" i="3"/>
  <c r="AY218" i="3" s="1"/>
  <c r="Y219" i="3"/>
  <c r="Z219" i="3" s="1"/>
  <c r="X219" i="3"/>
  <c r="A221" i="3"/>
  <c r="B220" i="3"/>
  <c r="AQ220" i="3"/>
  <c r="AR220" i="3"/>
  <c r="C220" i="3"/>
  <c r="D220" i="3"/>
  <c r="G220" i="3"/>
  <c r="H220" i="3" s="1"/>
  <c r="BN220" i="3" s="1"/>
  <c r="F220" i="3"/>
  <c r="BM220" i="3" s="1"/>
  <c r="Q220" i="3"/>
  <c r="S220" i="3"/>
  <c r="O220" i="3"/>
  <c r="U220" i="3"/>
  <c r="AF220" i="3"/>
  <c r="AD220" i="3"/>
  <c r="AM220" i="3"/>
  <c r="M220" i="3"/>
  <c r="AE220" i="3"/>
  <c r="AK220" i="3"/>
  <c r="T220" i="3"/>
  <c r="R220" i="3"/>
  <c r="P220" i="3"/>
  <c r="V220" i="3"/>
  <c r="AT218" i="3"/>
  <c r="AW219" i="3" l="1"/>
  <c r="AN220" i="3"/>
  <c r="AH220" i="3"/>
  <c r="Y220" i="3"/>
  <c r="Z220" i="3" s="1"/>
  <c r="AT219" i="3"/>
  <c r="AV218" i="3"/>
  <c r="BC218" i="3" s="1"/>
  <c r="BA218" i="3"/>
  <c r="X220" i="3"/>
  <c r="BD217" i="3"/>
  <c r="BG217" i="3"/>
  <c r="BH217" i="3" s="1"/>
  <c r="BI217" i="3" s="1"/>
  <c r="AO220" i="3"/>
  <c r="BQ217" i="3"/>
  <c r="BF217" i="3"/>
  <c r="BJ216" i="3" s="1"/>
  <c r="BK216" i="3" s="1"/>
  <c r="BB217" i="3"/>
  <c r="AG220" i="3"/>
  <c r="AT220" i="3" s="1"/>
  <c r="D221" i="3"/>
  <c r="C221" i="3"/>
  <c r="AR221" i="3"/>
  <c r="B221" i="3"/>
  <c r="AQ221" i="3"/>
  <c r="A222" i="3"/>
  <c r="G221" i="3"/>
  <c r="H221" i="3" s="1"/>
  <c r="F221" i="3"/>
  <c r="S221" i="3"/>
  <c r="Q221" i="3"/>
  <c r="O221" i="3"/>
  <c r="U221" i="3"/>
  <c r="AD221" i="3"/>
  <c r="AE221" i="3"/>
  <c r="M221" i="3"/>
  <c r="AM221" i="3"/>
  <c r="AK221" i="3"/>
  <c r="AF221" i="3"/>
  <c r="V221" i="3"/>
  <c r="P221" i="3"/>
  <c r="R221" i="3"/>
  <c r="T221" i="3"/>
  <c r="AX219" i="3"/>
  <c r="AY219" i="3" s="1"/>
  <c r="AU219" i="3"/>
  <c r="AG221" i="3" l="1"/>
  <c r="BN221" i="3"/>
  <c r="AN221" i="3"/>
  <c r="AX220" i="3"/>
  <c r="AO221" i="3"/>
  <c r="BB218" i="3"/>
  <c r="BF218" i="3"/>
  <c r="BJ217" i="3" s="1"/>
  <c r="BK217" i="3" s="1"/>
  <c r="BQ218" i="3"/>
  <c r="X221" i="3"/>
  <c r="BD218" i="3"/>
  <c r="BG218" i="3"/>
  <c r="BH218" i="3" s="1"/>
  <c r="BI218" i="3" s="1"/>
  <c r="Y221" i="3"/>
  <c r="Z221" i="3" s="1"/>
  <c r="B222" i="3"/>
  <c r="AQ222" i="3"/>
  <c r="A223" i="3"/>
  <c r="C222" i="3"/>
  <c r="AR222" i="3"/>
  <c r="D222" i="3"/>
  <c r="G222" i="3"/>
  <c r="H222" i="3" s="1"/>
  <c r="BN222" i="3" s="1"/>
  <c r="F222" i="3"/>
  <c r="Q222" i="3"/>
  <c r="S222" i="3"/>
  <c r="O222" i="3"/>
  <c r="U222" i="3"/>
  <c r="AE222" i="3"/>
  <c r="AF222" i="3"/>
  <c r="M222" i="3"/>
  <c r="AD222" i="3"/>
  <c r="AM222" i="3"/>
  <c r="AK222" i="3"/>
  <c r="P222" i="3"/>
  <c r="V222" i="3"/>
  <c r="T222" i="3"/>
  <c r="R222" i="3"/>
  <c r="BA219" i="3"/>
  <c r="AV219" i="3"/>
  <c r="BC219" i="3" s="1"/>
  <c r="AH221" i="3"/>
  <c r="AX221" i="3" s="1"/>
  <c r="BM221" i="3"/>
  <c r="AW220" i="3"/>
  <c r="AY220" i="3" s="1"/>
  <c r="AU220" i="3"/>
  <c r="AV220" i="3" s="1"/>
  <c r="AO222" i="3" l="1"/>
  <c r="BC220" i="3"/>
  <c r="BD220" i="3" s="1"/>
  <c r="X222" i="3"/>
  <c r="Y222" i="3"/>
  <c r="Z222" i="3" s="1"/>
  <c r="AH222" i="3"/>
  <c r="BG220" i="3"/>
  <c r="BH220" i="3" s="1"/>
  <c r="BI220" i="3" s="1"/>
  <c r="BM222" i="3"/>
  <c r="BA220" i="3"/>
  <c r="AQ223" i="3"/>
  <c r="B223" i="3"/>
  <c r="AR223" i="3"/>
  <c r="C223" i="3"/>
  <c r="D223" i="3"/>
  <c r="A224" i="3"/>
  <c r="G223" i="3"/>
  <c r="H223" i="3" s="1"/>
  <c r="BN223" i="3" s="1"/>
  <c r="F223" i="3"/>
  <c r="BM223" i="3" s="1"/>
  <c r="Q223" i="3"/>
  <c r="S223" i="3"/>
  <c r="O223" i="3"/>
  <c r="U223" i="3"/>
  <c r="AE223" i="3"/>
  <c r="M223" i="3"/>
  <c r="AF223" i="3"/>
  <c r="AD223" i="3"/>
  <c r="AK223" i="3"/>
  <c r="AM223" i="3"/>
  <c r="T223" i="3"/>
  <c r="R223" i="3"/>
  <c r="P223" i="3"/>
  <c r="V223" i="3"/>
  <c r="AN222" i="3"/>
  <c r="BF219" i="3"/>
  <c r="BJ218" i="3" s="1"/>
  <c r="BK218" i="3" s="1"/>
  <c r="BB219" i="3"/>
  <c r="BQ219" i="3"/>
  <c r="AT221" i="3"/>
  <c r="AU221" i="3"/>
  <c r="BD219" i="3"/>
  <c r="BG219" i="3"/>
  <c r="BH219" i="3" s="1"/>
  <c r="BI219" i="3" s="1"/>
  <c r="AG222" i="3"/>
  <c r="AW221" i="3"/>
  <c r="AY221" i="3" s="1"/>
  <c r="AT222" i="3" l="1"/>
  <c r="AW222" i="3"/>
  <c r="AH223" i="3"/>
  <c r="AX222" i="3"/>
  <c r="AN223" i="3"/>
  <c r="BB220" i="3"/>
  <c r="BQ220" i="3"/>
  <c r="BF220" i="3"/>
  <c r="BJ219" i="3" s="1"/>
  <c r="BK219" i="3" s="1"/>
  <c r="AO223" i="3"/>
  <c r="Y223" i="3"/>
  <c r="Z223" i="3" s="1"/>
  <c r="AR224" i="3"/>
  <c r="AQ224" i="3"/>
  <c r="D224" i="3"/>
  <c r="A225" i="3"/>
  <c r="C224" i="3"/>
  <c r="B224" i="3"/>
  <c r="F224" i="3"/>
  <c r="G224" i="3"/>
  <c r="H224" i="3" s="1"/>
  <c r="Q224" i="3"/>
  <c r="S224" i="3"/>
  <c r="O224" i="3"/>
  <c r="U224" i="3"/>
  <c r="AK224" i="3"/>
  <c r="AO224" i="3" s="1"/>
  <c r="M224" i="3"/>
  <c r="AE224" i="3"/>
  <c r="AD224" i="3"/>
  <c r="AF224" i="3"/>
  <c r="AM224" i="3"/>
  <c r="T224" i="3"/>
  <c r="R224" i="3"/>
  <c r="P224" i="3"/>
  <c r="V224" i="3"/>
  <c r="AU222" i="3"/>
  <c r="AV222" i="3" s="1"/>
  <c r="AV221" i="3"/>
  <c r="BC221" i="3" s="1"/>
  <c r="BA221" i="3"/>
  <c r="AG223" i="3"/>
  <c r="X223" i="3"/>
  <c r="AY222" i="3" l="1"/>
  <c r="BC222" i="3" s="1"/>
  <c r="Y224" i="3"/>
  <c r="Z224" i="3" s="1"/>
  <c r="BA222" i="3"/>
  <c r="BF222" i="3" s="1"/>
  <c r="AW223" i="3"/>
  <c r="X224" i="3"/>
  <c r="AN224" i="3"/>
  <c r="AX223" i="3"/>
  <c r="D225" i="3"/>
  <c r="C225" i="3"/>
  <c r="AR225" i="3"/>
  <c r="B225" i="3"/>
  <c r="AQ225" i="3"/>
  <c r="A226" i="3"/>
  <c r="G225" i="3"/>
  <c r="H225" i="3" s="1"/>
  <c r="F225" i="3"/>
  <c r="Q225" i="3"/>
  <c r="S225" i="3"/>
  <c r="O225" i="3"/>
  <c r="U225" i="3"/>
  <c r="AF225" i="3"/>
  <c r="AD225" i="3"/>
  <c r="AK225" i="3"/>
  <c r="AM225" i="3"/>
  <c r="M225" i="3"/>
  <c r="AE225" i="3"/>
  <c r="P225" i="3"/>
  <c r="R225" i="3"/>
  <c r="V225" i="3"/>
  <c r="T225" i="3"/>
  <c r="BQ221" i="3"/>
  <c r="BF221" i="3"/>
  <c r="BJ220" i="3" s="1"/>
  <c r="BK220" i="3" s="1"/>
  <c r="BB221" i="3"/>
  <c r="BD221" i="3"/>
  <c r="BG221" i="3"/>
  <c r="BH221" i="3" s="1"/>
  <c r="BI221" i="3" s="1"/>
  <c r="AH224" i="3"/>
  <c r="BN224" i="3"/>
  <c r="AU223" i="3"/>
  <c r="AG224" i="3"/>
  <c r="BM224" i="3"/>
  <c r="AT223" i="3"/>
  <c r="BG222" i="3" l="1"/>
  <c r="BH222" i="3" s="1"/>
  <c r="BI222" i="3" s="1"/>
  <c r="BD222" i="3"/>
  <c r="X225" i="3"/>
  <c r="Y225" i="3"/>
  <c r="Z225" i="3" s="1"/>
  <c r="AN225" i="3"/>
  <c r="AY223" i="3"/>
  <c r="AU224" i="3"/>
  <c r="BQ222" i="3"/>
  <c r="BB222" i="3"/>
  <c r="AW224" i="3"/>
  <c r="AX224" i="3"/>
  <c r="AT224" i="3"/>
  <c r="BM225" i="3"/>
  <c r="BA223" i="3"/>
  <c r="AV223" i="3"/>
  <c r="AO225" i="3"/>
  <c r="BN225" i="3"/>
  <c r="AG225" i="3"/>
  <c r="AH225" i="3"/>
  <c r="B226" i="3"/>
  <c r="AQ226" i="3"/>
  <c r="A227" i="3"/>
  <c r="C226" i="3"/>
  <c r="AR226" i="3"/>
  <c r="D226" i="3"/>
  <c r="G226" i="3"/>
  <c r="H226" i="3" s="1"/>
  <c r="BN226" i="3" s="1"/>
  <c r="F226" i="3"/>
  <c r="Q226" i="3"/>
  <c r="S226" i="3"/>
  <c r="O226" i="3"/>
  <c r="U226" i="3"/>
  <c r="AF226" i="3"/>
  <c r="AD226" i="3"/>
  <c r="M226" i="3"/>
  <c r="AK226" i="3"/>
  <c r="AE226" i="3"/>
  <c r="AM226" i="3"/>
  <c r="P226" i="3"/>
  <c r="V226" i="3"/>
  <c r="T226" i="3"/>
  <c r="R226" i="3"/>
  <c r="BJ221" i="3"/>
  <c r="BK221" i="3" s="1"/>
  <c r="BM226" i="3" l="1"/>
  <c r="BC223" i="3"/>
  <c r="AY224" i="3"/>
  <c r="AN226" i="3"/>
  <c r="AG226" i="3"/>
  <c r="AQ227" i="3"/>
  <c r="B227" i="3"/>
  <c r="AR227" i="3"/>
  <c r="D227" i="3"/>
  <c r="C227" i="3"/>
  <c r="A228" i="3"/>
  <c r="G227" i="3"/>
  <c r="H227" i="3" s="1"/>
  <c r="F227" i="3"/>
  <c r="Q227" i="3"/>
  <c r="S227" i="3"/>
  <c r="O227" i="3"/>
  <c r="U227" i="3"/>
  <c r="M227" i="3"/>
  <c r="AF227" i="3"/>
  <c r="AE227" i="3"/>
  <c r="AK227" i="3"/>
  <c r="AM227" i="3"/>
  <c r="AD227" i="3"/>
  <c r="T227" i="3"/>
  <c r="R227" i="3"/>
  <c r="V227" i="3"/>
  <c r="P227" i="3"/>
  <c r="BQ223" i="3"/>
  <c r="BF223" i="3"/>
  <c r="BJ222" i="3" s="1"/>
  <c r="BK222" i="3" s="1"/>
  <c r="BB223" i="3"/>
  <c r="AV224" i="3"/>
  <c r="BA224" i="3"/>
  <c r="AW225" i="3"/>
  <c r="AX225" i="3"/>
  <c r="AT225" i="3"/>
  <c r="AO226" i="3"/>
  <c r="AH226" i="3"/>
  <c r="AU226" i="3" s="1"/>
  <c r="Y226" i="3"/>
  <c r="Z226" i="3" s="1"/>
  <c r="X226" i="3"/>
  <c r="BG223" i="3"/>
  <c r="BH223" i="3" s="1"/>
  <c r="BI223" i="3" s="1"/>
  <c r="BD223" i="3"/>
  <c r="AU225" i="3"/>
  <c r="BC224" i="3" l="1"/>
  <c r="BG224" i="3" s="1"/>
  <c r="BH224" i="3" s="1"/>
  <c r="BI224" i="3" s="1"/>
  <c r="AX226" i="3"/>
  <c r="BM227" i="3"/>
  <c r="BN227" i="3"/>
  <c r="AN227" i="3"/>
  <c r="AH227" i="3"/>
  <c r="AW226" i="3"/>
  <c r="AT226" i="3"/>
  <c r="AV226" i="3" s="1"/>
  <c r="AO227" i="3"/>
  <c r="AY225" i="3"/>
  <c r="AR228" i="3"/>
  <c r="AQ228" i="3"/>
  <c r="C228" i="3"/>
  <c r="A229" i="3"/>
  <c r="B228" i="3"/>
  <c r="D228" i="3"/>
  <c r="F228" i="3"/>
  <c r="G228" i="3"/>
  <c r="H228" i="3" s="1"/>
  <c r="Q228" i="3"/>
  <c r="S228" i="3"/>
  <c r="O228" i="3"/>
  <c r="U228" i="3"/>
  <c r="AK228" i="3"/>
  <c r="AD228" i="3"/>
  <c r="AE228" i="3"/>
  <c r="AF228" i="3"/>
  <c r="M228" i="3"/>
  <c r="AM228" i="3"/>
  <c r="R228" i="3"/>
  <c r="P228" i="3"/>
  <c r="T228" i="3"/>
  <c r="V228" i="3"/>
  <c r="Y227" i="3"/>
  <c r="Z227" i="3" s="1"/>
  <c r="BB224" i="3"/>
  <c r="BQ224" i="3"/>
  <c r="BF224" i="3"/>
  <c r="BJ223" i="3" s="1"/>
  <c r="BK223" i="3" s="1"/>
  <c r="X227" i="3"/>
  <c r="AV225" i="3"/>
  <c r="BA225" i="3"/>
  <c r="AG227" i="3"/>
  <c r="BD224" i="3"/>
  <c r="BN228" i="3" l="1"/>
  <c r="AY226" i="3"/>
  <c r="BC226" i="3" s="1"/>
  <c r="BA226" i="3"/>
  <c r="BF226" i="3" s="1"/>
  <c r="AW227" i="3"/>
  <c r="AT227" i="3"/>
  <c r="AG228" i="3"/>
  <c r="AO228" i="3"/>
  <c r="AU227" i="3"/>
  <c r="BC225" i="3"/>
  <c r="BD225" i="3" s="1"/>
  <c r="X228" i="3"/>
  <c r="C229" i="3"/>
  <c r="D229" i="3"/>
  <c r="AR229" i="3"/>
  <c r="B229" i="3"/>
  <c r="AQ229" i="3"/>
  <c r="A230" i="3"/>
  <c r="F229" i="3"/>
  <c r="G229" i="3"/>
  <c r="H229" i="3" s="1"/>
  <c r="Q229" i="3"/>
  <c r="S229" i="3"/>
  <c r="O229" i="3"/>
  <c r="U229" i="3"/>
  <c r="M229" i="3"/>
  <c r="AF229" i="3"/>
  <c r="AD229" i="3"/>
  <c r="AK229" i="3"/>
  <c r="AM229" i="3"/>
  <c r="AE229" i="3"/>
  <c r="T229" i="3"/>
  <c r="R229" i="3"/>
  <c r="V229" i="3"/>
  <c r="P229" i="3"/>
  <c r="AN228" i="3"/>
  <c r="BM228" i="3"/>
  <c r="AX227" i="3"/>
  <c r="BF225" i="3"/>
  <c r="BJ224" i="3" s="1"/>
  <c r="BK224" i="3" s="1"/>
  <c r="BQ225" i="3"/>
  <c r="BB225" i="3"/>
  <c r="Y228" i="3"/>
  <c r="Z228" i="3" s="1"/>
  <c r="AH228" i="3"/>
  <c r="BB226" i="3" l="1"/>
  <c r="BQ226" i="3"/>
  <c r="BD226" i="3"/>
  <c r="BG226" i="3"/>
  <c r="BH226" i="3" s="1"/>
  <c r="BI226" i="3" s="1"/>
  <c r="BA227" i="3"/>
  <c r="BQ227" i="3" s="1"/>
  <c r="AV227" i="3"/>
  <c r="AT228" i="3"/>
  <c r="BG225" i="3"/>
  <c r="BH225" i="3" s="1"/>
  <c r="BI225" i="3" s="1"/>
  <c r="AN229" i="3"/>
  <c r="BM229" i="3"/>
  <c r="AG229" i="3"/>
  <c r="AX228" i="3"/>
  <c r="X229" i="3"/>
  <c r="Y229" i="3"/>
  <c r="Z229" i="3" s="1"/>
  <c r="AY227" i="3"/>
  <c r="BC227" i="3" s="1"/>
  <c r="BJ225" i="3"/>
  <c r="BK225" i="3" s="1"/>
  <c r="AU228" i="3"/>
  <c r="AO229" i="3"/>
  <c r="BN229" i="3"/>
  <c r="AH229" i="3"/>
  <c r="AW228" i="3"/>
  <c r="B230" i="3"/>
  <c r="AQ230" i="3"/>
  <c r="A231" i="3"/>
  <c r="C230" i="3"/>
  <c r="AR230" i="3"/>
  <c r="D230" i="3"/>
  <c r="F230" i="3"/>
  <c r="G230" i="3"/>
  <c r="H230" i="3" s="1"/>
  <c r="Q230" i="3"/>
  <c r="S230" i="3"/>
  <c r="O230" i="3"/>
  <c r="U230" i="3"/>
  <c r="AE230" i="3"/>
  <c r="AK230" i="3"/>
  <c r="M230" i="3"/>
  <c r="AD230" i="3"/>
  <c r="AF230" i="3"/>
  <c r="AM230" i="3"/>
  <c r="V230" i="3"/>
  <c r="P230" i="3"/>
  <c r="T230" i="3"/>
  <c r="R230" i="3"/>
  <c r="BB227" i="3" l="1"/>
  <c r="BF227" i="3"/>
  <c r="AT229" i="3"/>
  <c r="AY228" i="3"/>
  <c r="AO230" i="3"/>
  <c r="AU229" i="3"/>
  <c r="AV229" i="3" s="1"/>
  <c r="AW229" i="3"/>
  <c r="AG230" i="3"/>
  <c r="BA228" i="3"/>
  <c r="BQ228" i="3" s="1"/>
  <c r="AQ231" i="3"/>
  <c r="B231" i="3"/>
  <c r="AR231" i="3"/>
  <c r="C231" i="3"/>
  <c r="D231" i="3"/>
  <c r="A232" i="3"/>
  <c r="F231" i="3"/>
  <c r="BM231" i="3" s="1"/>
  <c r="G231" i="3"/>
  <c r="H231" i="3" s="1"/>
  <c r="Q231" i="3"/>
  <c r="S231" i="3"/>
  <c r="O231" i="3"/>
  <c r="U231" i="3"/>
  <c r="AF231" i="3"/>
  <c r="AD231" i="3"/>
  <c r="AE231" i="3"/>
  <c r="M231" i="3"/>
  <c r="AM231" i="3"/>
  <c r="AK231" i="3"/>
  <c r="V231" i="3"/>
  <c r="T231" i="3"/>
  <c r="R231" i="3"/>
  <c r="P231" i="3"/>
  <c r="AN230" i="3"/>
  <c r="AV228" i="3"/>
  <c r="X230" i="3"/>
  <c r="Y230" i="3"/>
  <c r="Z230" i="3" s="1"/>
  <c r="BJ226" i="3"/>
  <c r="BK226" i="3" s="1"/>
  <c r="AH230" i="3"/>
  <c r="BN230" i="3"/>
  <c r="BD227" i="3"/>
  <c r="BG227" i="3"/>
  <c r="BH227" i="3" s="1"/>
  <c r="BI227" i="3" s="1"/>
  <c r="BM230" i="3"/>
  <c r="AX229" i="3"/>
  <c r="BN231" i="3" l="1"/>
  <c r="BC228" i="3"/>
  <c r="BD228" i="3" s="1"/>
  <c r="AG231" i="3"/>
  <c r="AO231" i="3"/>
  <c r="BB228" i="3"/>
  <c r="AY229" i="3"/>
  <c r="BC229" i="3" s="1"/>
  <c r="BF228" i="3"/>
  <c r="BJ227" i="3" s="1"/>
  <c r="BK227" i="3" s="1"/>
  <c r="BA229" i="3"/>
  <c r="BF229" i="3" s="1"/>
  <c r="BJ228" i="3" s="1"/>
  <c r="BK228" i="3" s="1"/>
  <c r="AX230" i="3"/>
  <c r="AT230" i="3"/>
  <c r="AN231" i="3"/>
  <c r="AH231" i="3"/>
  <c r="AR232" i="3"/>
  <c r="AQ232" i="3"/>
  <c r="D232" i="3"/>
  <c r="A233" i="3"/>
  <c r="B232" i="3"/>
  <c r="C232" i="3"/>
  <c r="F232" i="3"/>
  <c r="BM232" i="3" s="1"/>
  <c r="G232" i="3"/>
  <c r="H232" i="3" s="1"/>
  <c r="Q232" i="3"/>
  <c r="S232" i="3"/>
  <c r="O232" i="3"/>
  <c r="U232" i="3"/>
  <c r="AE232" i="3"/>
  <c r="AD232" i="3"/>
  <c r="M232" i="3"/>
  <c r="AF232" i="3"/>
  <c r="AK232" i="3"/>
  <c r="AM232" i="3"/>
  <c r="P232" i="3"/>
  <c r="T232" i="3"/>
  <c r="R232" i="3"/>
  <c r="V232" i="3"/>
  <c r="AW230" i="3"/>
  <c r="X231" i="3"/>
  <c r="AU230" i="3"/>
  <c r="Y231" i="3"/>
  <c r="Z231" i="3" s="1"/>
  <c r="BG228" i="3" l="1"/>
  <c r="BH228" i="3" s="1"/>
  <c r="BI228" i="3" s="1"/>
  <c r="AT231" i="3"/>
  <c r="BQ229" i="3"/>
  <c r="BB229" i="3"/>
  <c r="AY230" i="3"/>
  <c r="AN232" i="3"/>
  <c r="X232" i="3"/>
  <c r="D233" i="3"/>
  <c r="C233" i="3"/>
  <c r="AR233" i="3"/>
  <c r="B233" i="3"/>
  <c r="AQ233" i="3"/>
  <c r="A234" i="3"/>
  <c r="G233" i="3"/>
  <c r="H233" i="3" s="1"/>
  <c r="F233" i="3"/>
  <c r="BM233" i="3" s="1"/>
  <c r="Q233" i="3"/>
  <c r="S233" i="3"/>
  <c r="O233" i="3"/>
  <c r="U233" i="3"/>
  <c r="AE233" i="3"/>
  <c r="AF233" i="3"/>
  <c r="AK233" i="3"/>
  <c r="AD233" i="3"/>
  <c r="M233" i="3"/>
  <c r="AM233" i="3"/>
  <c r="P233" i="3"/>
  <c r="R233" i="3"/>
  <c r="V233" i="3"/>
  <c r="T233" i="3"/>
  <c r="AV230" i="3"/>
  <c r="BA230" i="3"/>
  <c r="BN232" i="3"/>
  <c r="AX231" i="3"/>
  <c r="AU231" i="3"/>
  <c r="AV231" i="3" s="1"/>
  <c r="AH232" i="3"/>
  <c r="BD229" i="3"/>
  <c r="BG229" i="3"/>
  <c r="BH229" i="3" s="1"/>
  <c r="BI229" i="3" s="1"/>
  <c r="AO232" i="3"/>
  <c r="Y232" i="3"/>
  <c r="Z232" i="3" s="1"/>
  <c r="AG232" i="3"/>
  <c r="AW231" i="3"/>
  <c r="BN233" i="3" l="1"/>
  <c r="BC230" i="3"/>
  <c r="AU232" i="3"/>
  <c r="AO233" i="3"/>
  <c r="AH233" i="3"/>
  <c r="AY231" i="3"/>
  <c r="BC231" i="3" s="1"/>
  <c r="AX232" i="3"/>
  <c r="B234" i="3"/>
  <c r="AQ234" i="3"/>
  <c r="A235" i="3"/>
  <c r="D234" i="3"/>
  <c r="AR234" i="3"/>
  <c r="C234" i="3"/>
  <c r="F234" i="3"/>
  <c r="G234" i="3"/>
  <c r="H234" i="3" s="1"/>
  <c r="S234" i="3"/>
  <c r="Q234" i="3"/>
  <c r="O234" i="3"/>
  <c r="U234" i="3"/>
  <c r="AF234" i="3"/>
  <c r="AE234" i="3"/>
  <c r="M234" i="3"/>
  <c r="AM234" i="3"/>
  <c r="AD234" i="3"/>
  <c r="AK234" i="3"/>
  <c r="AO234" i="3" s="1"/>
  <c r="T234" i="3"/>
  <c r="R234" i="3"/>
  <c r="P234" i="3"/>
  <c r="V234" i="3"/>
  <c r="AG233" i="3"/>
  <c r="AT233" i="3" s="1"/>
  <c r="Y233" i="3"/>
  <c r="Z233" i="3" s="1"/>
  <c r="X233" i="3"/>
  <c r="AW232" i="3"/>
  <c r="AY232" i="3" s="1"/>
  <c r="AT232" i="3"/>
  <c r="BA231" i="3"/>
  <c r="BF230" i="3"/>
  <c r="BJ229" i="3" s="1"/>
  <c r="BK229" i="3" s="1"/>
  <c r="BB230" i="3"/>
  <c r="BQ230" i="3"/>
  <c r="AN233" i="3"/>
  <c r="AX233" i="3" s="1"/>
  <c r="BD230" i="3"/>
  <c r="BG230" i="3"/>
  <c r="BH230" i="3" s="1"/>
  <c r="BI230" i="3" s="1"/>
  <c r="AU233" i="3" l="1"/>
  <c r="BM234" i="3"/>
  <c r="BD231" i="3"/>
  <c r="BG231" i="3"/>
  <c r="BH231" i="3" s="1"/>
  <c r="BI231" i="3" s="1"/>
  <c r="X234" i="3"/>
  <c r="AQ235" i="3"/>
  <c r="B235" i="3"/>
  <c r="AR235" i="3"/>
  <c r="D235" i="3"/>
  <c r="C235" i="3"/>
  <c r="A236" i="3"/>
  <c r="F235" i="3"/>
  <c r="G235" i="3"/>
  <c r="H235" i="3" s="1"/>
  <c r="Q235" i="3"/>
  <c r="S235" i="3"/>
  <c r="O235" i="3"/>
  <c r="U235" i="3"/>
  <c r="AF235" i="3"/>
  <c r="AD235" i="3"/>
  <c r="AE235" i="3"/>
  <c r="AK235" i="3"/>
  <c r="M235" i="3"/>
  <c r="AM235" i="3"/>
  <c r="P235" i="3"/>
  <c r="T235" i="3"/>
  <c r="R235" i="3"/>
  <c r="V235" i="3"/>
  <c r="AV233" i="3"/>
  <c r="AV232" i="3"/>
  <c r="BC232" i="3" s="1"/>
  <c r="BA232" i="3"/>
  <c r="AN234" i="3"/>
  <c r="BN234" i="3"/>
  <c r="BF231" i="3"/>
  <c r="BJ230" i="3" s="1"/>
  <c r="BK230" i="3" s="1"/>
  <c r="BB231" i="3"/>
  <c r="BQ231" i="3"/>
  <c r="AH234" i="3"/>
  <c r="AW233" i="3"/>
  <c r="AY233" i="3" s="1"/>
  <c r="Y234" i="3"/>
  <c r="Z234" i="3" s="1"/>
  <c r="AG234" i="3"/>
  <c r="AG235" i="3" l="1"/>
  <c r="AT234" i="3"/>
  <c r="BM235" i="3"/>
  <c r="AU234" i="3"/>
  <c r="AV234" i="3" s="1"/>
  <c r="AW234" i="3"/>
  <c r="BC233" i="3"/>
  <c r="BD233" i="3" s="1"/>
  <c r="AO235" i="3"/>
  <c r="Y235" i="3"/>
  <c r="Z235" i="3" s="1"/>
  <c r="AH235" i="3"/>
  <c r="AT235" i="3" s="1"/>
  <c r="AR236" i="3"/>
  <c r="AQ236" i="3"/>
  <c r="D236" i="3"/>
  <c r="A237" i="3"/>
  <c r="B236" i="3"/>
  <c r="C236" i="3"/>
  <c r="G236" i="3"/>
  <c r="H236" i="3" s="1"/>
  <c r="F236" i="3"/>
  <c r="Q236" i="3"/>
  <c r="S236" i="3"/>
  <c r="O236" i="3"/>
  <c r="U236" i="3"/>
  <c r="AF236" i="3"/>
  <c r="M236" i="3"/>
  <c r="AE236" i="3"/>
  <c r="AD236" i="3"/>
  <c r="AM236" i="3"/>
  <c r="AK236" i="3"/>
  <c r="AO236" i="3" s="1"/>
  <c r="P236" i="3"/>
  <c r="V236" i="3"/>
  <c r="T236" i="3"/>
  <c r="R236" i="3"/>
  <c r="BQ232" i="3"/>
  <c r="BB232" i="3"/>
  <c r="BF232" i="3"/>
  <c r="BJ231" i="3" s="1"/>
  <c r="BK231" i="3" s="1"/>
  <c r="X235" i="3"/>
  <c r="BD232" i="3"/>
  <c r="BG232" i="3"/>
  <c r="BH232" i="3" s="1"/>
  <c r="BI232" i="3" s="1"/>
  <c r="AX234" i="3"/>
  <c r="AY234" i="3" s="1"/>
  <c r="BA233" i="3"/>
  <c r="AN235" i="3"/>
  <c r="BN235" i="3"/>
  <c r="BM236" i="3" l="1"/>
  <c r="BG233" i="3"/>
  <c r="BH233" i="3" s="1"/>
  <c r="BI233" i="3" s="1"/>
  <c r="AU235" i="3"/>
  <c r="AV235" i="3" s="1"/>
  <c r="C237" i="3"/>
  <c r="D237" i="3"/>
  <c r="AR237" i="3"/>
  <c r="B237" i="3"/>
  <c r="AQ237" i="3"/>
  <c r="A238" i="3"/>
  <c r="G237" i="3"/>
  <c r="H237" i="3" s="1"/>
  <c r="F237" i="3"/>
  <c r="Q237" i="3"/>
  <c r="S237" i="3"/>
  <c r="O237" i="3"/>
  <c r="U237" i="3"/>
  <c r="M237" i="3"/>
  <c r="AF237" i="3"/>
  <c r="AE237" i="3"/>
  <c r="AK237" i="3"/>
  <c r="AD237" i="3"/>
  <c r="AM237" i="3"/>
  <c r="AN237" i="3" s="1"/>
  <c r="R237" i="3"/>
  <c r="V237" i="3"/>
  <c r="P237" i="3"/>
  <c r="T237" i="3"/>
  <c r="AN236" i="3"/>
  <c r="BF233" i="3"/>
  <c r="BJ232" i="3" s="1"/>
  <c r="BK232" i="3" s="1"/>
  <c r="BB233" i="3"/>
  <c r="BQ233" i="3"/>
  <c r="AX235" i="3"/>
  <c r="Y236" i="3"/>
  <c r="Z236" i="3" s="1"/>
  <c r="BC234" i="3"/>
  <c r="AH236" i="3"/>
  <c r="BA234" i="3"/>
  <c r="AG236" i="3"/>
  <c r="BN236" i="3"/>
  <c r="X236" i="3"/>
  <c r="AW235" i="3"/>
  <c r="BM237" i="3" l="1"/>
  <c r="AY235" i="3"/>
  <c r="BC235" i="3" s="1"/>
  <c r="AT236" i="3"/>
  <c r="AO237" i="3"/>
  <c r="B238" i="3"/>
  <c r="AQ238" i="3"/>
  <c r="A239" i="3"/>
  <c r="C238" i="3"/>
  <c r="AR238" i="3"/>
  <c r="D238" i="3"/>
  <c r="G238" i="3"/>
  <c r="H238" i="3" s="1"/>
  <c r="F238" i="3"/>
  <c r="Q238" i="3"/>
  <c r="S238" i="3"/>
  <c r="O238" i="3"/>
  <c r="U238" i="3"/>
  <c r="AD238" i="3"/>
  <c r="AE238" i="3"/>
  <c r="AM238" i="3"/>
  <c r="AF238" i="3"/>
  <c r="AK238" i="3"/>
  <c r="M238" i="3"/>
  <c r="V238" i="3"/>
  <c r="T238" i="3"/>
  <c r="R238" i="3"/>
  <c r="P238" i="3"/>
  <c r="AU236" i="3"/>
  <c r="AV236" i="3" s="1"/>
  <c r="Y237" i="3"/>
  <c r="Z237" i="3" s="1"/>
  <c r="AH237" i="3"/>
  <c r="X237" i="3"/>
  <c r="BB234" i="3"/>
  <c r="BQ234" i="3"/>
  <c r="BF234" i="3"/>
  <c r="BJ233" i="3" s="1"/>
  <c r="BK233" i="3" s="1"/>
  <c r="BD234" i="3"/>
  <c r="BG234" i="3"/>
  <c r="BH234" i="3" s="1"/>
  <c r="BI234" i="3" s="1"/>
  <c r="AW236" i="3"/>
  <c r="AX236" i="3"/>
  <c r="AG237" i="3"/>
  <c r="AW237" i="3" s="1"/>
  <c r="BN237" i="3"/>
  <c r="BA235" i="3"/>
  <c r="AN238" i="3" l="1"/>
  <c r="AY236" i="3"/>
  <c r="BC236" i="3" s="1"/>
  <c r="AG238" i="3"/>
  <c r="X238" i="3"/>
  <c r="AO238" i="3"/>
  <c r="AH238" i="3"/>
  <c r="BD235" i="3"/>
  <c r="BG235" i="3"/>
  <c r="BH235" i="3" s="1"/>
  <c r="BI235" i="3" s="1"/>
  <c r="Y238" i="3"/>
  <c r="Z238" i="3" s="1"/>
  <c r="B239" i="3"/>
  <c r="AR239" i="3"/>
  <c r="D239" i="3"/>
  <c r="C239" i="3"/>
  <c r="AQ239" i="3"/>
  <c r="A240" i="3"/>
  <c r="F239" i="3"/>
  <c r="BM239" i="3" s="1"/>
  <c r="G239" i="3"/>
  <c r="H239" i="3" s="1"/>
  <c r="Q239" i="3"/>
  <c r="S239" i="3"/>
  <c r="O239" i="3"/>
  <c r="U239" i="3"/>
  <c r="AF239" i="3"/>
  <c r="M239" i="3"/>
  <c r="AD239" i="3"/>
  <c r="AE239" i="3"/>
  <c r="AK239" i="3"/>
  <c r="AM239" i="3"/>
  <c r="R239" i="3"/>
  <c r="T239" i="3"/>
  <c r="V239" i="3"/>
  <c r="P239" i="3"/>
  <c r="AX237" i="3"/>
  <c r="AY237" i="3" s="1"/>
  <c r="AT237" i="3"/>
  <c r="AU237" i="3"/>
  <c r="BM238" i="3"/>
  <c r="BA236" i="3"/>
  <c r="BF235" i="3"/>
  <c r="BJ234" i="3" s="1"/>
  <c r="BK234" i="3" s="1"/>
  <c r="BQ235" i="3"/>
  <c r="BB235" i="3"/>
  <c r="BN238" i="3"/>
  <c r="AX238" i="3" l="1"/>
  <c r="BN239" i="3"/>
  <c r="BG236" i="3"/>
  <c r="BH236" i="3" s="1"/>
  <c r="BI236" i="3" s="1"/>
  <c r="BD236" i="3"/>
  <c r="AH239" i="3"/>
  <c r="AT238" i="3"/>
  <c r="AW238" i="3"/>
  <c r="AO239" i="3"/>
  <c r="AU238" i="3"/>
  <c r="AG239" i="3"/>
  <c r="C240" i="3"/>
  <c r="A241" i="3"/>
  <c r="B240" i="3"/>
  <c r="AR240" i="3"/>
  <c r="AQ240" i="3"/>
  <c r="D240" i="3"/>
  <c r="F240" i="3"/>
  <c r="G240" i="3"/>
  <c r="H240" i="3" s="1"/>
  <c r="Q240" i="3"/>
  <c r="S240" i="3"/>
  <c r="O240" i="3"/>
  <c r="U240" i="3"/>
  <c r="AF240" i="3"/>
  <c r="AE240" i="3"/>
  <c r="M240" i="3"/>
  <c r="AD240" i="3"/>
  <c r="AK240" i="3"/>
  <c r="AM240" i="3"/>
  <c r="V240" i="3"/>
  <c r="T240" i="3"/>
  <c r="R240" i="3"/>
  <c r="P240" i="3"/>
  <c r="BQ236" i="3"/>
  <c r="BB236" i="3"/>
  <c r="BF236" i="3"/>
  <c r="BJ235" i="3" s="1"/>
  <c r="BK235" i="3" s="1"/>
  <c r="BA237" i="3"/>
  <c r="AV237" i="3"/>
  <c r="BC237" i="3" s="1"/>
  <c r="X239" i="3"/>
  <c r="Y239" i="3"/>
  <c r="Z239" i="3" s="1"/>
  <c r="AN239" i="3"/>
  <c r="AY238" i="3" l="1"/>
  <c r="BM240" i="3"/>
  <c r="BA238" i="3"/>
  <c r="BB238" i="3" s="1"/>
  <c r="AT239" i="3"/>
  <c r="AU239" i="3"/>
  <c r="AX239" i="3"/>
  <c r="AV238" i="3"/>
  <c r="BC238" i="3" s="1"/>
  <c r="BG238" i="3" s="1"/>
  <c r="BH238" i="3" s="1"/>
  <c r="BI238" i="3" s="1"/>
  <c r="AN240" i="3"/>
  <c r="AG240" i="3"/>
  <c r="X240" i="3"/>
  <c r="BB237" i="3"/>
  <c r="BF237" i="3"/>
  <c r="BJ236" i="3" s="1"/>
  <c r="BK236" i="3" s="1"/>
  <c r="BQ237" i="3"/>
  <c r="Y240" i="3"/>
  <c r="Z240" i="3" s="1"/>
  <c r="AR241" i="3"/>
  <c r="B241" i="3"/>
  <c r="AQ241" i="3"/>
  <c r="A242" i="3"/>
  <c r="C241" i="3"/>
  <c r="D241" i="3"/>
  <c r="F241" i="3"/>
  <c r="BM241" i="3" s="1"/>
  <c r="G241" i="3"/>
  <c r="H241" i="3" s="1"/>
  <c r="Q241" i="3"/>
  <c r="S241" i="3"/>
  <c r="O241" i="3"/>
  <c r="U241" i="3"/>
  <c r="AF241" i="3"/>
  <c r="AD241" i="3"/>
  <c r="AE241" i="3"/>
  <c r="M241" i="3"/>
  <c r="AM241" i="3"/>
  <c r="AK241" i="3"/>
  <c r="P241" i="3"/>
  <c r="R241" i="3"/>
  <c r="V241" i="3"/>
  <c r="T241" i="3"/>
  <c r="AO240" i="3"/>
  <c r="BD237" i="3"/>
  <c r="BG237" i="3"/>
  <c r="BH237" i="3" s="1"/>
  <c r="BI237" i="3" s="1"/>
  <c r="AH240" i="3"/>
  <c r="BN240" i="3"/>
  <c r="AW239" i="3"/>
  <c r="AV239" i="3" l="1"/>
  <c r="BF238" i="3"/>
  <c r="BJ237" i="3" s="1"/>
  <c r="BK237" i="3" s="1"/>
  <c r="BQ238" i="3"/>
  <c r="AY239" i="3"/>
  <c r="BC239" i="3" s="1"/>
  <c r="BN241" i="3"/>
  <c r="BD238" i="3"/>
  <c r="AU240" i="3"/>
  <c r="AN241" i="3"/>
  <c r="AG241" i="3"/>
  <c r="AT240" i="3"/>
  <c r="X241" i="3"/>
  <c r="B242" i="3"/>
  <c r="AQ242" i="3"/>
  <c r="A243" i="3"/>
  <c r="C242" i="3"/>
  <c r="D242" i="3"/>
  <c r="AR242" i="3"/>
  <c r="G242" i="3"/>
  <c r="H242" i="3" s="1"/>
  <c r="F242" i="3"/>
  <c r="Q242" i="3"/>
  <c r="S242" i="3"/>
  <c r="O242" i="3"/>
  <c r="U242" i="3"/>
  <c r="AD242" i="3"/>
  <c r="AF242" i="3"/>
  <c r="M242" i="3"/>
  <c r="AE242" i="3"/>
  <c r="AM242" i="3"/>
  <c r="AK242" i="3"/>
  <c r="R242" i="3"/>
  <c r="T242" i="3"/>
  <c r="P242" i="3"/>
  <c r="V242" i="3"/>
  <c r="AW240" i="3"/>
  <c r="AH241" i="3"/>
  <c r="BA239" i="3"/>
  <c r="Y241" i="3"/>
  <c r="Z241" i="3" s="1"/>
  <c r="AX240" i="3"/>
  <c r="AO241" i="3"/>
  <c r="BN242" i="3" l="1"/>
  <c r="AG242" i="3"/>
  <c r="AY240" i="3"/>
  <c r="AX241" i="3"/>
  <c r="AU241" i="3"/>
  <c r="AO242" i="3"/>
  <c r="X242" i="3"/>
  <c r="AW241" i="3"/>
  <c r="BB239" i="3"/>
  <c r="BF239" i="3"/>
  <c r="BJ238" i="3" s="1"/>
  <c r="BK238" i="3" s="1"/>
  <c r="BQ239" i="3"/>
  <c r="AN242" i="3"/>
  <c r="Y242" i="3"/>
  <c r="Z242" i="3" s="1"/>
  <c r="AV240" i="3"/>
  <c r="BC240" i="3" s="1"/>
  <c r="BA240" i="3"/>
  <c r="AR243" i="3"/>
  <c r="D243" i="3"/>
  <c r="C243" i="3"/>
  <c r="AQ243" i="3"/>
  <c r="B243" i="3"/>
  <c r="A244" i="3"/>
  <c r="G243" i="3"/>
  <c r="H243" i="3" s="1"/>
  <c r="F243" i="3"/>
  <c r="Q243" i="3"/>
  <c r="S243" i="3"/>
  <c r="O243" i="3"/>
  <c r="U243" i="3"/>
  <c r="AF243" i="3"/>
  <c r="M243" i="3"/>
  <c r="AE243" i="3"/>
  <c r="AD243" i="3"/>
  <c r="AK243" i="3"/>
  <c r="AM243" i="3"/>
  <c r="AN243" i="3" s="1"/>
  <c r="P243" i="3"/>
  <c r="T243" i="3"/>
  <c r="R243" i="3"/>
  <c r="V243" i="3"/>
  <c r="BM242" i="3"/>
  <c r="BD239" i="3"/>
  <c r="BG239" i="3"/>
  <c r="BH239" i="3" s="1"/>
  <c r="BI239" i="3" s="1"/>
  <c r="AH242" i="3"/>
  <c r="AT241" i="3"/>
  <c r="AY241" i="3" l="1"/>
  <c r="BA241" i="3"/>
  <c r="AV241" i="3"/>
  <c r="BC241" i="3" s="1"/>
  <c r="X243" i="3"/>
  <c r="AX242" i="3"/>
  <c r="Y243" i="3"/>
  <c r="Z243" i="3" s="1"/>
  <c r="AO243" i="3"/>
  <c r="BM243" i="3"/>
  <c r="BQ240" i="3"/>
  <c r="BF240" i="3"/>
  <c r="BJ239" i="3" s="1"/>
  <c r="BK239" i="3" s="1"/>
  <c r="BB240" i="3"/>
  <c r="BN243" i="3"/>
  <c r="BD240" i="3"/>
  <c r="BG240" i="3"/>
  <c r="BH240" i="3" s="1"/>
  <c r="BI240" i="3" s="1"/>
  <c r="AW242" i="3"/>
  <c r="C244" i="3"/>
  <c r="A245" i="3"/>
  <c r="B244" i="3"/>
  <c r="AR244" i="3"/>
  <c r="AQ244" i="3"/>
  <c r="D244" i="3"/>
  <c r="F244" i="3"/>
  <c r="G244" i="3"/>
  <c r="H244" i="3" s="1"/>
  <c r="BN244" i="3" s="1"/>
  <c r="Q244" i="3"/>
  <c r="S244" i="3"/>
  <c r="O244" i="3"/>
  <c r="U244" i="3"/>
  <c r="AE244" i="3"/>
  <c r="M244" i="3"/>
  <c r="AF244" i="3"/>
  <c r="AD244" i="3"/>
  <c r="AK244" i="3"/>
  <c r="AM244" i="3"/>
  <c r="R244" i="3"/>
  <c r="P244" i="3"/>
  <c r="V244" i="3"/>
  <c r="T244" i="3"/>
  <c r="AT242" i="3"/>
  <c r="AH243" i="3"/>
  <c r="AG243" i="3"/>
  <c r="AU242" i="3"/>
  <c r="AY242" i="3" l="1"/>
  <c r="AH244" i="3"/>
  <c r="BM244" i="3"/>
  <c r="AX243" i="3"/>
  <c r="AO244" i="3"/>
  <c r="AU243" i="3"/>
  <c r="X244" i="3"/>
  <c r="AG244" i="3"/>
  <c r="Y244" i="3"/>
  <c r="Z244" i="3" s="1"/>
  <c r="AN244" i="3"/>
  <c r="AR245" i="3"/>
  <c r="B245" i="3"/>
  <c r="AQ245" i="3"/>
  <c r="A246" i="3"/>
  <c r="C245" i="3"/>
  <c r="D245" i="3"/>
  <c r="G245" i="3"/>
  <c r="H245" i="3" s="1"/>
  <c r="F245" i="3"/>
  <c r="Q245" i="3"/>
  <c r="S245" i="3"/>
  <c r="O245" i="3"/>
  <c r="U245" i="3"/>
  <c r="M245" i="3"/>
  <c r="AD245" i="3"/>
  <c r="AE245" i="3"/>
  <c r="AF245" i="3"/>
  <c r="AM245" i="3"/>
  <c r="AK245" i="3"/>
  <c r="R245" i="3"/>
  <c r="P245" i="3"/>
  <c r="V245" i="3"/>
  <c r="T245" i="3"/>
  <c r="BA242" i="3"/>
  <c r="AV242" i="3"/>
  <c r="BC242" i="3" s="1"/>
  <c r="AW243" i="3"/>
  <c r="BD241" i="3"/>
  <c r="BG241" i="3"/>
  <c r="BH241" i="3" s="1"/>
  <c r="BI241" i="3" s="1"/>
  <c r="AT243" i="3"/>
  <c r="BQ241" i="3"/>
  <c r="BF241" i="3"/>
  <c r="BJ240" i="3" s="1"/>
  <c r="BK240" i="3" s="1"/>
  <c r="BB241" i="3"/>
  <c r="BM245" i="3" l="1"/>
  <c r="BN245" i="3"/>
  <c r="AX244" i="3"/>
  <c r="AY243" i="3"/>
  <c r="AN245" i="3"/>
  <c r="AW244" i="3"/>
  <c r="AY244" i="3" s="1"/>
  <c r="BD242" i="3"/>
  <c r="BG242" i="3"/>
  <c r="BH242" i="3" s="1"/>
  <c r="BI242" i="3" s="1"/>
  <c r="AV243" i="3"/>
  <c r="BC243" i="3" s="1"/>
  <c r="BA243" i="3"/>
  <c r="X245" i="3"/>
  <c r="B246" i="3"/>
  <c r="AQ246" i="3"/>
  <c r="A247" i="3"/>
  <c r="C246" i="3"/>
  <c r="D246" i="3"/>
  <c r="AR246" i="3"/>
  <c r="G246" i="3"/>
  <c r="H246" i="3" s="1"/>
  <c r="F246" i="3"/>
  <c r="Q246" i="3"/>
  <c r="S246" i="3"/>
  <c r="O246" i="3"/>
  <c r="U246" i="3"/>
  <c r="AF246" i="3"/>
  <c r="AE246" i="3"/>
  <c r="M246" i="3"/>
  <c r="AD246" i="3"/>
  <c r="AM246" i="3"/>
  <c r="AK246" i="3"/>
  <c r="R246" i="3"/>
  <c r="T246" i="3"/>
  <c r="P246" i="3"/>
  <c r="V246" i="3"/>
  <c r="AT244" i="3"/>
  <c r="AG245" i="3"/>
  <c r="BQ242" i="3"/>
  <c r="BF242" i="3"/>
  <c r="BJ241" i="3" s="1"/>
  <c r="BK241" i="3" s="1"/>
  <c r="BB242" i="3"/>
  <c r="Y245" i="3"/>
  <c r="Z245" i="3" s="1"/>
  <c r="AO245" i="3"/>
  <c r="AH245" i="3"/>
  <c r="AU244" i="3"/>
  <c r="BM246" i="3" l="1"/>
  <c r="BN246" i="3"/>
  <c r="AW245" i="3"/>
  <c r="AH246" i="3"/>
  <c r="AU245" i="3"/>
  <c r="AT245" i="3"/>
  <c r="AV245" i="3" s="1"/>
  <c r="AO246" i="3"/>
  <c r="AN246" i="3"/>
  <c r="AG246" i="3"/>
  <c r="AW246" i="3" s="1"/>
  <c r="X246" i="3"/>
  <c r="AX245" i="3"/>
  <c r="AV244" i="3"/>
  <c r="BC244" i="3" s="1"/>
  <c r="BA244" i="3"/>
  <c r="BF243" i="3"/>
  <c r="BJ242" i="3" s="1"/>
  <c r="BK242" i="3" s="1"/>
  <c r="BQ243" i="3"/>
  <c r="BB243" i="3"/>
  <c r="Y246" i="3"/>
  <c r="Z246" i="3" s="1"/>
  <c r="BD243" i="3"/>
  <c r="BG243" i="3"/>
  <c r="BH243" i="3" s="1"/>
  <c r="BI243" i="3" s="1"/>
  <c r="AR247" i="3"/>
  <c r="D247" i="3"/>
  <c r="C247" i="3"/>
  <c r="AQ247" i="3"/>
  <c r="B247" i="3"/>
  <c r="A248" i="3"/>
  <c r="G247" i="3"/>
  <c r="H247" i="3" s="1"/>
  <c r="F247" i="3"/>
  <c r="Q247" i="3"/>
  <c r="S247" i="3"/>
  <c r="O247" i="3"/>
  <c r="U247" i="3"/>
  <c r="M247" i="3"/>
  <c r="AE247" i="3"/>
  <c r="AD247" i="3"/>
  <c r="AK247" i="3"/>
  <c r="AM247" i="3"/>
  <c r="AF247" i="3"/>
  <c r="R247" i="3"/>
  <c r="P247" i="3"/>
  <c r="T247" i="3"/>
  <c r="V247" i="3"/>
  <c r="AN247" i="3" l="1"/>
  <c r="BA245" i="3"/>
  <c r="AG247" i="3"/>
  <c r="AX246" i="3"/>
  <c r="BQ245" i="3"/>
  <c r="BF245" i="3"/>
  <c r="BB245" i="3"/>
  <c r="AY246" i="3"/>
  <c r="BQ244" i="3"/>
  <c r="BB244" i="3"/>
  <c r="BF244" i="3"/>
  <c r="BJ243" i="3" s="1"/>
  <c r="BK243" i="3" s="1"/>
  <c r="X247" i="3"/>
  <c r="BG244" i="3"/>
  <c r="BH244" i="3" s="1"/>
  <c r="BI244" i="3" s="1"/>
  <c r="BD244" i="3"/>
  <c r="BM247" i="3"/>
  <c r="AT246" i="3"/>
  <c r="AH247" i="3"/>
  <c r="BN247" i="3"/>
  <c r="AY245" i="3"/>
  <c r="BC245" i="3" s="1"/>
  <c r="AO247" i="3"/>
  <c r="Y247" i="3"/>
  <c r="Z247" i="3" s="1"/>
  <c r="C248" i="3"/>
  <c r="A249" i="3"/>
  <c r="B248" i="3"/>
  <c r="AR248" i="3"/>
  <c r="AQ248" i="3"/>
  <c r="D248" i="3"/>
  <c r="F248" i="3"/>
  <c r="G248" i="3"/>
  <c r="H248" i="3" s="1"/>
  <c r="BN248" i="3" s="1"/>
  <c r="Q248" i="3"/>
  <c r="S248" i="3"/>
  <c r="O248" i="3"/>
  <c r="U248" i="3"/>
  <c r="AE248" i="3"/>
  <c r="AD248" i="3"/>
  <c r="M248" i="3"/>
  <c r="AM248" i="3"/>
  <c r="AK248" i="3"/>
  <c r="AO248" i="3" s="1"/>
  <c r="AF248" i="3"/>
  <c r="P248" i="3"/>
  <c r="V248" i="3"/>
  <c r="T248" i="3"/>
  <c r="R248" i="3"/>
  <c r="AU246" i="3"/>
  <c r="AX247" i="3" l="1"/>
  <c r="BM248" i="3"/>
  <c r="AU247" i="3"/>
  <c r="BA246" i="3"/>
  <c r="AV246" i="3"/>
  <c r="BC246" i="3" s="1"/>
  <c r="AH248" i="3"/>
  <c r="Y248" i="3"/>
  <c r="Z248" i="3" s="1"/>
  <c r="AW247" i="3"/>
  <c r="AY247" i="3" s="1"/>
  <c r="AR249" i="3"/>
  <c r="B249" i="3"/>
  <c r="AQ249" i="3"/>
  <c r="A250" i="3"/>
  <c r="C249" i="3"/>
  <c r="D249" i="3"/>
  <c r="G249" i="3"/>
  <c r="H249" i="3" s="1"/>
  <c r="BN249" i="3" s="1"/>
  <c r="F249" i="3"/>
  <c r="BM249" i="3" s="1"/>
  <c r="Q249" i="3"/>
  <c r="S249" i="3"/>
  <c r="O249" i="3"/>
  <c r="U249" i="3"/>
  <c r="AD249" i="3"/>
  <c r="AF249" i="3"/>
  <c r="AE249" i="3"/>
  <c r="AG249" i="3" s="1"/>
  <c r="AM249" i="3"/>
  <c r="AK249" i="3"/>
  <c r="M249" i="3"/>
  <c r="R249" i="3"/>
  <c r="P249" i="3"/>
  <c r="V249" i="3"/>
  <c r="T249" i="3"/>
  <c r="AN248" i="3"/>
  <c r="AG248" i="3"/>
  <c r="X248" i="3"/>
  <c r="BG245" i="3"/>
  <c r="BH245" i="3" s="1"/>
  <c r="BI245" i="3" s="1"/>
  <c r="BD245" i="3"/>
  <c r="AT247" i="3"/>
  <c r="BJ244" i="3"/>
  <c r="BK244" i="3" s="1"/>
  <c r="AO249" i="3" l="1"/>
  <c r="AW248" i="3"/>
  <c r="AU248" i="3"/>
  <c r="AN249" i="3"/>
  <c r="Y249" i="3"/>
  <c r="Z249" i="3" s="1"/>
  <c r="AX248" i="3"/>
  <c r="AY248" i="3" s="1"/>
  <c r="AV247" i="3"/>
  <c r="BC247" i="3" s="1"/>
  <c r="BA247" i="3"/>
  <c r="X249" i="3"/>
  <c r="B250" i="3"/>
  <c r="AQ250" i="3"/>
  <c r="A251" i="3"/>
  <c r="D250" i="3"/>
  <c r="C250" i="3"/>
  <c r="AR250" i="3"/>
  <c r="G250" i="3"/>
  <c r="H250" i="3" s="1"/>
  <c r="BN250" i="3" s="1"/>
  <c r="F250" i="3"/>
  <c r="Q250" i="3"/>
  <c r="S250" i="3"/>
  <c r="O250" i="3"/>
  <c r="U250" i="3"/>
  <c r="AE250" i="3"/>
  <c r="AD250" i="3"/>
  <c r="M250" i="3"/>
  <c r="AF250" i="3"/>
  <c r="AK250" i="3"/>
  <c r="AM250" i="3"/>
  <c r="V250" i="3"/>
  <c r="T250" i="3"/>
  <c r="P250" i="3"/>
  <c r="R250" i="3"/>
  <c r="BD246" i="3"/>
  <c r="BG246" i="3"/>
  <c r="BH246" i="3" s="1"/>
  <c r="BI246" i="3" s="1"/>
  <c r="BB246" i="3"/>
  <c r="BQ246" i="3"/>
  <c r="BF246" i="3"/>
  <c r="BJ245" i="3" s="1"/>
  <c r="BK245" i="3" s="1"/>
  <c r="AH249" i="3"/>
  <c r="AX249" i="3" s="1"/>
  <c r="AT248" i="3"/>
  <c r="BM250" i="3" l="1"/>
  <c r="AT249" i="3"/>
  <c r="AO250" i="3"/>
  <c r="BF247" i="3"/>
  <c r="BJ246" i="3" s="1"/>
  <c r="BK246" i="3" s="1"/>
  <c r="BB247" i="3"/>
  <c r="BQ247" i="3"/>
  <c r="BD247" i="3"/>
  <c r="BG247" i="3"/>
  <c r="BH247" i="3" s="1"/>
  <c r="BI247" i="3" s="1"/>
  <c r="BA248" i="3"/>
  <c r="AV248" i="3"/>
  <c r="BC248" i="3" s="1"/>
  <c r="AH250" i="3"/>
  <c r="AG250" i="3"/>
  <c r="X250" i="3"/>
  <c r="Y250" i="3"/>
  <c r="Z250" i="3" s="1"/>
  <c r="AR251" i="3"/>
  <c r="D251" i="3"/>
  <c r="C251" i="3"/>
  <c r="AQ251" i="3"/>
  <c r="B251" i="3"/>
  <c r="A252" i="3"/>
  <c r="F251" i="3"/>
  <c r="G251" i="3"/>
  <c r="H251" i="3" s="1"/>
  <c r="Q251" i="3"/>
  <c r="S251" i="3"/>
  <c r="O251" i="3"/>
  <c r="U251" i="3"/>
  <c r="AF251" i="3"/>
  <c r="AE251" i="3"/>
  <c r="AD251" i="3"/>
  <c r="M251" i="3"/>
  <c r="AM251" i="3"/>
  <c r="AK251" i="3"/>
  <c r="T251" i="3"/>
  <c r="V251" i="3"/>
  <c r="P251" i="3"/>
  <c r="R251" i="3"/>
  <c r="AW249" i="3"/>
  <c r="AY249" i="3" s="1"/>
  <c r="AT250" i="3"/>
  <c r="AU249" i="3"/>
  <c r="AV249" i="3" s="1"/>
  <c r="AN250" i="3"/>
  <c r="BC249" i="3" l="1"/>
  <c r="BD249" i="3" s="1"/>
  <c r="AH251" i="3"/>
  <c r="BM251" i="3"/>
  <c r="BN251" i="3"/>
  <c r="AW250" i="3"/>
  <c r="AN251" i="3"/>
  <c r="BA249" i="3"/>
  <c r="D252" i="3"/>
  <c r="A253" i="3"/>
  <c r="B252" i="3"/>
  <c r="AR252" i="3"/>
  <c r="AQ252" i="3"/>
  <c r="C252" i="3"/>
  <c r="G252" i="3"/>
  <c r="H252" i="3" s="1"/>
  <c r="BN252" i="3" s="1"/>
  <c r="F252" i="3"/>
  <c r="BM252" i="3" s="1"/>
  <c r="Q252" i="3"/>
  <c r="S252" i="3"/>
  <c r="O252" i="3"/>
  <c r="U252" i="3"/>
  <c r="AF252" i="3"/>
  <c r="AD252" i="3"/>
  <c r="AE252" i="3"/>
  <c r="AM252" i="3"/>
  <c r="AK252" i="3"/>
  <c r="M252" i="3"/>
  <c r="T252" i="3"/>
  <c r="V252" i="3"/>
  <c r="P252" i="3"/>
  <c r="R252" i="3"/>
  <c r="X251" i="3"/>
  <c r="AX250" i="3"/>
  <c r="AG251" i="3"/>
  <c r="Y251" i="3"/>
  <c r="Z251" i="3" s="1"/>
  <c r="AU250" i="3"/>
  <c r="AV250" i="3" s="1"/>
  <c r="BD248" i="3"/>
  <c r="BG248" i="3"/>
  <c r="BH248" i="3" s="1"/>
  <c r="BI248" i="3" s="1"/>
  <c r="AO251" i="3"/>
  <c r="BQ248" i="3"/>
  <c r="BB248" i="3"/>
  <c r="BF248" i="3"/>
  <c r="BJ247" i="3" s="1"/>
  <c r="BK247" i="3" s="1"/>
  <c r="AG252" i="3" l="1"/>
  <c r="BG249" i="3"/>
  <c r="BH249" i="3" s="1"/>
  <c r="BI249" i="3" s="1"/>
  <c r="AT251" i="3"/>
  <c r="AY250" i="3"/>
  <c r="BC250" i="3" s="1"/>
  <c r="AO252" i="3"/>
  <c r="AU251" i="3"/>
  <c r="AX251" i="3"/>
  <c r="AV251" i="3"/>
  <c r="AH252" i="3"/>
  <c r="AU252" i="3" s="1"/>
  <c r="BF249" i="3"/>
  <c r="BJ248" i="3" s="1"/>
  <c r="BK248" i="3" s="1"/>
  <c r="BQ249" i="3"/>
  <c r="BB249" i="3"/>
  <c r="BA250" i="3"/>
  <c r="X252" i="3"/>
  <c r="AN252" i="3"/>
  <c r="Y252" i="3"/>
  <c r="Z252" i="3" s="1"/>
  <c r="AW251" i="3"/>
  <c r="AR253" i="3"/>
  <c r="B253" i="3"/>
  <c r="AQ253" i="3"/>
  <c r="A254" i="3"/>
  <c r="C253" i="3"/>
  <c r="D253" i="3"/>
  <c r="F253" i="3"/>
  <c r="BM253" i="3" s="1"/>
  <c r="G253" i="3"/>
  <c r="H253" i="3" s="1"/>
  <c r="Q253" i="3"/>
  <c r="S253" i="3"/>
  <c r="O253" i="3"/>
  <c r="U253" i="3"/>
  <c r="M253" i="3"/>
  <c r="AE253" i="3"/>
  <c r="AD253" i="3"/>
  <c r="AF253" i="3"/>
  <c r="AK253" i="3"/>
  <c r="AM253" i="3"/>
  <c r="P253" i="3"/>
  <c r="R253" i="3"/>
  <c r="T253" i="3"/>
  <c r="V253" i="3"/>
  <c r="BN253" i="3" l="1"/>
  <c r="AY251" i="3"/>
  <c r="AO253" i="3"/>
  <c r="AG253" i="3"/>
  <c r="AX252" i="3"/>
  <c r="X253" i="3"/>
  <c r="B254" i="3"/>
  <c r="AQ254" i="3"/>
  <c r="A255" i="3"/>
  <c r="C254" i="3"/>
  <c r="D254" i="3"/>
  <c r="AR254" i="3"/>
  <c r="F254" i="3"/>
  <c r="G254" i="3"/>
  <c r="H254" i="3" s="1"/>
  <c r="Q254" i="3"/>
  <c r="S254" i="3"/>
  <c r="O254" i="3"/>
  <c r="U254" i="3"/>
  <c r="AE254" i="3"/>
  <c r="M254" i="3"/>
  <c r="AD254" i="3"/>
  <c r="AK254" i="3"/>
  <c r="AM254" i="3"/>
  <c r="AF254" i="3"/>
  <c r="R254" i="3"/>
  <c r="P254" i="3"/>
  <c r="T254" i="3"/>
  <c r="V254" i="3"/>
  <c r="AT252" i="3"/>
  <c r="BD250" i="3"/>
  <c r="BG250" i="3"/>
  <c r="BH250" i="3" s="1"/>
  <c r="BI250" i="3" s="1"/>
  <c r="BF250" i="3"/>
  <c r="BJ249" i="3" s="1"/>
  <c r="BK249" i="3" s="1"/>
  <c r="BQ250" i="3"/>
  <c r="BB250" i="3"/>
  <c r="Y253" i="3"/>
  <c r="Z253" i="3" s="1"/>
  <c r="AN253" i="3"/>
  <c r="AW252" i="3"/>
  <c r="BA251" i="3"/>
  <c r="AH253" i="3"/>
  <c r="AX253" i="3" s="1"/>
  <c r="BC251" i="3"/>
  <c r="AT253" i="3" l="1"/>
  <c r="AN254" i="3"/>
  <c r="X254" i="3"/>
  <c r="AG254" i="3"/>
  <c r="AR255" i="3"/>
  <c r="D255" i="3"/>
  <c r="C255" i="3"/>
  <c r="AQ255" i="3"/>
  <c r="B255" i="3"/>
  <c r="A256" i="3"/>
  <c r="F255" i="3"/>
  <c r="G255" i="3"/>
  <c r="H255" i="3" s="1"/>
  <c r="Q255" i="3"/>
  <c r="S255" i="3"/>
  <c r="O255" i="3"/>
  <c r="U255" i="3"/>
  <c r="AF255" i="3"/>
  <c r="AD255" i="3"/>
  <c r="AE255" i="3"/>
  <c r="M255" i="3"/>
  <c r="AK255" i="3"/>
  <c r="AM255" i="3"/>
  <c r="V255" i="3"/>
  <c r="T255" i="3"/>
  <c r="P255" i="3"/>
  <c r="R255" i="3"/>
  <c r="BD251" i="3"/>
  <c r="BG251" i="3"/>
  <c r="BH251" i="3" s="1"/>
  <c r="BI251" i="3" s="1"/>
  <c r="AH254" i="3"/>
  <c r="BB251" i="3"/>
  <c r="BF251" i="3"/>
  <c r="BJ250" i="3" s="1"/>
  <c r="BK250" i="3" s="1"/>
  <c r="BQ251" i="3"/>
  <c r="AO254" i="3"/>
  <c r="BN254" i="3"/>
  <c r="BM254" i="3"/>
  <c r="AY252" i="3"/>
  <c r="BA252" i="3"/>
  <c r="AV252" i="3"/>
  <c r="AU253" i="3"/>
  <c r="Y254" i="3"/>
  <c r="Z254" i="3" s="1"/>
  <c r="AW253" i="3"/>
  <c r="AY253" i="3" s="1"/>
  <c r="AN255" i="3" l="1"/>
  <c r="AT254" i="3"/>
  <c r="BC252" i="3"/>
  <c r="BD252" i="3" s="1"/>
  <c r="BA253" i="3"/>
  <c r="BQ253" i="3" s="1"/>
  <c r="BM255" i="3"/>
  <c r="BN255" i="3"/>
  <c r="AU254" i="3"/>
  <c r="AV254" i="3" s="1"/>
  <c r="AW254" i="3"/>
  <c r="AG255" i="3"/>
  <c r="AH255" i="3"/>
  <c r="BG252" i="3"/>
  <c r="BH252" i="3" s="1"/>
  <c r="BI252" i="3" s="1"/>
  <c r="BF252" i="3"/>
  <c r="BJ251" i="3" s="1"/>
  <c r="BK251" i="3" s="1"/>
  <c r="BB252" i="3"/>
  <c r="BQ252" i="3"/>
  <c r="X255" i="3"/>
  <c r="AV253" i="3"/>
  <c r="BC253" i="3" s="1"/>
  <c r="Y255" i="3"/>
  <c r="Z255" i="3" s="1"/>
  <c r="D256" i="3"/>
  <c r="A257" i="3"/>
  <c r="B256" i="3"/>
  <c r="AR256" i="3"/>
  <c r="AQ256" i="3"/>
  <c r="C256" i="3"/>
  <c r="G256" i="3"/>
  <c r="H256" i="3" s="1"/>
  <c r="F256" i="3"/>
  <c r="Q256" i="3"/>
  <c r="S256" i="3"/>
  <c r="O256" i="3"/>
  <c r="U256" i="3"/>
  <c r="AD256" i="3"/>
  <c r="AE256" i="3"/>
  <c r="M256" i="3"/>
  <c r="AF256" i="3"/>
  <c r="AM256" i="3"/>
  <c r="AK256" i="3"/>
  <c r="P256" i="3"/>
  <c r="R256" i="3"/>
  <c r="T256" i="3"/>
  <c r="V256" i="3"/>
  <c r="AX254" i="3"/>
  <c r="AO255" i="3"/>
  <c r="BB253" i="3" l="1"/>
  <c r="BF253" i="3"/>
  <c r="BJ252" i="3" s="1"/>
  <c r="BK252" i="3" s="1"/>
  <c r="AY254" i="3"/>
  <c r="BM256" i="3"/>
  <c r="AO256" i="3"/>
  <c r="AX255" i="3"/>
  <c r="AW255" i="3"/>
  <c r="AR257" i="3"/>
  <c r="B257" i="3"/>
  <c r="AQ257" i="3"/>
  <c r="A258" i="3"/>
  <c r="D257" i="3"/>
  <c r="C257" i="3"/>
  <c r="G257" i="3"/>
  <c r="H257" i="3" s="1"/>
  <c r="BN257" i="3" s="1"/>
  <c r="F257" i="3"/>
  <c r="BM257" i="3" s="1"/>
  <c r="Q257" i="3"/>
  <c r="S257" i="3"/>
  <c r="O257" i="3"/>
  <c r="U257" i="3"/>
  <c r="AF257" i="3"/>
  <c r="AD257" i="3"/>
  <c r="M257" i="3"/>
  <c r="AE257" i="3"/>
  <c r="AK257" i="3"/>
  <c r="AM257" i="3"/>
  <c r="V257" i="3"/>
  <c r="P257" i="3"/>
  <c r="R257" i="3"/>
  <c r="T257" i="3"/>
  <c r="AN256" i="3"/>
  <c r="BN256" i="3"/>
  <c r="BC254" i="3"/>
  <c r="AG256" i="3"/>
  <c r="BD253" i="3"/>
  <c r="BG253" i="3"/>
  <c r="BH253" i="3" s="1"/>
  <c r="BI253" i="3" s="1"/>
  <c r="BA254" i="3"/>
  <c r="Y256" i="3"/>
  <c r="Z256" i="3" s="1"/>
  <c r="AH256" i="3"/>
  <c r="AU255" i="3"/>
  <c r="AT255" i="3"/>
  <c r="X256" i="3"/>
  <c r="AU256" i="3" l="1"/>
  <c r="AT256" i="3"/>
  <c r="AO257" i="3"/>
  <c r="AG257" i="3"/>
  <c r="AY255" i="3"/>
  <c r="AV256" i="3"/>
  <c r="Y257" i="3"/>
  <c r="Z257" i="3" s="1"/>
  <c r="AH257" i="3"/>
  <c r="AU257" i="3" s="1"/>
  <c r="BA255" i="3"/>
  <c r="AV255" i="3"/>
  <c r="X257" i="3"/>
  <c r="B258" i="3"/>
  <c r="AQ258" i="3"/>
  <c r="A259" i="3"/>
  <c r="D258" i="3"/>
  <c r="C258" i="3"/>
  <c r="AR258" i="3"/>
  <c r="F258" i="3"/>
  <c r="G258" i="3"/>
  <c r="H258" i="3" s="1"/>
  <c r="Q258" i="3"/>
  <c r="S258" i="3"/>
  <c r="O258" i="3"/>
  <c r="U258" i="3"/>
  <c r="AE258" i="3"/>
  <c r="M258" i="3"/>
  <c r="AD258" i="3"/>
  <c r="AM258" i="3"/>
  <c r="AF258" i="3"/>
  <c r="AK258" i="3"/>
  <c r="P258" i="3"/>
  <c r="T258" i="3"/>
  <c r="V258" i="3"/>
  <c r="R258" i="3"/>
  <c r="AX256" i="3"/>
  <c r="AW256" i="3"/>
  <c r="BD254" i="3"/>
  <c r="BG254" i="3"/>
  <c r="BH254" i="3" s="1"/>
  <c r="BI254" i="3" s="1"/>
  <c r="AN257" i="3"/>
  <c r="BB254" i="3"/>
  <c r="BF254" i="3"/>
  <c r="BJ253" i="3" s="1"/>
  <c r="BK253" i="3" s="1"/>
  <c r="BQ254" i="3"/>
  <c r="BN258" i="3" l="1"/>
  <c r="BM258" i="3"/>
  <c r="AY256" i="3"/>
  <c r="AH258" i="3"/>
  <c r="BC255" i="3"/>
  <c r="BD255" i="3" s="1"/>
  <c r="BA256" i="3"/>
  <c r="BQ256" i="3" s="1"/>
  <c r="AN258" i="3"/>
  <c r="AX257" i="3"/>
  <c r="Y258" i="3"/>
  <c r="Z258" i="3" s="1"/>
  <c r="AR259" i="3"/>
  <c r="C259" i="3"/>
  <c r="D259" i="3"/>
  <c r="AQ259" i="3"/>
  <c r="B259" i="3"/>
  <c r="A260" i="3"/>
  <c r="F259" i="3"/>
  <c r="G259" i="3"/>
  <c r="H259" i="3" s="1"/>
  <c r="Q259" i="3"/>
  <c r="S259" i="3"/>
  <c r="O259" i="3"/>
  <c r="U259" i="3"/>
  <c r="AD259" i="3"/>
  <c r="AE259" i="3"/>
  <c r="AF259" i="3"/>
  <c r="M259" i="3"/>
  <c r="AK259" i="3"/>
  <c r="AM259" i="3"/>
  <c r="P259" i="3"/>
  <c r="T259" i="3"/>
  <c r="R259" i="3"/>
  <c r="V259" i="3"/>
  <c r="BQ255" i="3"/>
  <c r="BF255" i="3"/>
  <c r="BJ254" i="3" s="1"/>
  <c r="BK254" i="3" s="1"/>
  <c r="BB255" i="3"/>
  <c r="AG258" i="3"/>
  <c r="X258" i="3"/>
  <c r="AO258" i="3"/>
  <c r="AT257" i="3"/>
  <c r="AW257" i="3"/>
  <c r="BC256" i="3"/>
  <c r="AU258" i="3" l="1"/>
  <c r="BG255" i="3"/>
  <c r="BH255" i="3" s="1"/>
  <c r="BI255" i="3" s="1"/>
  <c r="BF256" i="3"/>
  <c r="BN259" i="3"/>
  <c r="BM259" i="3"/>
  <c r="BB256" i="3"/>
  <c r="AO259" i="3"/>
  <c r="AT258" i="3"/>
  <c r="BA257" i="3"/>
  <c r="AV257" i="3"/>
  <c r="D260" i="3"/>
  <c r="A261" i="3"/>
  <c r="B260" i="3"/>
  <c r="AR260" i="3"/>
  <c r="AQ260" i="3"/>
  <c r="C260" i="3"/>
  <c r="F260" i="3"/>
  <c r="G260" i="3"/>
  <c r="H260" i="3" s="1"/>
  <c r="Q260" i="3"/>
  <c r="S260" i="3"/>
  <c r="O260" i="3"/>
  <c r="U260" i="3"/>
  <c r="AE260" i="3"/>
  <c r="AF260" i="3"/>
  <c r="M260" i="3"/>
  <c r="AD260" i="3"/>
  <c r="AK260" i="3"/>
  <c r="AM260" i="3"/>
  <c r="V260" i="3"/>
  <c r="P260" i="3"/>
  <c r="R260" i="3"/>
  <c r="T260" i="3"/>
  <c r="AG259" i="3"/>
  <c r="AX258" i="3"/>
  <c r="Y259" i="3"/>
  <c r="Z259" i="3" s="1"/>
  <c r="AH259" i="3"/>
  <c r="X259" i="3"/>
  <c r="BD256" i="3"/>
  <c r="BG256" i="3"/>
  <c r="BH256" i="3" s="1"/>
  <c r="BI256" i="3" s="1"/>
  <c r="AN259" i="3"/>
  <c r="AW258" i="3"/>
  <c r="AY257" i="3"/>
  <c r="BJ255" i="3"/>
  <c r="BK255" i="3" s="1"/>
  <c r="BM260" i="3" l="1"/>
  <c r="BN260" i="3"/>
  <c r="X260" i="3"/>
  <c r="AX259" i="3"/>
  <c r="AN260" i="3"/>
  <c r="AG260" i="3"/>
  <c r="AR261" i="3"/>
  <c r="B261" i="3"/>
  <c r="AQ261" i="3"/>
  <c r="A262" i="3"/>
  <c r="C261" i="3"/>
  <c r="D261" i="3"/>
  <c r="F261" i="3"/>
  <c r="BM261" i="3" s="1"/>
  <c r="G261" i="3"/>
  <c r="H261" i="3" s="1"/>
  <c r="Q261" i="3"/>
  <c r="S261" i="3"/>
  <c r="O261" i="3"/>
  <c r="U261" i="3"/>
  <c r="AE261" i="3"/>
  <c r="AF261" i="3"/>
  <c r="AM261" i="3"/>
  <c r="AK261" i="3"/>
  <c r="M261" i="3"/>
  <c r="AD261" i="3"/>
  <c r="P261" i="3"/>
  <c r="T261" i="3"/>
  <c r="R261" i="3"/>
  <c r="V261" i="3"/>
  <c r="AO260" i="3"/>
  <c r="Y260" i="3"/>
  <c r="Z260" i="3" s="1"/>
  <c r="BC257" i="3"/>
  <c r="AH260" i="3"/>
  <c r="AW259" i="3"/>
  <c r="BB257" i="3"/>
  <c r="BQ257" i="3"/>
  <c r="BF257" i="3"/>
  <c r="BJ256" i="3" s="1"/>
  <c r="BK256" i="3" s="1"/>
  <c r="AT259" i="3"/>
  <c r="AY258" i="3"/>
  <c r="AU259" i="3"/>
  <c r="BA258" i="3"/>
  <c r="AV258" i="3"/>
  <c r="AY259" i="3" l="1"/>
  <c r="AN261" i="3"/>
  <c r="BC258" i="3"/>
  <c r="BD258" i="3" s="1"/>
  <c r="Y261" i="3"/>
  <c r="Z261" i="3" s="1"/>
  <c r="X261" i="3"/>
  <c r="B262" i="3"/>
  <c r="AQ262" i="3"/>
  <c r="A263" i="3"/>
  <c r="C262" i="3"/>
  <c r="D262" i="3"/>
  <c r="AR262" i="3"/>
  <c r="F262" i="3"/>
  <c r="G262" i="3"/>
  <c r="H262" i="3" s="1"/>
  <c r="Q262" i="3"/>
  <c r="S262" i="3"/>
  <c r="O262" i="3"/>
  <c r="U262" i="3"/>
  <c r="AE262" i="3"/>
  <c r="M262" i="3"/>
  <c r="AF262" i="3"/>
  <c r="AD262" i="3"/>
  <c r="AM262" i="3"/>
  <c r="AK262" i="3"/>
  <c r="AO262" i="3" s="1"/>
  <c r="R262" i="3"/>
  <c r="V262" i="3"/>
  <c r="P262" i="3"/>
  <c r="T262" i="3"/>
  <c r="AW260" i="3"/>
  <c r="AX260" i="3"/>
  <c r="AH261" i="3"/>
  <c r="BD257" i="3"/>
  <c r="BG257" i="3"/>
  <c r="BH257" i="3" s="1"/>
  <c r="BI257" i="3" s="1"/>
  <c r="AG261" i="3"/>
  <c r="BB258" i="3"/>
  <c r="BQ258" i="3"/>
  <c r="BF258" i="3"/>
  <c r="BJ257" i="3" s="1"/>
  <c r="BK257" i="3" s="1"/>
  <c r="BA259" i="3"/>
  <c r="AV259" i="3"/>
  <c r="BC259" i="3" s="1"/>
  <c r="AT260" i="3"/>
  <c r="AO261" i="3"/>
  <c r="BN261" i="3"/>
  <c r="AU260" i="3"/>
  <c r="AX261" i="3" l="1"/>
  <c r="BG258" i="3"/>
  <c r="BH258" i="3" s="1"/>
  <c r="BI258" i="3" s="1"/>
  <c r="Y262" i="3"/>
  <c r="Z262" i="3" s="1"/>
  <c r="AY260" i="3"/>
  <c r="X262" i="3"/>
  <c r="AG262" i="3"/>
  <c r="AR263" i="3"/>
  <c r="C263" i="3"/>
  <c r="D263" i="3"/>
  <c r="AQ263" i="3"/>
  <c r="B263" i="3"/>
  <c r="A264" i="3"/>
  <c r="F263" i="3"/>
  <c r="G263" i="3"/>
  <c r="H263" i="3" s="1"/>
  <c r="Q263" i="3"/>
  <c r="S263" i="3"/>
  <c r="O263" i="3"/>
  <c r="U263" i="3"/>
  <c r="AF263" i="3"/>
  <c r="AD263" i="3"/>
  <c r="AE263" i="3"/>
  <c r="M263" i="3"/>
  <c r="AM263" i="3"/>
  <c r="AK263" i="3"/>
  <c r="AO263" i="3" s="1"/>
  <c r="V263" i="3"/>
  <c r="T263" i="3"/>
  <c r="P263" i="3"/>
  <c r="R263" i="3"/>
  <c r="BB259" i="3"/>
  <c r="BF259" i="3"/>
  <c r="BJ258" i="3" s="1"/>
  <c r="BK258" i="3" s="1"/>
  <c r="BQ259" i="3"/>
  <c r="AN262" i="3"/>
  <c r="AW261" i="3"/>
  <c r="AY261" i="3" s="1"/>
  <c r="BN262" i="3"/>
  <c r="BD259" i="3"/>
  <c r="BG259" i="3"/>
  <c r="BH259" i="3" s="1"/>
  <c r="BI259" i="3" s="1"/>
  <c r="AT261" i="3"/>
  <c r="AU261" i="3"/>
  <c r="AH262" i="3"/>
  <c r="AT262" i="3" s="1"/>
  <c r="BM262" i="3"/>
  <c r="AV260" i="3"/>
  <c r="BA260" i="3"/>
  <c r="BC260" i="3" l="1"/>
  <c r="X263" i="3"/>
  <c r="AH263" i="3"/>
  <c r="C264" i="3"/>
  <c r="A265" i="3"/>
  <c r="B264" i="3"/>
  <c r="AR264" i="3"/>
  <c r="AQ264" i="3"/>
  <c r="D264" i="3"/>
  <c r="G264" i="3"/>
  <c r="H264" i="3" s="1"/>
  <c r="F264" i="3"/>
  <c r="Q264" i="3"/>
  <c r="S264" i="3"/>
  <c r="O264" i="3"/>
  <c r="U264" i="3"/>
  <c r="AF264" i="3"/>
  <c r="AE264" i="3"/>
  <c r="M264" i="3"/>
  <c r="AD264" i="3"/>
  <c r="AM264" i="3"/>
  <c r="AK264" i="3"/>
  <c r="AO264" i="3" s="1"/>
  <c r="R264" i="3"/>
  <c r="T264" i="3"/>
  <c r="V264" i="3"/>
  <c r="P264" i="3"/>
  <c r="BF260" i="3"/>
  <c r="BJ259" i="3" s="1"/>
  <c r="BK259" i="3" s="1"/>
  <c r="BB260" i="3"/>
  <c r="BQ260" i="3"/>
  <c r="Y263" i="3"/>
  <c r="Z263" i="3" s="1"/>
  <c r="AN263" i="3"/>
  <c r="AX262" i="3"/>
  <c r="BA261" i="3"/>
  <c r="AV261" i="3"/>
  <c r="BC261" i="3" s="1"/>
  <c r="BN263" i="3"/>
  <c r="BD260" i="3"/>
  <c r="BG260" i="3"/>
  <c r="BH260" i="3" s="1"/>
  <c r="BI260" i="3" s="1"/>
  <c r="AU262" i="3"/>
  <c r="AV262" i="3" s="1"/>
  <c r="AG263" i="3"/>
  <c r="AU263" i="3" s="1"/>
  <c r="BM263" i="3"/>
  <c r="AW262" i="3"/>
  <c r="AG264" i="3" l="1"/>
  <c r="BM264" i="3"/>
  <c r="BN264" i="3"/>
  <c r="Y264" i="3"/>
  <c r="Z264" i="3" s="1"/>
  <c r="BA262" i="3"/>
  <c r="AR265" i="3"/>
  <c r="B265" i="3"/>
  <c r="AQ265" i="3"/>
  <c r="A266" i="3"/>
  <c r="C265" i="3"/>
  <c r="D265" i="3"/>
  <c r="G265" i="3"/>
  <c r="H265" i="3" s="1"/>
  <c r="F265" i="3"/>
  <c r="BM265" i="3" s="1"/>
  <c r="Q265" i="3"/>
  <c r="S265" i="3"/>
  <c r="O265" i="3"/>
  <c r="U265" i="3"/>
  <c r="AF265" i="3"/>
  <c r="AM265" i="3"/>
  <c r="AK265" i="3"/>
  <c r="AD265" i="3"/>
  <c r="M265" i="3"/>
  <c r="AE265" i="3"/>
  <c r="R265" i="3"/>
  <c r="T265" i="3"/>
  <c r="V265" i="3"/>
  <c r="P265" i="3"/>
  <c r="BD261" i="3"/>
  <c r="BG261" i="3"/>
  <c r="BH261" i="3" s="1"/>
  <c r="BI261" i="3" s="1"/>
  <c r="BQ261" i="3"/>
  <c r="BF261" i="3"/>
  <c r="BJ260" i="3" s="1"/>
  <c r="BK260" i="3" s="1"/>
  <c r="BB261" i="3"/>
  <c r="AY262" i="3"/>
  <c r="BC262" i="3" s="1"/>
  <c r="AN264" i="3"/>
  <c r="X264" i="3"/>
  <c r="AW263" i="3"/>
  <c r="AT263" i="3"/>
  <c r="AH264" i="3"/>
  <c r="AX263" i="3"/>
  <c r="BN265" i="3" l="1"/>
  <c r="AG265" i="3"/>
  <c r="AX264" i="3"/>
  <c r="AO265" i="3"/>
  <c r="BD262" i="3"/>
  <c r="BG262" i="3"/>
  <c r="BH262" i="3" s="1"/>
  <c r="BI262" i="3" s="1"/>
  <c r="BA263" i="3"/>
  <c r="AV263" i="3"/>
  <c r="BQ262" i="3"/>
  <c r="BF262" i="3"/>
  <c r="BJ261" i="3" s="1"/>
  <c r="BK261" i="3" s="1"/>
  <c r="BB262" i="3"/>
  <c r="AT264" i="3"/>
  <c r="AH265" i="3"/>
  <c r="AT265" i="3" s="1"/>
  <c r="AU264" i="3"/>
  <c r="AW264" i="3"/>
  <c r="AY264" i="3" s="1"/>
  <c r="Y265" i="3"/>
  <c r="Z265" i="3" s="1"/>
  <c r="X265" i="3"/>
  <c r="B266" i="3"/>
  <c r="AQ266" i="3"/>
  <c r="A267" i="3"/>
  <c r="C266" i="3"/>
  <c r="D266" i="3"/>
  <c r="AR266" i="3"/>
  <c r="G266" i="3"/>
  <c r="H266" i="3" s="1"/>
  <c r="BN266" i="3" s="1"/>
  <c r="F266" i="3"/>
  <c r="Q266" i="3"/>
  <c r="S266" i="3"/>
  <c r="O266" i="3"/>
  <c r="U266" i="3"/>
  <c r="M266" i="3"/>
  <c r="AK266" i="3"/>
  <c r="AE266" i="3"/>
  <c r="AF266" i="3"/>
  <c r="AD266" i="3"/>
  <c r="AM266" i="3"/>
  <c r="R266" i="3"/>
  <c r="V266" i="3"/>
  <c r="T266" i="3"/>
  <c r="P266" i="3"/>
  <c r="AN265" i="3"/>
  <c r="AY263" i="3"/>
  <c r="BM266" i="3" l="1"/>
  <c r="AO266" i="3"/>
  <c r="BC263" i="3"/>
  <c r="BF263" i="3"/>
  <c r="BJ262" i="3" s="1"/>
  <c r="BK262" i="3" s="1"/>
  <c r="BQ263" i="3"/>
  <c r="BB263" i="3"/>
  <c r="AR267" i="3"/>
  <c r="D267" i="3"/>
  <c r="C267" i="3"/>
  <c r="AQ267" i="3"/>
  <c r="B267" i="3"/>
  <c r="A268" i="3"/>
  <c r="G267" i="3"/>
  <c r="H267" i="3" s="1"/>
  <c r="F267" i="3"/>
  <c r="Q267" i="3"/>
  <c r="S267" i="3"/>
  <c r="O267" i="3"/>
  <c r="U267" i="3"/>
  <c r="AF267" i="3"/>
  <c r="M267" i="3"/>
  <c r="AD267" i="3"/>
  <c r="AE267" i="3"/>
  <c r="AG267" i="3" s="1"/>
  <c r="AM267" i="3"/>
  <c r="AK267" i="3"/>
  <c r="V267" i="3"/>
  <c r="P267" i="3"/>
  <c r="T267" i="3"/>
  <c r="R267" i="3"/>
  <c r="AX265" i="3"/>
  <c r="AW265" i="3"/>
  <c r="Y266" i="3"/>
  <c r="Z266" i="3" s="1"/>
  <c r="AN266" i="3"/>
  <c r="BA264" i="3"/>
  <c r="AV264" i="3"/>
  <c r="BC264" i="3" s="1"/>
  <c r="AG266" i="3"/>
  <c r="X266" i="3"/>
  <c r="AU265" i="3"/>
  <c r="AH266" i="3"/>
  <c r="AY265" i="3" l="1"/>
  <c r="BM267" i="3"/>
  <c r="BN267" i="3"/>
  <c r="AX266" i="3"/>
  <c r="BA265" i="3"/>
  <c r="BB265" i="3" s="1"/>
  <c r="AN267" i="3"/>
  <c r="BF265" i="3"/>
  <c r="BQ265" i="3"/>
  <c r="AH267" i="3"/>
  <c r="AU267" i="3" s="1"/>
  <c r="BD264" i="3"/>
  <c r="BG264" i="3"/>
  <c r="BH264" i="3" s="1"/>
  <c r="BI264" i="3" s="1"/>
  <c r="AT266" i="3"/>
  <c r="AW266" i="3"/>
  <c r="AY266" i="3" s="1"/>
  <c r="C268" i="3"/>
  <c r="A269" i="3"/>
  <c r="B268" i="3"/>
  <c r="AR268" i="3"/>
  <c r="AQ268" i="3"/>
  <c r="D268" i="3"/>
  <c r="G268" i="3"/>
  <c r="H268" i="3" s="1"/>
  <c r="F268" i="3"/>
  <c r="Q268" i="3"/>
  <c r="S268" i="3"/>
  <c r="O268" i="3"/>
  <c r="U268" i="3"/>
  <c r="AK268" i="3"/>
  <c r="AF268" i="3"/>
  <c r="M268" i="3"/>
  <c r="AD268" i="3"/>
  <c r="AE268" i="3"/>
  <c r="AM268" i="3"/>
  <c r="P268" i="3"/>
  <c r="V268" i="3"/>
  <c r="R268" i="3"/>
  <c r="T268" i="3"/>
  <c r="Y267" i="3"/>
  <c r="Z267" i="3" s="1"/>
  <c r="BD263" i="3"/>
  <c r="BG263" i="3"/>
  <c r="BH263" i="3" s="1"/>
  <c r="BI263" i="3" s="1"/>
  <c r="BB264" i="3"/>
  <c r="BF264" i="3"/>
  <c r="BJ263" i="3" s="1"/>
  <c r="BK263" i="3" s="1"/>
  <c r="BQ264" i="3"/>
  <c r="X267" i="3"/>
  <c r="AU266" i="3"/>
  <c r="AO267" i="3"/>
  <c r="AV265" i="3"/>
  <c r="BC265" i="3" s="1"/>
  <c r="BM268" i="3" l="1"/>
  <c r="X268" i="3"/>
  <c r="AT267" i="3"/>
  <c r="AV267" i="3" s="1"/>
  <c r="AH268" i="3"/>
  <c r="AO268" i="3"/>
  <c r="Y268" i="3"/>
  <c r="Z268" i="3" s="1"/>
  <c r="AX267" i="3"/>
  <c r="AN268" i="3"/>
  <c r="AR269" i="3"/>
  <c r="B269" i="3"/>
  <c r="AQ269" i="3"/>
  <c r="A270" i="3"/>
  <c r="D269" i="3"/>
  <c r="C269" i="3"/>
  <c r="F269" i="3"/>
  <c r="BM269" i="3" s="1"/>
  <c r="G269" i="3"/>
  <c r="H269" i="3" s="1"/>
  <c r="BN269" i="3" s="1"/>
  <c r="Q269" i="3"/>
  <c r="S269" i="3"/>
  <c r="O269" i="3"/>
  <c r="U269" i="3"/>
  <c r="AF269" i="3"/>
  <c r="AD269" i="3"/>
  <c r="AE269" i="3"/>
  <c r="AG269" i="3" s="1"/>
  <c r="M269" i="3"/>
  <c r="AK269" i="3"/>
  <c r="AM269" i="3"/>
  <c r="V269" i="3"/>
  <c r="T269" i="3"/>
  <c r="R269" i="3"/>
  <c r="P269" i="3"/>
  <c r="AW267" i="3"/>
  <c r="AG268" i="3"/>
  <c r="AW268" i="3" s="1"/>
  <c r="BD265" i="3"/>
  <c r="BG265" i="3"/>
  <c r="BH265" i="3" s="1"/>
  <c r="BI265" i="3" s="1"/>
  <c r="BN268" i="3"/>
  <c r="BA266" i="3"/>
  <c r="AV266" i="3"/>
  <c r="BC266" i="3" s="1"/>
  <c r="BJ264" i="3"/>
  <c r="BK264" i="3" s="1"/>
  <c r="BA267" i="3" l="1"/>
  <c r="BF267" i="3" s="1"/>
  <c r="AX268" i="3"/>
  <c r="AY268" i="3" s="1"/>
  <c r="AO269" i="3"/>
  <c r="BD266" i="3"/>
  <c r="BG266" i="3"/>
  <c r="BH266" i="3" s="1"/>
  <c r="BI266" i="3" s="1"/>
  <c r="AY267" i="3"/>
  <c r="BC267" i="3" s="1"/>
  <c r="AU268" i="3"/>
  <c r="AT268" i="3"/>
  <c r="X269" i="3"/>
  <c r="B270" i="3"/>
  <c r="AQ270" i="3"/>
  <c r="A271" i="3"/>
  <c r="C270" i="3"/>
  <c r="D270" i="3"/>
  <c r="AR270" i="3"/>
  <c r="G270" i="3"/>
  <c r="H270" i="3" s="1"/>
  <c r="BN270" i="3" s="1"/>
  <c r="F270" i="3"/>
  <c r="Q270" i="3"/>
  <c r="S270" i="3"/>
  <c r="O270" i="3"/>
  <c r="U270" i="3"/>
  <c r="AF270" i="3"/>
  <c r="AE270" i="3"/>
  <c r="AD270" i="3"/>
  <c r="M270" i="3"/>
  <c r="AM270" i="3"/>
  <c r="AK270" i="3"/>
  <c r="AO270" i="3" s="1"/>
  <c r="T270" i="3"/>
  <c r="R270" i="3"/>
  <c r="P270" i="3"/>
  <c r="V270" i="3"/>
  <c r="Y269" i="3"/>
  <c r="Z269" i="3" s="1"/>
  <c r="BF266" i="3"/>
  <c r="BJ265" i="3" s="1"/>
  <c r="BK265" i="3" s="1"/>
  <c r="BB266" i="3"/>
  <c r="BQ266" i="3"/>
  <c r="AH269" i="3"/>
  <c r="AT269" i="3" s="1"/>
  <c r="AN269" i="3"/>
  <c r="BB267" i="3" l="1"/>
  <c r="BQ267" i="3"/>
  <c r="AW269" i="3"/>
  <c r="AU269" i="3"/>
  <c r="AH270" i="3"/>
  <c r="AV269" i="3"/>
  <c r="BD267" i="3"/>
  <c r="BG267" i="3"/>
  <c r="BH267" i="3" s="1"/>
  <c r="BI267" i="3" s="1"/>
  <c r="X270" i="3"/>
  <c r="BM270" i="3"/>
  <c r="BA268" i="3"/>
  <c r="AV268" i="3"/>
  <c r="BC268" i="3" s="1"/>
  <c r="AR271" i="3"/>
  <c r="C271" i="3"/>
  <c r="D271" i="3"/>
  <c r="AQ271" i="3"/>
  <c r="B271" i="3"/>
  <c r="A272" i="3"/>
  <c r="G271" i="3"/>
  <c r="H271" i="3" s="1"/>
  <c r="F271" i="3"/>
  <c r="Q271" i="3"/>
  <c r="S271" i="3"/>
  <c r="O271" i="3"/>
  <c r="U271" i="3"/>
  <c r="AD271" i="3"/>
  <c r="AE271" i="3"/>
  <c r="AK271" i="3"/>
  <c r="M271" i="3"/>
  <c r="AF271" i="3"/>
  <c r="AM271" i="3"/>
  <c r="V271" i="3"/>
  <c r="T271" i="3"/>
  <c r="P271" i="3"/>
  <c r="R271" i="3"/>
  <c r="AN270" i="3"/>
  <c r="AG270" i="3"/>
  <c r="AX269" i="3"/>
  <c r="AY269" i="3" s="1"/>
  <c r="Y270" i="3"/>
  <c r="Z270" i="3" s="1"/>
  <c r="BJ266" i="3"/>
  <c r="BK266" i="3" s="1"/>
  <c r="AG271" i="3" l="1"/>
  <c r="AT270" i="3"/>
  <c r="BM271" i="3"/>
  <c r="BN271" i="3"/>
  <c r="AU270" i="3"/>
  <c r="AX270" i="3"/>
  <c r="AO271" i="3"/>
  <c r="BD268" i="3"/>
  <c r="BG268" i="3"/>
  <c r="BH268" i="3" s="1"/>
  <c r="BI268" i="3" s="1"/>
  <c r="AH271" i="3"/>
  <c r="AU271" i="3" s="1"/>
  <c r="BF268" i="3"/>
  <c r="BJ267" i="3" s="1"/>
  <c r="BK267" i="3" s="1"/>
  <c r="BQ268" i="3"/>
  <c r="BB268" i="3"/>
  <c r="Y271" i="3"/>
  <c r="Z271" i="3" s="1"/>
  <c r="D272" i="3"/>
  <c r="A273" i="3"/>
  <c r="B272" i="3"/>
  <c r="AR272" i="3"/>
  <c r="AQ272" i="3"/>
  <c r="C272" i="3"/>
  <c r="F272" i="3"/>
  <c r="BM272" i="3" s="1"/>
  <c r="G272" i="3"/>
  <c r="H272" i="3" s="1"/>
  <c r="Q272" i="3"/>
  <c r="S272" i="3"/>
  <c r="O272" i="3"/>
  <c r="U272" i="3"/>
  <c r="AF272" i="3"/>
  <c r="AE272" i="3"/>
  <c r="M272" i="3"/>
  <c r="AM272" i="3"/>
  <c r="AK272" i="3"/>
  <c r="AD272" i="3"/>
  <c r="R272" i="3"/>
  <c r="T272" i="3"/>
  <c r="V272" i="3"/>
  <c r="P272" i="3"/>
  <c r="AV270" i="3"/>
  <c r="AN271" i="3"/>
  <c r="BC269" i="3"/>
  <c r="X271" i="3"/>
  <c r="AW270" i="3"/>
  <c r="AT271" i="3"/>
  <c r="BA269" i="3"/>
  <c r="AY270" i="3" l="1"/>
  <c r="BN272" i="3"/>
  <c r="AG272" i="3"/>
  <c r="AW271" i="3"/>
  <c r="BA270" i="3"/>
  <c r="BF270" i="3" s="1"/>
  <c r="AN272" i="3"/>
  <c r="AO272" i="3"/>
  <c r="BF269" i="3"/>
  <c r="BJ268" i="3" s="1"/>
  <c r="BK268" i="3" s="1"/>
  <c r="BQ269" i="3"/>
  <c r="BB269" i="3"/>
  <c r="AV271" i="3"/>
  <c r="AH272" i="3"/>
  <c r="BD269" i="3"/>
  <c r="BG269" i="3"/>
  <c r="BH269" i="3" s="1"/>
  <c r="BI269" i="3" s="1"/>
  <c r="AX271" i="3"/>
  <c r="AY271" i="3" s="1"/>
  <c r="Y272" i="3"/>
  <c r="Z272" i="3" s="1"/>
  <c r="X272" i="3"/>
  <c r="BC270" i="3"/>
  <c r="AR273" i="3"/>
  <c r="B273" i="3"/>
  <c r="AQ273" i="3"/>
  <c r="A274" i="3"/>
  <c r="D273" i="3"/>
  <c r="C273" i="3"/>
  <c r="G273" i="3"/>
  <c r="H273" i="3" s="1"/>
  <c r="F273" i="3"/>
  <c r="Q273" i="3"/>
  <c r="S273" i="3"/>
  <c r="O273" i="3"/>
  <c r="U273" i="3"/>
  <c r="AD273" i="3"/>
  <c r="M273" i="3"/>
  <c r="AF273" i="3"/>
  <c r="AE273" i="3"/>
  <c r="AK273" i="3"/>
  <c r="AM273" i="3"/>
  <c r="T273" i="3"/>
  <c r="P273" i="3"/>
  <c r="R273" i="3"/>
  <c r="V273" i="3"/>
  <c r="BM273" i="3" l="1"/>
  <c r="BB270" i="3"/>
  <c r="BQ270" i="3"/>
  <c r="BN273" i="3"/>
  <c r="AG273" i="3"/>
  <c r="AX272" i="3"/>
  <c r="X273" i="3"/>
  <c r="AN273" i="3"/>
  <c r="B274" i="3"/>
  <c r="AQ274" i="3"/>
  <c r="A275" i="3"/>
  <c r="C274" i="3"/>
  <c r="D274" i="3"/>
  <c r="AR274" i="3"/>
  <c r="G274" i="3"/>
  <c r="H274" i="3" s="1"/>
  <c r="BN274" i="3" s="1"/>
  <c r="F274" i="3"/>
  <c r="BM274" i="3" s="1"/>
  <c r="Q274" i="3"/>
  <c r="S274" i="3"/>
  <c r="O274" i="3"/>
  <c r="U274" i="3"/>
  <c r="AD274" i="3"/>
  <c r="AE274" i="3"/>
  <c r="M274" i="3"/>
  <c r="AF274" i="3"/>
  <c r="AM274" i="3"/>
  <c r="AK274" i="3"/>
  <c r="T274" i="3"/>
  <c r="R274" i="3"/>
  <c r="P274" i="3"/>
  <c r="V274" i="3"/>
  <c r="BA271" i="3"/>
  <c r="BC271" i="3"/>
  <c r="AT272" i="3"/>
  <c r="AW272" i="3"/>
  <c r="BD270" i="3"/>
  <c r="BG270" i="3"/>
  <c r="BH270" i="3" s="1"/>
  <c r="BI270" i="3" s="1"/>
  <c r="AO273" i="3"/>
  <c r="Y273" i="3"/>
  <c r="Z273" i="3" s="1"/>
  <c r="AH273" i="3"/>
  <c r="AU273" i="3" s="1"/>
  <c r="BJ269" i="3"/>
  <c r="BK269" i="3" s="1"/>
  <c r="AU272" i="3"/>
  <c r="AY272" i="3" l="1"/>
  <c r="AO274" i="3"/>
  <c r="X274" i="3"/>
  <c r="AG274" i="3"/>
  <c r="AV272" i="3"/>
  <c r="BC272" i="3" s="1"/>
  <c r="BA272" i="3"/>
  <c r="AR275" i="3"/>
  <c r="D275" i="3"/>
  <c r="C275" i="3"/>
  <c r="AQ275" i="3"/>
  <c r="B275" i="3"/>
  <c r="A276" i="3"/>
  <c r="F275" i="3"/>
  <c r="G275" i="3"/>
  <c r="H275" i="3" s="1"/>
  <c r="Q275" i="3"/>
  <c r="S275" i="3"/>
  <c r="O275" i="3"/>
  <c r="U275" i="3"/>
  <c r="M275" i="3"/>
  <c r="AD275" i="3"/>
  <c r="AM275" i="3"/>
  <c r="AE275" i="3"/>
  <c r="AF275" i="3"/>
  <c r="AK275" i="3"/>
  <c r="AO275" i="3" s="1"/>
  <c r="T275" i="3"/>
  <c r="R275" i="3"/>
  <c r="P275" i="3"/>
  <c r="V275" i="3"/>
  <c r="AH274" i="3"/>
  <c r="AW273" i="3"/>
  <c r="AX273" i="3"/>
  <c r="AT273" i="3"/>
  <c r="BF271" i="3"/>
  <c r="BJ270" i="3" s="1"/>
  <c r="BK270" i="3" s="1"/>
  <c r="BQ271" i="3"/>
  <c r="BB271" i="3"/>
  <c r="Y274" i="3"/>
  <c r="Z274" i="3" s="1"/>
  <c r="BD271" i="3"/>
  <c r="BG271" i="3"/>
  <c r="BH271" i="3" s="1"/>
  <c r="BI271" i="3" s="1"/>
  <c r="AN274" i="3"/>
  <c r="BM275" i="3" l="1"/>
  <c r="AY273" i="3"/>
  <c r="BA273" i="3"/>
  <c r="AV273" i="3"/>
  <c r="BC273" i="3" s="1"/>
  <c r="BF272" i="3"/>
  <c r="BJ271" i="3" s="1"/>
  <c r="BK271" i="3" s="1"/>
  <c r="BQ272" i="3"/>
  <c r="BB272" i="3"/>
  <c r="BN275" i="3"/>
  <c r="BD272" i="3"/>
  <c r="BG272" i="3"/>
  <c r="BH272" i="3" s="1"/>
  <c r="BI272" i="3" s="1"/>
  <c r="AN275" i="3"/>
  <c r="D276" i="3"/>
  <c r="A277" i="3"/>
  <c r="B276" i="3"/>
  <c r="AR276" i="3"/>
  <c r="AQ276" i="3"/>
  <c r="C276" i="3"/>
  <c r="G276" i="3"/>
  <c r="H276" i="3" s="1"/>
  <c r="F276" i="3"/>
  <c r="Q276" i="3"/>
  <c r="S276" i="3"/>
  <c r="O276" i="3"/>
  <c r="U276" i="3"/>
  <c r="AD276" i="3"/>
  <c r="M276" i="3"/>
  <c r="AE276" i="3"/>
  <c r="AM276" i="3"/>
  <c r="AF276" i="3"/>
  <c r="AK276" i="3"/>
  <c r="AO276" i="3" s="1"/>
  <c r="T276" i="3"/>
  <c r="V276" i="3"/>
  <c r="P276" i="3"/>
  <c r="R276" i="3"/>
  <c r="AW274" i="3"/>
  <c r="AG275" i="3"/>
  <c r="AX274" i="3"/>
  <c r="Y275" i="3"/>
  <c r="Z275" i="3" s="1"/>
  <c r="AH275" i="3"/>
  <c r="AX275" i="3" s="1"/>
  <c r="X275" i="3"/>
  <c r="AU274" i="3"/>
  <c r="AT274" i="3"/>
  <c r="AH276" i="3" l="1"/>
  <c r="AU275" i="3"/>
  <c r="AR277" i="3"/>
  <c r="B277" i="3"/>
  <c r="AQ277" i="3"/>
  <c r="A278" i="3"/>
  <c r="D277" i="3"/>
  <c r="C277" i="3"/>
  <c r="F277" i="3"/>
  <c r="G277" i="3"/>
  <c r="H277" i="3" s="1"/>
  <c r="Q277" i="3"/>
  <c r="S277" i="3"/>
  <c r="O277" i="3"/>
  <c r="U277" i="3"/>
  <c r="AF277" i="3"/>
  <c r="AD277" i="3"/>
  <c r="AE277" i="3"/>
  <c r="M277" i="3"/>
  <c r="AK277" i="3"/>
  <c r="AM277" i="3"/>
  <c r="AN277" i="3" s="1"/>
  <c r="T277" i="3"/>
  <c r="R277" i="3"/>
  <c r="P277" i="3"/>
  <c r="V277" i="3"/>
  <c r="AW275" i="3"/>
  <c r="AY275" i="3" s="1"/>
  <c r="BD273" i="3"/>
  <c r="BG273" i="3"/>
  <c r="BH273" i="3" s="1"/>
  <c r="BI273" i="3" s="1"/>
  <c r="X276" i="3"/>
  <c r="AV274" i="3"/>
  <c r="BA274" i="3"/>
  <c r="AN276" i="3"/>
  <c r="BM276" i="3"/>
  <c r="BB273" i="3"/>
  <c r="BF273" i="3"/>
  <c r="BJ272" i="3" s="1"/>
  <c r="BK272" i="3" s="1"/>
  <c r="BQ273" i="3"/>
  <c r="Y276" i="3"/>
  <c r="Z276" i="3" s="1"/>
  <c r="AY274" i="3"/>
  <c r="AG276" i="3"/>
  <c r="BN276" i="3"/>
  <c r="AT275" i="3"/>
  <c r="AX276" i="3" l="1"/>
  <c r="BN277" i="3"/>
  <c r="X277" i="3"/>
  <c r="BM277" i="3"/>
  <c r="AW276" i="3"/>
  <c r="AY276" i="3" s="1"/>
  <c r="AG277" i="3"/>
  <c r="B278" i="3"/>
  <c r="AQ278" i="3"/>
  <c r="A279" i="3"/>
  <c r="D278" i="3"/>
  <c r="C278" i="3"/>
  <c r="AR278" i="3"/>
  <c r="F278" i="3"/>
  <c r="BM278" i="3" s="1"/>
  <c r="G278" i="3"/>
  <c r="H278" i="3" s="1"/>
  <c r="BN278" i="3" s="1"/>
  <c r="Q278" i="3"/>
  <c r="S278" i="3"/>
  <c r="O278" i="3"/>
  <c r="U278" i="3"/>
  <c r="AK278" i="3"/>
  <c r="AF278" i="3"/>
  <c r="AD278" i="3"/>
  <c r="AE278" i="3"/>
  <c r="M278" i="3"/>
  <c r="AM278" i="3"/>
  <c r="R278" i="3"/>
  <c r="V278" i="3"/>
  <c r="P278" i="3"/>
  <c r="T278" i="3"/>
  <c r="AO277" i="3"/>
  <c r="AV275" i="3"/>
  <c r="BC275" i="3" s="1"/>
  <c r="BA275" i="3"/>
  <c r="BQ274" i="3"/>
  <c r="BB274" i="3"/>
  <c r="BF274" i="3"/>
  <c r="BJ273" i="3" s="1"/>
  <c r="BK273" i="3" s="1"/>
  <c r="AH277" i="3"/>
  <c r="AT276" i="3"/>
  <c r="Y277" i="3"/>
  <c r="Z277" i="3" s="1"/>
  <c r="BC274" i="3"/>
  <c r="AU276" i="3"/>
  <c r="AO278" i="3" l="1"/>
  <c r="AX277" i="3"/>
  <c r="AG278" i="3"/>
  <c r="AU277" i="3"/>
  <c r="BD274" i="3"/>
  <c r="BG274" i="3"/>
  <c r="BH274" i="3" s="1"/>
  <c r="BI274" i="3" s="1"/>
  <c r="X278" i="3"/>
  <c r="Y278" i="3"/>
  <c r="Z278" i="3" s="1"/>
  <c r="AH278" i="3"/>
  <c r="BQ275" i="3"/>
  <c r="BF275" i="3"/>
  <c r="BJ274" i="3" s="1"/>
  <c r="BK274" i="3" s="1"/>
  <c r="BB275" i="3"/>
  <c r="AR279" i="3"/>
  <c r="D279" i="3"/>
  <c r="C279" i="3"/>
  <c r="AQ279" i="3"/>
  <c r="B279" i="3"/>
  <c r="A280" i="3"/>
  <c r="G279" i="3"/>
  <c r="H279" i="3" s="1"/>
  <c r="F279" i="3"/>
  <c r="Q279" i="3"/>
  <c r="S279" i="3"/>
  <c r="O279" i="3"/>
  <c r="U279" i="3"/>
  <c r="AD279" i="3"/>
  <c r="M279" i="3"/>
  <c r="AE279" i="3"/>
  <c r="AF279" i="3"/>
  <c r="AK279" i="3"/>
  <c r="AM279" i="3"/>
  <c r="AN279" i="3" s="1"/>
  <c r="V279" i="3"/>
  <c r="T279" i="3"/>
  <c r="P279" i="3"/>
  <c r="R279" i="3"/>
  <c r="AW277" i="3"/>
  <c r="BD275" i="3"/>
  <c r="BG275" i="3"/>
  <c r="BH275" i="3" s="1"/>
  <c r="BI275" i="3" s="1"/>
  <c r="AN278" i="3"/>
  <c r="AV276" i="3"/>
  <c r="BC276" i="3" s="1"/>
  <c r="BA276" i="3"/>
  <c r="AT277" i="3"/>
  <c r="AY277" i="3" l="1"/>
  <c r="AH279" i="3"/>
  <c r="AX278" i="3"/>
  <c r="AU278" i="3"/>
  <c r="X279" i="3"/>
  <c r="BM279" i="3"/>
  <c r="Y279" i="3"/>
  <c r="Z279" i="3" s="1"/>
  <c r="AO279" i="3"/>
  <c r="BN279" i="3"/>
  <c r="BD276" i="3"/>
  <c r="BG276" i="3"/>
  <c r="BH276" i="3" s="1"/>
  <c r="BI276" i="3" s="1"/>
  <c r="BA277" i="3"/>
  <c r="AV277" i="3"/>
  <c r="AW278" i="3"/>
  <c r="AG279" i="3"/>
  <c r="BF276" i="3"/>
  <c r="BJ275" i="3" s="1"/>
  <c r="BK275" i="3" s="1"/>
  <c r="BB276" i="3"/>
  <c r="BQ276" i="3"/>
  <c r="C280" i="3"/>
  <c r="A281" i="3"/>
  <c r="B280" i="3"/>
  <c r="AR280" i="3"/>
  <c r="AQ280" i="3"/>
  <c r="D280" i="3"/>
  <c r="F280" i="3"/>
  <c r="G280" i="3"/>
  <c r="H280" i="3" s="1"/>
  <c r="Q280" i="3"/>
  <c r="S280" i="3"/>
  <c r="O280" i="3"/>
  <c r="U280" i="3"/>
  <c r="AF280" i="3"/>
  <c r="AK280" i="3"/>
  <c r="AE280" i="3"/>
  <c r="AD280" i="3"/>
  <c r="M280" i="3"/>
  <c r="AM280" i="3"/>
  <c r="R280" i="3"/>
  <c r="V280" i="3"/>
  <c r="T280" i="3"/>
  <c r="P280" i="3"/>
  <c r="AT278" i="3"/>
  <c r="BC277" i="3" l="1"/>
  <c r="AY278" i="3"/>
  <c r="BN280" i="3"/>
  <c r="AW279" i="3"/>
  <c r="AN280" i="3"/>
  <c r="BD277" i="3"/>
  <c r="BG277" i="3"/>
  <c r="BH277" i="3" s="1"/>
  <c r="BI277" i="3" s="1"/>
  <c r="AR281" i="3"/>
  <c r="B281" i="3"/>
  <c r="AQ281" i="3"/>
  <c r="A282" i="3"/>
  <c r="D281" i="3"/>
  <c r="C281" i="3"/>
  <c r="F281" i="3"/>
  <c r="BM281" i="3" s="1"/>
  <c r="G281" i="3"/>
  <c r="H281" i="3" s="1"/>
  <c r="Q281" i="3"/>
  <c r="S281" i="3"/>
  <c r="O281" i="3"/>
  <c r="U281" i="3"/>
  <c r="AD281" i="3"/>
  <c r="AE281" i="3"/>
  <c r="AF281" i="3"/>
  <c r="AM281" i="3"/>
  <c r="M281" i="3"/>
  <c r="AK281" i="3"/>
  <c r="T281" i="3"/>
  <c r="P281" i="3"/>
  <c r="V281" i="3"/>
  <c r="R281" i="3"/>
  <c r="BB277" i="3"/>
  <c r="BQ277" i="3"/>
  <c r="BF277" i="3"/>
  <c r="BJ276" i="3" s="1"/>
  <c r="BK276" i="3" s="1"/>
  <c r="AT279" i="3"/>
  <c r="X280" i="3"/>
  <c r="AH280" i="3"/>
  <c r="AV278" i="3"/>
  <c r="BC278" i="3" s="1"/>
  <c r="BA278" i="3"/>
  <c r="BM280" i="3"/>
  <c r="AX279" i="3"/>
  <c r="AY279" i="3" s="1"/>
  <c r="AG280" i="3"/>
  <c r="AO280" i="3"/>
  <c r="Y280" i="3"/>
  <c r="Z280" i="3" s="1"/>
  <c r="AU279" i="3"/>
  <c r="AO281" i="3" l="1"/>
  <c r="AX280" i="3"/>
  <c r="Y281" i="3"/>
  <c r="Z281" i="3" s="1"/>
  <c r="AH281" i="3"/>
  <c r="X281" i="3"/>
  <c r="B282" i="3"/>
  <c r="AQ282" i="3"/>
  <c r="A283" i="3"/>
  <c r="C282" i="3"/>
  <c r="D282" i="3"/>
  <c r="AR282" i="3"/>
  <c r="G282" i="3"/>
  <c r="H282" i="3" s="1"/>
  <c r="BN282" i="3" s="1"/>
  <c r="F282" i="3"/>
  <c r="Q282" i="3"/>
  <c r="S282" i="3"/>
  <c r="O282" i="3"/>
  <c r="U282" i="3"/>
  <c r="M282" i="3"/>
  <c r="AE282" i="3"/>
  <c r="AF282" i="3"/>
  <c r="AD282" i="3"/>
  <c r="AK282" i="3"/>
  <c r="AM282" i="3"/>
  <c r="V282" i="3"/>
  <c r="T282" i="3"/>
  <c r="R282" i="3"/>
  <c r="P282" i="3"/>
  <c r="AT280" i="3"/>
  <c r="AW280" i="3"/>
  <c r="AV279" i="3"/>
  <c r="BC279" i="3" s="1"/>
  <c r="BA279" i="3"/>
  <c r="BN281" i="3"/>
  <c r="BQ278" i="3"/>
  <c r="BB278" i="3"/>
  <c r="BF278" i="3"/>
  <c r="BJ277" i="3" s="1"/>
  <c r="BK277" i="3" s="1"/>
  <c r="AN281" i="3"/>
  <c r="BD278" i="3"/>
  <c r="BG278" i="3"/>
  <c r="BH278" i="3" s="1"/>
  <c r="BI278" i="3" s="1"/>
  <c r="AG281" i="3"/>
  <c r="AW281" i="3" s="1"/>
  <c r="AU280" i="3"/>
  <c r="AY280" i="3" l="1"/>
  <c r="AN282" i="3"/>
  <c r="AX281" i="3"/>
  <c r="AY281" i="3" s="1"/>
  <c r="X282" i="3"/>
  <c r="AG282" i="3"/>
  <c r="BF279" i="3"/>
  <c r="BJ278" i="3" s="1"/>
  <c r="BK278" i="3" s="1"/>
  <c r="BQ279" i="3"/>
  <c r="BB279" i="3"/>
  <c r="Y282" i="3"/>
  <c r="Z282" i="3" s="1"/>
  <c r="AR283" i="3"/>
  <c r="C283" i="3"/>
  <c r="D283" i="3"/>
  <c r="AQ283" i="3"/>
  <c r="B283" i="3"/>
  <c r="A284" i="3"/>
  <c r="F283" i="3"/>
  <c r="BM283" i="3" s="1"/>
  <c r="G283" i="3"/>
  <c r="H283" i="3" s="1"/>
  <c r="Q283" i="3"/>
  <c r="S283" i="3"/>
  <c r="O283" i="3"/>
  <c r="U283" i="3"/>
  <c r="M283" i="3"/>
  <c r="AE283" i="3"/>
  <c r="AF283" i="3"/>
  <c r="AD283" i="3"/>
  <c r="AK283" i="3"/>
  <c r="AM283" i="3"/>
  <c r="R283" i="3"/>
  <c r="T283" i="3"/>
  <c r="V283" i="3"/>
  <c r="P283" i="3"/>
  <c r="AT281" i="3"/>
  <c r="AO282" i="3"/>
  <c r="AU281" i="3"/>
  <c r="BD279" i="3"/>
  <c r="BG279" i="3"/>
  <c r="BH279" i="3" s="1"/>
  <c r="BI279" i="3" s="1"/>
  <c r="BA280" i="3"/>
  <c r="AV280" i="3"/>
  <c r="AH282" i="3"/>
  <c r="BM282" i="3"/>
  <c r="BC280" i="3" l="1"/>
  <c r="BD280" i="3" s="1"/>
  <c r="AO283" i="3"/>
  <c r="AX282" i="3"/>
  <c r="D284" i="3"/>
  <c r="A285" i="3"/>
  <c r="B284" i="3"/>
  <c r="AR284" i="3"/>
  <c r="AQ284" i="3"/>
  <c r="C284" i="3"/>
  <c r="F284" i="3"/>
  <c r="G284" i="3"/>
  <c r="H284" i="3" s="1"/>
  <c r="Q284" i="3"/>
  <c r="S284" i="3"/>
  <c r="O284" i="3"/>
  <c r="U284" i="3"/>
  <c r="AF284" i="3"/>
  <c r="M284" i="3"/>
  <c r="AE284" i="3"/>
  <c r="AD284" i="3"/>
  <c r="AM284" i="3"/>
  <c r="AK284" i="3"/>
  <c r="P284" i="3"/>
  <c r="V284" i="3"/>
  <c r="R284" i="3"/>
  <c r="T284" i="3"/>
  <c r="Y283" i="3"/>
  <c r="Z283" i="3" s="1"/>
  <c r="BF280" i="3"/>
  <c r="BJ279" i="3" s="1"/>
  <c r="BK279" i="3" s="1"/>
  <c r="BB280" i="3"/>
  <c r="BQ280" i="3"/>
  <c r="X283" i="3"/>
  <c r="AW282" i="3"/>
  <c r="AY282" i="3" s="1"/>
  <c r="AG283" i="3"/>
  <c r="AV281" i="3"/>
  <c r="BC281" i="3" s="1"/>
  <c r="BA281" i="3"/>
  <c r="AN283" i="3"/>
  <c r="AT282" i="3"/>
  <c r="AU282" i="3"/>
  <c r="AH283" i="3"/>
  <c r="BN283" i="3"/>
  <c r="AO284" i="3" l="1"/>
  <c r="BG280" i="3"/>
  <c r="BH280" i="3" s="1"/>
  <c r="BI280" i="3" s="1"/>
  <c r="BN284" i="3"/>
  <c r="BM284" i="3"/>
  <c r="AW283" i="3"/>
  <c r="BA282" i="3"/>
  <c r="AV282" i="3"/>
  <c r="BC282" i="3" s="1"/>
  <c r="AT283" i="3"/>
  <c r="AG284" i="3"/>
  <c r="X284" i="3"/>
  <c r="AH284" i="3"/>
  <c r="BQ281" i="3"/>
  <c r="BF281" i="3"/>
  <c r="BJ280" i="3" s="1"/>
  <c r="BK280" i="3" s="1"/>
  <c r="BB281" i="3"/>
  <c r="BD281" i="3"/>
  <c r="BG281" i="3"/>
  <c r="BH281" i="3" s="1"/>
  <c r="BI281" i="3" s="1"/>
  <c r="AR285" i="3"/>
  <c r="B285" i="3"/>
  <c r="AQ285" i="3"/>
  <c r="A286" i="3"/>
  <c r="C285" i="3"/>
  <c r="D285" i="3"/>
  <c r="F285" i="3"/>
  <c r="BM285" i="3" s="1"/>
  <c r="G285" i="3"/>
  <c r="H285" i="3" s="1"/>
  <c r="BN285" i="3" s="1"/>
  <c r="Q285" i="3"/>
  <c r="S285" i="3"/>
  <c r="O285" i="3"/>
  <c r="U285" i="3"/>
  <c r="AD285" i="3"/>
  <c r="AE285" i="3"/>
  <c r="M285" i="3"/>
  <c r="AF285" i="3"/>
  <c r="AK285" i="3"/>
  <c r="AM285" i="3"/>
  <c r="T285" i="3"/>
  <c r="V285" i="3"/>
  <c r="P285" i="3"/>
  <c r="R285" i="3"/>
  <c r="AU283" i="3"/>
  <c r="AX283" i="3"/>
  <c r="AY283" i="3" s="1"/>
  <c r="AN284" i="3"/>
  <c r="Y284" i="3"/>
  <c r="Z284" i="3" s="1"/>
  <c r="AN285" i="3" l="1"/>
  <c r="AU284" i="3"/>
  <c r="AO285" i="3"/>
  <c r="AT284" i="3"/>
  <c r="AV283" i="3"/>
  <c r="BC283" i="3" s="1"/>
  <c r="BA283" i="3"/>
  <c r="AW284" i="3"/>
  <c r="AH285" i="3"/>
  <c r="AX285" i="3" s="1"/>
  <c r="BD282" i="3"/>
  <c r="BG282" i="3"/>
  <c r="BH282" i="3" s="1"/>
  <c r="BI282" i="3" s="1"/>
  <c r="AG285" i="3"/>
  <c r="Y285" i="3"/>
  <c r="Z285" i="3" s="1"/>
  <c r="X285" i="3"/>
  <c r="B286" i="3"/>
  <c r="AQ286" i="3"/>
  <c r="A287" i="3"/>
  <c r="C286" i="3"/>
  <c r="D286" i="3"/>
  <c r="AR286" i="3"/>
  <c r="G286" i="3"/>
  <c r="H286" i="3" s="1"/>
  <c r="BN286" i="3" s="1"/>
  <c r="F286" i="3"/>
  <c r="S286" i="3"/>
  <c r="Q286" i="3"/>
  <c r="O286" i="3"/>
  <c r="U286" i="3"/>
  <c r="AF286" i="3"/>
  <c r="AD286" i="3"/>
  <c r="M286" i="3"/>
  <c r="AE286" i="3"/>
  <c r="AK286" i="3"/>
  <c r="AM286" i="3"/>
  <c r="AN286" i="3" s="1"/>
  <c r="R286" i="3"/>
  <c r="P286" i="3"/>
  <c r="T286" i="3"/>
  <c r="V286" i="3"/>
  <c r="BQ282" i="3"/>
  <c r="BF282" i="3"/>
  <c r="BJ281" i="3" s="1"/>
  <c r="BK281" i="3" s="1"/>
  <c r="BB282" i="3"/>
  <c r="AX284" i="3"/>
  <c r="AG286" i="3" l="1"/>
  <c r="BM286" i="3"/>
  <c r="AY284" i="3"/>
  <c r="AU285" i="3"/>
  <c r="AR287" i="3"/>
  <c r="D287" i="3"/>
  <c r="C287" i="3"/>
  <c r="AQ287" i="3"/>
  <c r="B287" i="3"/>
  <c r="A288" i="3"/>
  <c r="F287" i="3"/>
  <c r="G287" i="3"/>
  <c r="H287" i="3" s="1"/>
  <c r="Q287" i="3"/>
  <c r="S287" i="3"/>
  <c r="O287" i="3"/>
  <c r="U287" i="3"/>
  <c r="M287" i="3"/>
  <c r="AF287" i="3"/>
  <c r="AD287" i="3"/>
  <c r="AE287" i="3"/>
  <c r="AK287" i="3"/>
  <c r="AM287" i="3"/>
  <c r="AN287" i="3" s="1"/>
  <c r="R287" i="3"/>
  <c r="T287" i="3"/>
  <c r="V287" i="3"/>
  <c r="P287" i="3"/>
  <c r="BB283" i="3"/>
  <c r="BF283" i="3"/>
  <c r="BJ282" i="3" s="1"/>
  <c r="BK282" i="3" s="1"/>
  <c r="BQ283" i="3"/>
  <c r="AO286" i="3"/>
  <c r="BD283" i="3"/>
  <c r="BG283" i="3"/>
  <c r="BH283" i="3" s="1"/>
  <c r="BI283" i="3" s="1"/>
  <c r="Y286" i="3"/>
  <c r="Z286" i="3" s="1"/>
  <c r="AW285" i="3"/>
  <c r="AY285" i="3" s="1"/>
  <c r="AH286" i="3"/>
  <c r="AU286" i="3" s="1"/>
  <c r="AT285" i="3"/>
  <c r="BA284" i="3"/>
  <c r="AV284" i="3"/>
  <c r="BC284" i="3" s="1"/>
  <c r="X286" i="3"/>
  <c r="AW286" i="3" l="1"/>
  <c r="BN287" i="3"/>
  <c r="BM287" i="3"/>
  <c r="AG287" i="3"/>
  <c r="BD284" i="3"/>
  <c r="BG284" i="3"/>
  <c r="BH284" i="3" s="1"/>
  <c r="BI284" i="3" s="1"/>
  <c r="BQ284" i="3"/>
  <c r="BB284" i="3"/>
  <c r="BF284" i="3"/>
  <c r="BJ283" i="3" s="1"/>
  <c r="BK283" i="3" s="1"/>
  <c r="C288" i="3"/>
  <c r="A289" i="3"/>
  <c r="B288" i="3"/>
  <c r="AR288" i="3"/>
  <c r="AQ288" i="3"/>
  <c r="D288" i="3"/>
  <c r="F288" i="3"/>
  <c r="G288" i="3"/>
  <c r="H288" i="3" s="1"/>
  <c r="Q288" i="3"/>
  <c r="S288" i="3"/>
  <c r="O288" i="3"/>
  <c r="U288" i="3"/>
  <c r="AE288" i="3"/>
  <c r="AD288" i="3"/>
  <c r="AF288" i="3"/>
  <c r="M288" i="3"/>
  <c r="AM288" i="3"/>
  <c r="AK288" i="3"/>
  <c r="AO288" i="3" s="1"/>
  <c r="T288" i="3"/>
  <c r="V288" i="3"/>
  <c r="P288" i="3"/>
  <c r="R288" i="3"/>
  <c r="Y287" i="3"/>
  <c r="Z287" i="3" s="1"/>
  <c r="X287" i="3"/>
  <c r="AX286" i="3"/>
  <c r="AH287" i="3"/>
  <c r="BA285" i="3"/>
  <c r="AV285" i="3"/>
  <c r="BC285" i="3" s="1"/>
  <c r="AT286" i="3"/>
  <c r="AO287" i="3"/>
  <c r="BN288" i="3" l="1"/>
  <c r="AY286" i="3"/>
  <c r="AT287" i="3"/>
  <c r="AH288" i="3"/>
  <c r="AU287" i="3"/>
  <c r="AV287" i="3" s="1"/>
  <c r="AW287" i="3"/>
  <c r="AR289" i="3"/>
  <c r="B289" i="3"/>
  <c r="AQ289" i="3"/>
  <c r="A290" i="3"/>
  <c r="D289" i="3"/>
  <c r="C289" i="3"/>
  <c r="F289" i="3"/>
  <c r="G289" i="3"/>
  <c r="H289" i="3" s="1"/>
  <c r="Q289" i="3"/>
  <c r="S289" i="3"/>
  <c r="O289" i="3"/>
  <c r="U289" i="3"/>
  <c r="AE289" i="3"/>
  <c r="AD289" i="3"/>
  <c r="AF289" i="3"/>
  <c r="AK289" i="3"/>
  <c r="AM289" i="3"/>
  <c r="M289" i="3"/>
  <c r="R289" i="3"/>
  <c r="V289" i="3"/>
  <c r="P289" i="3"/>
  <c r="T289" i="3"/>
  <c r="BM288" i="3"/>
  <c r="BD285" i="3"/>
  <c r="BG285" i="3"/>
  <c r="BH285" i="3" s="1"/>
  <c r="BI285" i="3" s="1"/>
  <c r="BF285" i="3"/>
  <c r="BJ284" i="3" s="1"/>
  <c r="BK284" i="3" s="1"/>
  <c r="BB285" i="3"/>
  <c r="BQ285" i="3"/>
  <c r="AN288" i="3"/>
  <c r="Y288" i="3"/>
  <c r="Z288" i="3" s="1"/>
  <c r="AV286" i="3"/>
  <c r="BC286" i="3" s="1"/>
  <c r="BA286" i="3"/>
  <c r="AG288" i="3"/>
  <c r="AX287" i="3"/>
  <c r="AY287" i="3" s="1"/>
  <c r="X288" i="3"/>
  <c r="AH289" i="3" l="1"/>
  <c r="BM289" i="3"/>
  <c r="AW288" i="3"/>
  <c r="AN289" i="3"/>
  <c r="X289" i="3"/>
  <c r="B290" i="3"/>
  <c r="AQ290" i="3"/>
  <c r="A291" i="3"/>
  <c r="C290" i="3"/>
  <c r="D290" i="3"/>
  <c r="AR290" i="3"/>
  <c r="F290" i="3"/>
  <c r="G290" i="3"/>
  <c r="H290" i="3" s="1"/>
  <c r="S290" i="3"/>
  <c r="Q290" i="3"/>
  <c r="O290" i="3"/>
  <c r="U290" i="3"/>
  <c r="AF290" i="3"/>
  <c r="AE290" i="3"/>
  <c r="AD290" i="3"/>
  <c r="M290" i="3"/>
  <c r="AM290" i="3"/>
  <c r="AK290" i="3"/>
  <c r="P290" i="3"/>
  <c r="V290" i="3"/>
  <c r="T290" i="3"/>
  <c r="R290" i="3"/>
  <c r="BC287" i="3"/>
  <c r="AG289" i="3"/>
  <c r="AT288" i="3"/>
  <c r="BB286" i="3"/>
  <c r="BF286" i="3"/>
  <c r="BJ285" i="3" s="1"/>
  <c r="BK285" i="3" s="1"/>
  <c r="BQ286" i="3"/>
  <c r="BD286" i="3"/>
  <c r="BG286" i="3"/>
  <c r="BH286" i="3" s="1"/>
  <c r="BI286" i="3" s="1"/>
  <c r="AX288" i="3"/>
  <c r="AY288" i="3" s="1"/>
  <c r="Y289" i="3"/>
  <c r="Z289" i="3" s="1"/>
  <c r="AU288" i="3"/>
  <c r="BA287" i="3"/>
  <c r="AO289" i="3"/>
  <c r="BN289" i="3"/>
  <c r="AO290" i="3" l="1"/>
  <c r="AG290" i="3"/>
  <c r="BQ287" i="3"/>
  <c r="BF287" i="3"/>
  <c r="BJ286" i="3" s="1"/>
  <c r="BK286" i="3" s="1"/>
  <c r="BB287" i="3"/>
  <c r="Y290" i="3"/>
  <c r="Z290" i="3" s="1"/>
  <c r="AR291" i="3"/>
  <c r="D291" i="3"/>
  <c r="C291" i="3"/>
  <c r="AQ291" i="3"/>
  <c r="B291" i="3"/>
  <c r="A292" i="3"/>
  <c r="F291" i="3"/>
  <c r="G291" i="3"/>
  <c r="H291" i="3" s="1"/>
  <c r="Q291" i="3"/>
  <c r="S291" i="3"/>
  <c r="O291" i="3"/>
  <c r="U291" i="3"/>
  <c r="M291" i="3"/>
  <c r="AF291" i="3"/>
  <c r="AD291" i="3"/>
  <c r="AE291" i="3"/>
  <c r="AG291" i="3" s="1"/>
  <c r="AK291" i="3"/>
  <c r="AM291" i="3"/>
  <c r="AN291" i="3" s="1"/>
  <c r="P291" i="3"/>
  <c r="T291" i="3"/>
  <c r="V291" i="3"/>
  <c r="R291" i="3"/>
  <c r="AW289" i="3"/>
  <c r="AT289" i="3"/>
  <c r="BD287" i="3"/>
  <c r="BG287" i="3"/>
  <c r="BH287" i="3" s="1"/>
  <c r="BI287" i="3" s="1"/>
  <c r="AN290" i="3"/>
  <c r="AU289" i="3"/>
  <c r="BN290" i="3"/>
  <c r="X290" i="3"/>
  <c r="AV288" i="3"/>
  <c r="BC288" i="3" s="1"/>
  <c r="BA288" i="3"/>
  <c r="AX289" i="3"/>
  <c r="AH290" i="3"/>
  <c r="AU290" i="3" s="1"/>
  <c r="BM290" i="3"/>
  <c r="BM291" i="3" l="1"/>
  <c r="BN291" i="3"/>
  <c r="AO291" i="3"/>
  <c r="AW290" i="3"/>
  <c r="AV289" i="3"/>
  <c r="BA289" i="3"/>
  <c r="Y291" i="3"/>
  <c r="Z291" i="3" s="1"/>
  <c r="BD288" i="3"/>
  <c r="BG288" i="3"/>
  <c r="BH288" i="3" s="1"/>
  <c r="BI288" i="3" s="1"/>
  <c r="D292" i="3"/>
  <c r="A293" i="3"/>
  <c r="B292" i="3"/>
  <c r="AR292" i="3"/>
  <c r="AQ292" i="3"/>
  <c r="C292" i="3"/>
  <c r="F292" i="3"/>
  <c r="BM292" i="3" s="1"/>
  <c r="G292" i="3"/>
  <c r="H292" i="3" s="1"/>
  <c r="Q292" i="3"/>
  <c r="S292" i="3"/>
  <c r="O292" i="3"/>
  <c r="U292" i="3"/>
  <c r="AD292" i="3"/>
  <c r="AF292" i="3"/>
  <c r="AE292" i="3"/>
  <c r="AG292" i="3" s="1"/>
  <c r="M292" i="3"/>
  <c r="AM292" i="3"/>
  <c r="AK292" i="3"/>
  <c r="P292" i="3"/>
  <c r="T292" i="3"/>
  <c r="R292" i="3"/>
  <c r="V292" i="3"/>
  <c r="AW291" i="3"/>
  <c r="BB288" i="3"/>
  <c r="BF288" i="3"/>
  <c r="BJ287" i="3" s="1"/>
  <c r="BK287" i="3" s="1"/>
  <c r="BQ288" i="3"/>
  <c r="AH291" i="3"/>
  <c r="AX291" i="3" s="1"/>
  <c r="AX290" i="3"/>
  <c r="AY290" i="3" s="1"/>
  <c r="X291" i="3"/>
  <c r="AU291" i="3"/>
  <c r="AT291" i="3"/>
  <c r="AY289" i="3"/>
  <c r="AT290" i="3"/>
  <c r="BN292" i="3" l="1"/>
  <c r="AN292" i="3"/>
  <c r="AV291" i="3"/>
  <c r="BA291" i="3"/>
  <c r="X292" i="3"/>
  <c r="AH292" i="3"/>
  <c r="AU292" i="3" s="1"/>
  <c r="AV290" i="3"/>
  <c r="BC290" i="3" s="1"/>
  <c r="BA290" i="3"/>
  <c r="Y292" i="3"/>
  <c r="Z292" i="3" s="1"/>
  <c r="BF289" i="3"/>
  <c r="BJ288" i="3" s="1"/>
  <c r="BK288" i="3" s="1"/>
  <c r="BQ289" i="3"/>
  <c r="BB289" i="3"/>
  <c r="BC289" i="3"/>
  <c r="AY291" i="3"/>
  <c r="AO292" i="3"/>
  <c r="AR293" i="3"/>
  <c r="B293" i="3"/>
  <c r="AQ293" i="3"/>
  <c r="A294" i="3"/>
  <c r="C293" i="3"/>
  <c r="D293" i="3"/>
  <c r="G293" i="3"/>
  <c r="H293" i="3" s="1"/>
  <c r="BN293" i="3" s="1"/>
  <c r="F293" i="3"/>
  <c r="Q293" i="3"/>
  <c r="S293" i="3"/>
  <c r="O293" i="3"/>
  <c r="U293" i="3"/>
  <c r="M293" i="3"/>
  <c r="AD293" i="3"/>
  <c r="AE293" i="3"/>
  <c r="AK293" i="3"/>
  <c r="AF293" i="3"/>
  <c r="AM293" i="3"/>
  <c r="V293" i="3"/>
  <c r="R293" i="3"/>
  <c r="T293" i="3"/>
  <c r="P293" i="3"/>
  <c r="AN293" i="3" l="1"/>
  <c r="AX292" i="3"/>
  <c r="AG293" i="3"/>
  <c r="BQ290" i="3"/>
  <c r="BF290" i="3"/>
  <c r="BJ289" i="3" s="1"/>
  <c r="BK289" i="3" s="1"/>
  <c r="BB290" i="3"/>
  <c r="AW292" i="3"/>
  <c r="AY292" i="3" s="1"/>
  <c r="AH293" i="3"/>
  <c r="AX293" i="3" s="1"/>
  <c r="X293" i="3"/>
  <c r="Y293" i="3"/>
  <c r="Z293" i="3" s="1"/>
  <c r="BQ291" i="3"/>
  <c r="BB291" i="3"/>
  <c r="BF291" i="3"/>
  <c r="AT292" i="3"/>
  <c r="BC291" i="3"/>
  <c r="BD290" i="3"/>
  <c r="BG290" i="3"/>
  <c r="BH290" i="3" s="1"/>
  <c r="BI290" i="3" s="1"/>
  <c r="BD289" i="3"/>
  <c r="BG289" i="3"/>
  <c r="BH289" i="3" s="1"/>
  <c r="BI289" i="3" s="1"/>
  <c r="B294" i="3"/>
  <c r="AQ294" i="3"/>
  <c r="A295" i="3"/>
  <c r="D294" i="3"/>
  <c r="C294" i="3"/>
  <c r="AR294" i="3"/>
  <c r="G294" i="3"/>
  <c r="H294" i="3" s="1"/>
  <c r="F294" i="3"/>
  <c r="Q294" i="3"/>
  <c r="S294" i="3"/>
  <c r="O294" i="3"/>
  <c r="U294" i="3"/>
  <c r="M294" i="3"/>
  <c r="AF294" i="3"/>
  <c r="AD294" i="3"/>
  <c r="AM294" i="3"/>
  <c r="AE294" i="3"/>
  <c r="AK294" i="3"/>
  <c r="AO294" i="3" s="1"/>
  <c r="T294" i="3"/>
  <c r="V294" i="3"/>
  <c r="P294" i="3"/>
  <c r="R294" i="3"/>
  <c r="AO293" i="3"/>
  <c r="BM293" i="3"/>
  <c r="AG294" i="3" l="1"/>
  <c r="AW293" i="3"/>
  <c r="AY293" i="3" s="1"/>
  <c r="BJ290" i="3"/>
  <c r="BK290" i="3" s="1"/>
  <c r="AT293" i="3"/>
  <c r="X294" i="3"/>
  <c r="AR295" i="3"/>
  <c r="D295" i="3"/>
  <c r="C295" i="3"/>
  <c r="AQ295" i="3"/>
  <c r="B295" i="3"/>
  <c r="A296" i="3"/>
  <c r="G295" i="3"/>
  <c r="H295" i="3" s="1"/>
  <c r="F295" i="3"/>
  <c r="Q295" i="3"/>
  <c r="S295" i="3"/>
  <c r="O295" i="3"/>
  <c r="U295" i="3"/>
  <c r="AD295" i="3"/>
  <c r="M295" i="3"/>
  <c r="AF295" i="3"/>
  <c r="AE295" i="3"/>
  <c r="AK295" i="3"/>
  <c r="AM295" i="3"/>
  <c r="AN295" i="3" s="1"/>
  <c r="V295" i="3"/>
  <c r="P295" i="3"/>
  <c r="R295" i="3"/>
  <c r="T295" i="3"/>
  <c r="BD291" i="3"/>
  <c r="BG291" i="3"/>
  <c r="BH291" i="3" s="1"/>
  <c r="BI291" i="3" s="1"/>
  <c r="AV292" i="3"/>
  <c r="BC292" i="3" s="1"/>
  <c r="BA292" i="3"/>
  <c r="AN294" i="3"/>
  <c r="AH294" i="3"/>
  <c r="AU294" i="3" s="1"/>
  <c r="BN294" i="3"/>
  <c r="Y294" i="3"/>
  <c r="Z294" i="3" s="1"/>
  <c r="BM294" i="3"/>
  <c r="AU293" i="3"/>
  <c r="AV293" i="3" s="1"/>
  <c r="AT294" i="3" l="1"/>
  <c r="BC293" i="3"/>
  <c r="AH295" i="3"/>
  <c r="AW294" i="3"/>
  <c r="BD293" i="3"/>
  <c r="BG293" i="3"/>
  <c r="BH293" i="3" s="1"/>
  <c r="BI293" i="3" s="1"/>
  <c r="C296" i="3"/>
  <c r="A297" i="3"/>
  <c r="B296" i="3"/>
  <c r="AR296" i="3"/>
  <c r="AQ296" i="3"/>
  <c r="D296" i="3"/>
  <c r="G296" i="3"/>
  <c r="H296" i="3" s="1"/>
  <c r="F296" i="3"/>
  <c r="Q296" i="3"/>
  <c r="S296" i="3"/>
  <c r="O296" i="3"/>
  <c r="U296" i="3"/>
  <c r="AD296" i="3"/>
  <c r="M296" i="3"/>
  <c r="AF296" i="3"/>
  <c r="AK296" i="3"/>
  <c r="AE296" i="3"/>
  <c r="AM296" i="3"/>
  <c r="AN296" i="3" s="1"/>
  <c r="P296" i="3"/>
  <c r="V296" i="3"/>
  <c r="R296" i="3"/>
  <c r="T296" i="3"/>
  <c r="BA293" i="3"/>
  <c r="AO295" i="3"/>
  <c r="AX295" i="3" s="1"/>
  <c r="AT295" i="3"/>
  <c r="BA294" i="3"/>
  <c r="AV294" i="3"/>
  <c r="Y295" i="3"/>
  <c r="Z295" i="3" s="1"/>
  <c r="AG295" i="3"/>
  <c r="BM295" i="3"/>
  <c r="X295" i="3"/>
  <c r="BB292" i="3"/>
  <c r="BQ292" i="3"/>
  <c r="BF292" i="3"/>
  <c r="BJ291" i="3" s="1"/>
  <c r="BK291" i="3" s="1"/>
  <c r="BD292" i="3"/>
  <c r="BG292" i="3"/>
  <c r="BH292" i="3" s="1"/>
  <c r="BI292" i="3" s="1"/>
  <c r="AX294" i="3"/>
  <c r="BN295" i="3"/>
  <c r="BM296" i="3" l="1"/>
  <c r="AY294" i="3"/>
  <c r="BC294" i="3" s="1"/>
  <c r="Y296" i="3"/>
  <c r="Z296" i="3" s="1"/>
  <c r="X296" i="3"/>
  <c r="AR297" i="3"/>
  <c r="B297" i="3"/>
  <c r="AQ297" i="3"/>
  <c r="A298" i="3"/>
  <c r="C297" i="3"/>
  <c r="D297" i="3"/>
  <c r="G297" i="3"/>
  <c r="H297" i="3" s="1"/>
  <c r="BN297" i="3" s="1"/>
  <c r="F297" i="3"/>
  <c r="Q297" i="3"/>
  <c r="S297" i="3"/>
  <c r="O297" i="3"/>
  <c r="U297" i="3"/>
  <c r="AD297" i="3"/>
  <c r="AE297" i="3"/>
  <c r="AF297" i="3"/>
  <c r="M297" i="3"/>
  <c r="AM297" i="3"/>
  <c r="AK297" i="3"/>
  <c r="AO297" i="3" s="1"/>
  <c r="P297" i="3"/>
  <c r="R297" i="3"/>
  <c r="V297" i="3"/>
  <c r="T297" i="3"/>
  <c r="BB294" i="3"/>
  <c r="BF294" i="3"/>
  <c r="BQ294" i="3"/>
  <c r="BB293" i="3"/>
  <c r="BQ293" i="3"/>
  <c r="BF293" i="3"/>
  <c r="BJ292" i="3" s="1"/>
  <c r="BK292" i="3" s="1"/>
  <c r="AG296" i="3"/>
  <c r="AO296" i="3"/>
  <c r="AW295" i="3"/>
  <c r="AY295" i="3" s="1"/>
  <c r="AU295" i="3"/>
  <c r="AV295" i="3" s="1"/>
  <c r="AH296" i="3"/>
  <c r="BN296" i="3"/>
  <c r="BM297" i="3" l="1"/>
  <c r="BD294" i="3"/>
  <c r="BG294" i="3"/>
  <c r="BH294" i="3" s="1"/>
  <c r="BI294" i="3" s="1"/>
  <c r="AU296" i="3"/>
  <c r="AT296" i="3"/>
  <c r="BJ293" i="3"/>
  <c r="BK293" i="3" s="1"/>
  <c r="AV296" i="3"/>
  <c r="AN297" i="3"/>
  <c r="BA295" i="3"/>
  <c r="AG297" i="3"/>
  <c r="AX296" i="3"/>
  <c r="AH297" i="3"/>
  <c r="X297" i="3"/>
  <c r="BC295" i="3"/>
  <c r="AW296" i="3"/>
  <c r="Y297" i="3"/>
  <c r="Z297" i="3" s="1"/>
  <c r="B298" i="3"/>
  <c r="AQ298" i="3"/>
  <c r="A299" i="3"/>
  <c r="C298" i="3"/>
  <c r="D298" i="3"/>
  <c r="AR298" i="3"/>
  <c r="G298" i="3"/>
  <c r="H298" i="3" s="1"/>
  <c r="BN298" i="3" s="1"/>
  <c r="F298" i="3"/>
  <c r="BM298" i="3" s="1"/>
  <c r="Q298" i="3"/>
  <c r="S298" i="3"/>
  <c r="O298" i="3"/>
  <c r="U298" i="3"/>
  <c r="AF298" i="3"/>
  <c r="AE298" i="3"/>
  <c r="M298" i="3"/>
  <c r="AD298" i="3"/>
  <c r="AK298" i="3"/>
  <c r="AM298" i="3"/>
  <c r="V298" i="3"/>
  <c r="T298" i="3"/>
  <c r="R298" i="3"/>
  <c r="P298" i="3"/>
  <c r="AN298" i="3" l="1"/>
  <c r="AW297" i="3"/>
  <c r="BA296" i="3"/>
  <c r="BB296" i="3" s="1"/>
  <c r="BG295" i="3"/>
  <c r="BH295" i="3" s="1"/>
  <c r="BI295" i="3" s="1"/>
  <c r="BD295" i="3"/>
  <c r="AT297" i="3"/>
  <c r="AO298" i="3"/>
  <c r="AU297" i="3"/>
  <c r="BF295" i="3"/>
  <c r="BJ294" i="3" s="1"/>
  <c r="BK294" i="3" s="1"/>
  <c r="BB295" i="3"/>
  <c r="BQ295" i="3"/>
  <c r="AG298" i="3"/>
  <c r="X298" i="3"/>
  <c r="AX297" i="3"/>
  <c r="AH298" i="3"/>
  <c r="Y298" i="3"/>
  <c r="Z298" i="3" s="1"/>
  <c r="AR299" i="3"/>
  <c r="C299" i="3"/>
  <c r="D299" i="3"/>
  <c r="AQ299" i="3"/>
  <c r="B299" i="3"/>
  <c r="A300" i="3"/>
  <c r="G299" i="3"/>
  <c r="H299" i="3" s="1"/>
  <c r="F299" i="3"/>
  <c r="Q299" i="3"/>
  <c r="S299" i="3"/>
  <c r="O299" i="3"/>
  <c r="U299" i="3"/>
  <c r="AD299" i="3"/>
  <c r="AE299" i="3"/>
  <c r="M299" i="3"/>
  <c r="AK299" i="3"/>
  <c r="AF299" i="3"/>
  <c r="AM299" i="3"/>
  <c r="P299" i="3"/>
  <c r="R299" i="3"/>
  <c r="T299" i="3"/>
  <c r="V299" i="3"/>
  <c r="AY296" i="3"/>
  <c r="BC296" i="3" s="1"/>
  <c r="AN299" i="3" l="1"/>
  <c r="BQ296" i="3"/>
  <c r="X299" i="3"/>
  <c r="AW298" i="3"/>
  <c r="BF296" i="3"/>
  <c r="AY297" i="3"/>
  <c r="AU298" i="3"/>
  <c r="BA297" i="3"/>
  <c r="AV297" i="3"/>
  <c r="AT298" i="3"/>
  <c r="BD296" i="3"/>
  <c r="BG296" i="3"/>
  <c r="BH296" i="3" s="1"/>
  <c r="BI296" i="3" s="1"/>
  <c r="Y299" i="3"/>
  <c r="Z299" i="3" s="1"/>
  <c r="BM299" i="3"/>
  <c r="AX298" i="3"/>
  <c r="AY298" i="3" s="1"/>
  <c r="BN299" i="3"/>
  <c r="AG299" i="3"/>
  <c r="D300" i="3"/>
  <c r="A301" i="3"/>
  <c r="B300" i="3"/>
  <c r="AR300" i="3"/>
  <c r="AQ300" i="3"/>
  <c r="C300" i="3"/>
  <c r="G300" i="3"/>
  <c r="H300" i="3" s="1"/>
  <c r="F300" i="3"/>
  <c r="Q300" i="3"/>
  <c r="S300" i="3"/>
  <c r="O300" i="3"/>
  <c r="U300" i="3"/>
  <c r="M300" i="3"/>
  <c r="AD300" i="3"/>
  <c r="AE300" i="3"/>
  <c r="AK300" i="3"/>
  <c r="AF300" i="3"/>
  <c r="AM300" i="3"/>
  <c r="AN300" i="3" s="1"/>
  <c r="T300" i="3"/>
  <c r="R300" i="3"/>
  <c r="P300" i="3"/>
  <c r="V300" i="3"/>
  <c r="BJ295" i="3"/>
  <c r="BK295" i="3" s="1"/>
  <c r="AO299" i="3"/>
  <c r="AH299" i="3"/>
  <c r="BM300" i="3" l="1"/>
  <c r="BC297" i="3"/>
  <c r="AX299" i="3"/>
  <c r="AG300" i="3"/>
  <c r="AV298" i="3"/>
  <c r="BC298" i="3" s="1"/>
  <c r="BA298" i="3"/>
  <c r="AO300" i="3"/>
  <c r="Y300" i="3"/>
  <c r="Z300" i="3" s="1"/>
  <c r="X300" i="3"/>
  <c r="AT299" i="3"/>
  <c r="AU299" i="3"/>
  <c r="BN300" i="3"/>
  <c r="BD297" i="3"/>
  <c r="BG297" i="3"/>
  <c r="BH297" i="3" s="1"/>
  <c r="BI297" i="3" s="1"/>
  <c r="AR301" i="3"/>
  <c r="B301" i="3"/>
  <c r="AQ301" i="3"/>
  <c r="A302" i="3"/>
  <c r="C301" i="3"/>
  <c r="D301" i="3"/>
  <c r="G301" i="3"/>
  <c r="H301" i="3" s="1"/>
  <c r="BN301" i="3" s="1"/>
  <c r="F301" i="3"/>
  <c r="Q301" i="3"/>
  <c r="S301" i="3"/>
  <c r="O301" i="3"/>
  <c r="U301" i="3"/>
  <c r="M301" i="3"/>
  <c r="AD301" i="3"/>
  <c r="AF301" i="3"/>
  <c r="AE301" i="3"/>
  <c r="AG301" i="3" s="1"/>
  <c r="AK301" i="3"/>
  <c r="AM301" i="3"/>
  <c r="AN301" i="3" s="1"/>
  <c r="P301" i="3"/>
  <c r="T301" i="3"/>
  <c r="R301" i="3"/>
  <c r="V301" i="3"/>
  <c r="AW299" i="3"/>
  <c r="AY299" i="3" s="1"/>
  <c r="AH300" i="3"/>
  <c r="BB297" i="3"/>
  <c r="BQ297" i="3"/>
  <c r="BF297" i="3"/>
  <c r="BJ296" i="3" s="1"/>
  <c r="BK296" i="3" s="1"/>
  <c r="AX300" i="3" l="1"/>
  <c r="BM301" i="3"/>
  <c r="AT300" i="3"/>
  <c r="AV299" i="3"/>
  <c r="BC299" i="3" s="1"/>
  <c r="BA299" i="3"/>
  <c r="BB298" i="3"/>
  <c r="BQ298" i="3"/>
  <c r="BF298" i="3"/>
  <c r="BJ297" i="3" s="1"/>
  <c r="BK297" i="3" s="1"/>
  <c r="AU300" i="3"/>
  <c r="BD298" i="3"/>
  <c r="BG298" i="3"/>
  <c r="BH298" i="3" s="1"/>
  <c r="BI298" i="3" s="1"/>
  <c r="AO301" i="3"/>
  <c r="AH301" i="3"/>
  <c r="Y301" i="3"/>
  <c r="Z301" i="3" s="1"/>
  <c r="AW300" i="3"/>
  <c r="AY300" i="3" s="1"/>
  <c r="X301" i="3"/>
  <c r="B302" i="3"/>
  <c r="AQ302" i="3"/>
  <c r="A303" i="3"/>
  <c r="D302" i="3"/>
  <c r="C302" i="3"/>
  <c r="AR302" i="3"/>
  <c r="F302" i="3"/>
  <c r="G302" i="3"/>
  <c r="H302" i="3" s="1"/>
  <c r="Q302" i="3"/>
  <c r="S302" i="3"/>
  <c r="O302" i="3"/>
  <c r="U302" i="3"/>
  <c r="AF302" i="3"/>
  <c r="M302" i="3"/>
  <c r="AD302" i="3"/>
  <c r="AE302" i="3"/>
  <c r="AM302" i="3"/>
  <c r="AK302" i="3"/>
  <c r="V302" i="3"/>
  <c r="P302" i="3"/>
  <c r="T302" i="3"/>
  <c r="R302" i="3"/>
  <c r="AX301" i="3" l="1"/>
  <c r="AV300" i="3"/>
  <c r="BC300" i="3" s="1"/>
  <c r="BA300" i="3"/>
  <c r="BF300" i="3" s="1"/>
  <c r="AO302" i="3"/>
  <c r="Y302" i="3"/>
  <c r="Z302" i="3" s="1"/>
  <c r="AW301" i="3"/>
  <c r="AY301" i="3" s="1"/>
  <c r="X302" i="3"/>
  <c r="AR303" i="3"/>
  <c r="D303" i="3"/>
  <c r="C303" i="3"/>
  <c r="AQ303" i="3"/>
  <c r="B303" i="3"/>
  <c r="A304" i="3"/>
  <c r="F303" i="3"/>
  <c r="G303" i="3"/>
  <c r="H303" i="3" s="1"/>
  <c r="Q303" i="3"/>
  <c r="S303" i="3"/>
  <c r="O303" i="3"/>
  <c r="U303" i="3"/>
  <c r="AE303" i="3"/>
  <c r="M303" i="3"/>
  <c r="AD303" i="3"/>
  <c r="AF303" i="3"/>
  <c r="AK303" i="3"/>
  <c r="AM303" i="3"/>
  <c r="T303" i="3"/>
  <c r="V303" i="3"/>
  <c r="P303" i="3"/>
  <c r="R303" i="3"/>
  <c r="BN302" i="3"/>
  <c r="BF299" i="3"/>
  <c r="BJ298" i="3" s="1"/>
  <c r="BK298" i="3" s="1"/>
  <c r="BB299" i="3"/>
  <c r="BQ299" i="3"/>
  <c r="AG302" i="3"/>
  <c r="BM302" i="3"/>
  <c r="BD299" i="3"/>
  <c r="BG299" i="3"/>
  <c r="BH299" i="3" s="1"/>
  <c r="BI299" i="3" s="1"/>
  <c r="AN302" i="3"/>
  <c r="AH302" i="3"/>
  <c r="AT301" i="3"/>
  <c r="AU301" i="3"/>
  <c r="AN303" i="3" l="1"/>
  <c r="BD300" i="3"/>
  <c r="BG300" i="3"/>
  <c r="BH300" i="3" s="1"/>
  <c r="BI300" i="3" s="1"/>
  <c r="AW302" i="3"/>
  <c r="BB300" i="3"/>
  <c r="BQ300" i="3"/>
  <c r="BM303" i="3"/>
  <c r="AU302" i="3"/>
  <c r="AH303" i="3"/>
  <c r="BJ299" i="3"/>
  <c r="BK299" i="3" s="1"/>
  <c r="D304" i="3"/>
  <c r="A305" i="3"/>
  <c r="B304" i="3"/>
  <c r="AR304" i="3"/>
  <c r="AQ304" i="3"/>
  <c r="C304" i="3"/>
  <c r="G304" i="3"/>
  <c r="H304" i="3" s="1"/>
  <c r="F304" i="3"/>
  <c r="Q304" i="3"/>
  <c r="S304" i="3"/>
  <c r="O304" i="3"/>
  <c r="U304" i="3"/>
  <c r="AF304" i="3"/>
  <c r="AM304" i="3"/>
  <c r="AD304" i="3"/>
  <c r="AE304" i="3"/>
  <c r="M304" i="3"/>
  <c r="AK304" i="3"/>
  <c r="R304" i="3"/>
  <c r="T304" i="3"/>
  <c r="V304" i="3"/>
  <c r="P304" i="3"/>
  <c r="AG303" i="3"/>
  <c r="AV301" i="3"/>
  <c r="BC301" i="3" s="1"/>
  <c r="BA301" i="3"/>
  <c r="X303" i="3"/>
  <c r="AO303" i="3"/>
  <c r="Y303" i="3"/>
  <c r="Z303" i="3" s="1"/>
  <c r="AT302" i="3"/>
  <c r="AX302" i="3"/>
  <c r="AY302" i="3" s="1"/>
  <c r="BN303" i="3"/>
  <c r="BM304" i="3" l="1"/>
  <c r="AT303" i="3"/>
  <c r="BN304" i="3"/>
  <c r="AW303" i="3"/>
  <c r="AG304" i="3"/>
  <c r="AN304" i="3"/>
  <c r="Y304" i="3"/>
  <c r="Z304" i="3" s="1"/>
  <c r="BF301" i="3"/>
  <c r="BJ300" i="3" s="1"/>
  <c r="BK300" i="3" s="1"/>
  <c r="BQ301" i="3"/>
  <c r="BB301" i="3"/>
  <c r="AV302" i="3"/>
  <c r="BC302" i="3" s="1"/>
  <c r="BA302" i="3"/>
  <c r="AX303" i="3"/>
  <c r="AY303" i="3" s="1"/>
  <c r="AO304" i="3"/>
  <c r="AR305" i="3"/>
  <c r="B305" i="3"/>
  <c r="AQ305" i="3"/>
  <c r="A306" i="3"/>
  <c r="D305" i="3"/>
  <c r="C305" i="3"/>
  <c r="G305" i="3"/>
  <c r="H305" i="3" s="1"/>
  <c r="BN305" i="3" s="1"/>
  <c r="F305" i="3"/>
  <c r="BM305" i="3" s="1"/>
  <c r="Q305" i="3"/>
  <c r="S305" i="3"/>
  <c r="O305" i="3"/>
  <c r="U305" i="3"/>
  <c r="AD305" i="3"/>
  <c r="AE305" i="3"/>
  <c r="AF305" i="3"/>
  <c r="M305" i="3"/>
  <c r="AM305" i="3"/>
  <c r="AK305" i="3"/>
  <c r="P305" i="3"/>
  <c r="V305" i="3"/>
  <c r="R305" i="3"/>
  <c r="T305" i="3"/>
  <c r="AH304" i="3"/>
  <c r="X304" i="3"/>
  <c r="BD301" i="3"/>
  <c r="BG301" i="3"/>
  <c r="BH301" i="3" s="1"/>
  <c r="BI301" i="3" s="1"/>
  <c r="AU303" i="3"/>
  <c r="BA303" i="3" s="1"/>
  <c r="AO305" i="3" l="1"/>
  <c r="AX304" i="3"/>
  <c r="AV303" i="3"/>
  <c r="BC303" i="3" s="1"/>
  <c r="BF302" i="3"/>
  <c r="BJ301" i="3" s="1"/>
  <c r="BK301" i="3" s="1"/>
  <c r="BB302" i="3"/>
  <c r="BQ302" i="3"/>
  <c r="AT304" i="3"/>
  <c r="BD302" i="3"/>
  <c r="BG302" i="3"/>
  <c r="BH302" i="3" s="1"/>
  <c r="BI302" i="3" s="1"/>
  <c r="AW304" i="3"/>
  <c r="AN305" i="3"/>
  <c r="Y305" i="3"/>
  <c r="Z305" i="3" s="1"/>
  <c r="X305" i="3"/>
  <c r="B306" i="3"/>
  <c r="AQ306" i="3"/>
  <c r="A307" i="3"/>
  <c r="D306" i="3"/>
  <c r="C306" i="3"/>
  <c r="AR306" i="3"/>
  <c r="F306" i="3"/>
  <c r="BM306" i="3" s="1"/>
  <c r="G306" i="3"/>
  <c r="H306" i="3" s="1"/>
  <c r="BN306" i="3" s="1"/>
  <c r="Q306" i="3"/>
  <c r="S306" i="3"/>
  <c r="O306" i="3"/>
  <c r="U306" i="3"/>
  <c r="M306" i="3"/>
  <c r="AD306" i="3"/>
  <c r="AE306" i="3"/>
  <c r="AF306" i="3"/>
  <c r="AK306" i="3"/>
  <c r="AM306" i="3"/>
  <c r="AN306" i="3" s="1"/>
  <c r="P306" i="3"/>
  <c r="R306" i="3"/>
  <c r="T306" i="3"/>
  <c r="V306" i="3"/>
  <c r="AU304" i="3"/>
  <c r="BB303" i="3"/>
  <c r="BQ303" i="3"/>
  <c r="BF303" i="3"/>
  <c r="BJ302" i="3" s="1"/>
  <c r="BK302" i="3" s="1"/>
  <c r="AG305" i="3"/>
  <c r="AT305" i="3" s="1"/>
  <c r="AH305" i="3"/>
  <c r="AY304" i="3" l="1"/>
  <c r="AX305" i="3"/>
  <c r="AU305" i="3"/>
  <c r="AG306" i="3"/>
  <c r="AR307" i="3"/>
  <c r="C307" i="3"/>
  <c r="D307" i="3"/>
  <c r="AQ307" i="3"/>
  <c r="B307" i="3"/>
  <c r="A308" i="3"/>
  <c r="F307" i="3"/>
  <c r="G307" i="3"/>
  <c r="H307" i="3" s="1"/>
  <c r="Q307" i="3"/>
  <c r="S307" i="3"/>
  <c r="O307" i="3"/>
  <c r="U307" i="3"/>
  <c r="AF307" i="3"/>
  <c r="AK307" i="3"/>
  <c r="AM307" i="3"/>
  <c r="AE307" i="3"/>
  <c r="M307" i="3"/>
  <c r="AD307" i="3"/>
  <c r="T307" i="3"/>
  <c r="V307" i="3"/>
  <c r="P307" i="3"/>
  <c r="R307" i="3"/>
  <c r="AV304" i="3"/>
  <c r="BC304" i="3" s="1"/>
  <c r="BA304" i="3"/>
  <c r="AO306" i="3"/>
  <c r="AV305" i="3"/>
  <c r="BD303" i="3"/>
  <c r="BG303" i="3"/>
  <c r="BH303" i="3" s="1"/>
  <c r="BI303" i="3" s="1"/>
  <c r="Y306" i="3"/>
  <c r="Z306" i="3" s="1"/>
  <c r="AH306" i="3"/>
  <c r="AW305" i="3"/>
  <c r="AY305" i="3" s="1"/>
  <c r="X306" i="3"/>
  <c r="AU306" i="3" l="1"/>
  <c r="BN307" i="3"/>
  <c r="BM307" i="3"/>
  <c r="AN307" i="3"/>
  <c r="AT306" i="3"/>
  <c r="BC305" i="3"/>
  <c r="BG305" i="3" s="1"/>
  <c r="BH305" i="3" s="1"/>
  <c r="BI305" i="3" s="1"/>
  <c r="AG307" i="3"/>
  <c r="AH307" i="3"/>
  <c r="BQ304" i="3"/>
  <c r="BB304" i="3"/>
  <c r="BF304" i="3"/>
  <c r="BJ303" i="3" s="1"/>
  <c r="BK303" i="3" s="1"/>
  <c r="AO307" i="3"/>
  <c r="BD304" i="3"/>
  <c r="BG304" i="3"/>
  <c r="BH304" i="3" s="1"/>
  <c r="BI304" i="3" s="1"/>
  <c r="C308" i="3"/>
  <c r="A309" i="3"/>
  <c r="B308" i="3"/>
  <c r="AR308" i="3"/>
  <c r="AQ308" i="3"/>
  <c r="D308" i="3"/>
  <c r="F308" i="3"/>
  <c r="G308" i="3"/>
  <c r="H308" i="3" s="1"/>
  <c r="Q308" i="3"/>
  <c r="S308" i="3"/>
  <c r="O308" i="3"/>
  <c r="U308" i="3"/>
  <c r="AF308" i="3"/>
  <c r="AD308" i="3"/>
  <c r="AE308" i="3"/>
  <c r="AM308" i="3"/>
  <c r="AK308" i="3"/>
  <c r="M308" i="3"/>
  <c r="P308" i="3"/>
  <c r="T308" i="3"/>
  <c r="R308" i="3"/>
  <c r="V308" i="3"/>
  <c r="X307" i="3"/>
  <c r="AV306" i="3"/>
  <c r="Y307" i="3"/>
  <c r="Z307" i="3" s="1"/>
  <c r="BD305" i="3"/>
  <c r="BA305" i="3"/>
  <c r="AW306" i="3"/>
  <c r="AX306" i="3"/>
  <c r="AU307" i="3" l="1"/>
  <c r="BM308" i="3"/>
  <c r="AT307" i="3"/>
  <c r="Y308" i="3"/>
  <c r="Z308" i="3" s="1"/>
  <c r="BA306" i="3"/>
  <c r="BF306" i="3" s="1"/>
  <c r="AN308" i="3"/>
  <c r="AG308" i="3"/>
  <c r="AT308" i="3" s="1"/>
  <c r="BQ306" i="3"/>
  <c r="BQ305" i="3"/>
  <c r="BB305" i="3"/>
  <c r="BF305" i="3"/>
  <c r="BJ304" i="3" s="1"/>
  <c r="BK304" i="3" s="1"/>
  <c r="X308" i="3"/>
  <c r="AH308" i="3"/>
  <c r="AR309" i="3"/>
  <c r="B309" i="3"/>
  <c r="AQ309" i="3"/>
  <c r="A310" i="3"/>
  <c r="D309" i="3"/>
  <c r="C309" i="3"/>
  <c r="G309" i="3"/>
  <c r="H309" i="3" s="1"/>
  <c r="BN309" i="3" s="1"/>
  <c r="F309" i="3"/>
  <c r="Q309" i="3"/>
  <c r="S309" i="3"/>
  <c r="O309" i="3"/>
  <c r="U309" i="3"/>
  <c r="M309" i="3"/>
  <c r="AE309" i="3"/>
  <c r="AD309" i="3"/>
  <c r="AF309" i="3"/>
  <c r="AM309" i="3"/>
  <c r="AK309" i="3"/>
  <c r="T309" i="3"/>
  <c r="V309" i="3"/>
  <c r="R309" i="3"/>
  <c r="P309" i="3"/>
  <c r="AV307" i="3"/>
  <c r="AO308" i="3"/>
  <c r="AX307" i="3"/>
  <c r="AY306" i="3"/>
  <c r="BC306" i="3" s="1"/>
  <c r="BN308" i="3"/>
  <c r="AW307" i="3"/>
  <c r="AY307" i="3" l="1"/>
  <c r="BB306" i="3"/>
  <c r="AU308" i="3"/>
  <c r="AO309" i="3"/>
  <c r="AW308" i="3"/>
  <c r="BA307" i="3"/>
  <c r="BF307" i="3" s="1"/>
  <c r="BJ306" i="3" s="1"/>
  <c r="BK306" i="3" s="1"/>
  <c r="BD306" i="3"/>
  <c r="BG306" i="3"/>
  <c r="BH306" i="3" s="1"/>
  <c r="BI306" i="3" s="1"/>
  <c r="X309" i="3"/>
  <c r="B310" i="3"/>
  <c r="AQ310" i="3"/>
  <c r="A311" i="3"/>
  <c r="D310" i="3"/>
  <c r="C310" i="3"/>
  <c r="AR310" i="3"/>
  <c r="F310" i="3"/>
  <c r="G310" i="3"/>
  <c r="H310" i="3" s="1"/>
  <c r="Q310" i="3"/>
  <c r="S310" i="3"/>
  <c r="O310" i="3"/>
  <c r="U310" i="3"/>
  <c r="AF310" i="3"/>
  <c r="AE310" i="3"/>
  <c r="M310" i="3"/>
  <c r="AK310" i="3"/>
  <c r="AD310" i="3"/>
  <c r="AM310" i="3"/>
  <c r="T310" i="3"/>
  <c r="R310" i="3"/>
  <c r="P310" i="3"/>
  <c r="V310" i="3"/>
  <c r="AV308" i="3"/>
  <c r="AG309" i="3"/>
  <c r="Y309" i="3"/>
  <c r="Z309" i="3" s="1"/>
  <c r="BC307" i="3"/>
  <c r="BJ305" i="3"/>
  <c r="BK305" i="3" s="1"/>
  <c r="AN309" i="3"/>
  <c r="AH309" i="3"/>
  <c r="BM309" i="3"/>
  <c r="AX308" i="3"/>
  <c r="BB307" i="3" l="1"/>
  <c r="AY308" i="3"/>
  <c r="BC308" i="3" s="1"/>
  <c r="BD308" i="3" s="1"/>
  <c r="BQ307" i="3"/>
  <c r="BM310" i="3"/>
  <c r="BN310" i="3"/>
  <c r="AO310" i="3"/>
  <c r="AX309" i="3"/>
  <c r="BA308" i="3"/>
  <c r="BQ308" i="3" s="1"/>
  <c r="AH310" i="3"/>
  <c r="AT309" i="3"/>
  <c r="AG310" i="3"/>
  <c r="BD307" i="3"/>
  <c r="BG307" i="3"/>
  <c r="BH307" i="3" s="1"/>
  <c r="BI307" i="3" s="1"/>
  <c r="X310" i="3"/>
  <c r="Y310" i="3"/>
  <c r="Z310" i="3" s="1"/>
  <c r="AR311" i="3"/>
  <c r="D311" i="3"/>
  <c r="C311" i="3"/>
  <c r="AQ311" i="3"/>
  <c r="B311" i="3"/>
  <c r="A312" i="3"/>
  <c r="F311" i="3"/>
  <c r="BM311" i="3" s="1"/>
  <c r="G311" i="3"/>
  <c r="H311" i="3" s="1"/>
  <c r="BN311" i="3" s="1"/>
  <c r="Q311" i="3"/>
  <c r="S311" i="3"/>
  <c r="O311" i="3"/>
  <c r="U311" i="3"/>
  <c r="AD311" i="3"/>
  <c r="AE311" i="3"/>
  <c r="M311" i="3"/>
  <c r="AF311" i="3"/>
  <c r="AM311" i="3"/>
  <c r="AK311" i="3"/>
  <c r="T311" i="3"/>
  <c r="R311" i="3"/>
  <c r="V311" i="3"/>
  <c r="P311" i="3"/>
  <c r="AU309" i="3"/>
  <c r="AW309" i="3"/>
  <c r="AN310" i="3"/>
  <c r="AY309" i="3" l="1"/>
  <c r="BG308" i="3"/>
  <c r="BH308" i="3" s="1"/>
  <c r="BI308" i="3" s="1"/>
  <c r="BF308" i="3"/>
  <c r="BJ307" i="3" s="1"/>
  <c r="BK307" i="3" s="1"/>
  <c r="BB308" i="3"/>
  <c r="AX310" i="3"/>
  <c r="AN311" i="3"/>
  <c r="Y311" i="3"/>
  <c r="Z311" i="3" s="1"/>
  <c r="C312" i="3"/>
  <c r="A313" i="3"/>
  <c r="B312" i="3"/>
  <c r="AR312" i="3"/>
  <c r="AQ312" i="3"/>
  <c r="D312" i="3"/>
  <c r="F312" i="3"/>
  <c r="G312" i="3"/>
  <c r="H312" i="3" s="1"/>
  <c r="Q312" i="3"/>
  <c r="S312" i="3"/>
  <c r="O312" i="3"/>
  <c r="U312" i="3"/>
  <c r="AD312" i="3"/>
  <c r="AF312" i="3"/>
  <c r="M312" i="3"/>
  <c r="AK312" i="3"/>
  <c r="AM312" i="3"/>
  <c r="AE312" i="3"/>
  <c r="P312" i="3"/>
  <c r="V312" i="3"/>
  <c r="T312" i="3"/>
  <c r="R312" i="3"/>
  <c r="X311" i="3"/>
  <c r="AW310" i="3"/>
  <c r="AY310" i="3" s="1"/>
  <c r="AH311" i="3"/>
  <c r="AT310" i="3"/>
  <c r="AV309" i="3"/>
  <c r="BA309" i="3"/>
  <c r="AG311" i="3"/>
  <c r="AU310" i="3"/>
  <c r="AO311" i="3"/>
  <c r="BC309" i="3" l="1"/>
  <c r="X312" i="3"/>
  <c r="AW311" i="3"/>
  <c r="AN312" i="3"/>
  <c r="AH312" i="3"/>
  <c r="BD309" i="3"/>
  <c r="BG309" i="3"/>
  <c r="BH309" i="3" s="1"/>
  <c r="BI309" i="3" s="1"/>
  <c r="AG312" i="3"/>
  <c r="AW312" i="3" s="1"/>
  <c r="AR313" i="3"/>
  <c r="B313" i="3"/>
  <c r="AQ313" i="3"/>
  <c r="A314" i="3"/>
  <c r="C313" i="3"/>
  <c r="D313" i="3"/>
  <c r="G313" i="3"/>
  <c r="H313" i="3" s="1"/>
  <c r="BN313" i="3" s="1"/>
  <c r="F313" i="3"/>
  <c r="BM313" i="3" s="1"/>
  <c r="Q313" i="3"/>
  <c r="S313" i="3"/>
  <c r="O313" i="3"/>
  <c r="U313" i="3"/>
  <c r="AE313" i="3"/>
  <c r="M313" i="3"/>
  <c r="AK313" i="3"/>
  <c r="AM313" i="3"/>
  <c r="AN313" i="3" s="1"/>
  <c r="AD313" i="3"/>
  <c r="AF313" i="3"/>
  <c r="T313" i="3"/>
  <c r="R313" i="3"/>
  <c r="V313" i="3"/>
  <c r="P313" i="3"/>
  <c r="BF309" i="3"/>
  <c r="BJ308" i="3" s="1"/>
  <c r="BK308" i="3" s="1"/>
  <c r="BQ309" i="3"/>
  <c r="BB309" i="3"/>
  <c r="Y312" i="3"/>
  <c r="Z312" i="3" s="1"/>
  <c r="AX311" i="3"/>
  <c r="AO312" i="3"/>
  <c r="BN312" i="3"/>
  <c r="BA310" i="3"/>
  <c r="AV310" i="3"/>
  <c r="BC310" i="3" s="1"/>
  <c r="AU311" i="3"/>
  <c r="BM312" i="3"/>
  <c r="AT311" i="3"/>
  <c r="AY311" i="3" l="1"/>
  <c r="AH313" i="3"/>
  <c r="BD310" i="3"/>
  <c r="BG310" i="3"/>
  <c r="BH310" i="3" s="1"/>
  <c r="BI310" i="3" s="1"/>
  <c r="BQ310" i="3"/>
  <c r="BB310" i="3"/>
  <c r="BF310" i="3"/>
  <c r="BJ309" i="3" s="1"/>
  <c r="BK309" i="3" s="1"/>
  <c r="Y313" i="3"/>
  <c r="Z313" i="3" s="1"/>
  <c r="AX312" i="3"/>
  <c r="AY312" i="3" s="1"/>
  <c r="X313" i="3"/>
  <c r="B314" i="3"/>
  <c r="AQ314" i="3"/>
  <c r="A315" i="3"/>
  <c r="D314" i="3"/>
  <c r="C314" i="3"/>
  <c r="AR314" i="3"/>
  <c r="G314" i="3"/>
  <c r="H314" i="3" s="1"/>
  <c r="F314" i="3"/>
  <c r="Q314" i="3"/>
  <c r="S314" i="3"/>
  <c r="O314" i="3"/>
  <c r="U314" i="3"/>
  <c r="AD314" i="3"/>
  <c r="AE314" i="3"/>
  <c r="AF314" i="3"/>
  <c r="AK314" i="3"/>
  <c r="M314" i="3"/>
  <c r="AM314" i="3"/>
  <c r="AN314" i="3" s="1"/>
  <c r="P314" i="3"/>
  <c r="T314" i="3"/>
  <c r="R314" i="3"/>
  <c r="V314" i="3"/>
  <c r="AT312" i="3"/>
  <c r="AO313" i="3"/>
  <c r="AU312" i="3"/>
  <c r="AG313" i="3"/>
  <c r="AV311" i="3"/>
  <c r="BC311" i="3" s="1"/>
  <c r="BA311" i="3"/>
  <c r="AW313" i="3" l="1"/>
  <c r="BM314" i="3"/>
  <c r="X314" i="3"/>
  <c r="AT313" i="3"/>
  <c r="BB311" i="3"/>
  <c r="BQ311" i="3"/>
  <c r="BF311" i="3"/>
  <c r="BJ310" i="3" s="1"/>
  <c r="BK310" i="3" s="1"/>
  <c r="BD311" i="3"/>
  <c r="BG311" i="3"/>
  <c r="BH311" i="3" s="1"/>
  <c r="BI311" i="3" s="1"/>
  <c r="AR315" i="3"/>
  <c r="C315" i="3"/>
  <c r="D315" i="3"/>
  <c r="AQ315" i="3"/>
  <c r="B315" i="3"/>
  <c r="A316" i="3"/>
  <c r="G315" i="3"/>
  <c r="H315" i="3" s="1"/>
  <c r="BN315" i="3" s="1"/>
  <c r="F315" i="3"/>
  <c r="Q315" i="3"/>
  <c r="S315" i="3"/>
  <c r="O315" i="3"/>
  <c r="U315" i="3"/>
  <c r="AD315" i="3"/>
  <c r="AF315" i="3"/>
  <c r="M315" i="3"/>
  <c r="AK315" i="3"/>
  <c r="AM315" i="3"/>
  <c r="AE315" i="3"/>
  <c r="R315" i="3"/>
  <c r="V315" i="3"/>
  <c r="T315" i="3"/>
  <c r="P315" i="3"/>
  <c r="AO314" i="3"/>
  <c r="BA312" i="3"/>
  <c r="AV312" i="3"/>
  <c r="BC312" i="3" s="1"/>
  <c r="AG314" i="3"/>
  <c r="BN314" i="3"/>
  <c r="Y314" i="3"/>
  <c r="Z314" i="3" s="1"/>
  <c r="AU313" i="3"/>
  <c r="AH314" i="3"/>
  <c r="AU314" i="3" s="1"/>
  <c r="AX313" i="3"/>
  <c r="AY313" i="3" l="1"/>
  <c r="AH315" i="3"/>
  <c r="AT314" i="3"/>
  <c r="AO315" i="3"/>
  <c r="Y315" i="3"/>
  <c r="Z315" i="3" s="1"/>
  <c r="C316" i="3"/>
  <c r="A317" i="3"/>
  <c r="B316" i="3"/>
  <c r="AR316" i="3"/>
  <c r="AQ316" i="3"/>
  <c r="D316" i="3"/>
  <c r="G316" i="3"/>
  <c r="H316" i="3" s="1"/>
  <c r="F316" i="3"/>
  <c r="Q316" i="3"/>
  <c r="S316" i="3"/>
  <c r="O316" i="3"/>
  <c r="U316" i="3"/>
  <c r="AE316" i="3"/>
  <c r="M316" i="3"/>
  <c r="AD316" i="3"/>
  <c r="AM316" i="3"/>
  <c r="AK316" i="3"/>
  <c r="AO316" i="3" s="1"/>
  <c r="AF316" i="3"/>
  <c r="R316" i="3"/>
  <c r="P316" i="3"/>
  <c r="V316" i="3"/>
  <c r="T316" i="3"/>
  <c r="AV314" i="3"/>
  <c r="AW314" i="3"/>
  <c r="BA313" i="3"/>
  <c r="AV313" i="3"/>
  <c r="BC313" i="3" s="1"/>
  <c r="AG315" i="3"/>
  <c r="AW315" i="3" s="1"/>
  <c r="BD312" i="3"/>
  <c r="BG312" i="3"/>
  <c r="BH312" i="3" s="1"/>
  <c r="BI312" i="3" s="1"/>
  <c r="AN315" i="3"/>
  <c r="X315" i="3"/>
  <c r="AX314" i="3"/>
  <c r="BB312" i="3"/>
  <c r="BQ312" i="3"/>
  <c r="BF312" i="3"/>
  <c r="BJ311" i="3" s="1"/>
  <c r="BK311" i="3" s="1"/>
  <c r="BM315" i="3"/>
  <c r="AG316" i="3" l="1"/>
  <c r="AH316" i="3"/>
  <c r="AR317" i="3"/>
  <c r="B317" i="3"/>
  <c r="AQ317" i="3"/>
  <c r="A318" i="3"/>
  <c r="C317" i="3"/>
  <c r="D317" i="3"/>
  <c r="F317" i="3"/>
  <c r="G317" i="3"/>
  <c r="H317" i="3" s="1"/>
  <c r="Q317" i="3"/>
  <c r="S317" i="3"/>
  <c r="O317" i="3"/>
  <c r="U317" i="3"/>
  <c r="AM317" i="3"/>
  <c r="AD317" i="3"/>
  <c r="AF317" i="3"/>
  <c r="AE317" i="3"/>
  <c r="M317" i="3"/>
  <c r="AK317" i="3"/>
  <c r="R317" i="3"/>
  <c r="V317" i="3"/>
  <c r="T317" i="3"/>
  <c r="P317" i="3"/>
  <c r="X316" i="3"/>
  <c r="Y316" i="3"/>
  <c r="Z316" i="3" s="1"/>
  <c r="BD313" i="3"/>
  <c r="BG313" i="3"/>
  <c r="BH313" i="3" s="1"/>
  <c r="BI313" i="3" s="1"/>
  <c r="BQ313" i="3"/>
  <c r="BB313" i="3"/>
  <c r="BF313" i="3"/>
  <c r="BJ312" i="3" s="1"/>
  <c r="BK312" i="3" s="1"/>
  <c r="AX315" i="3"/>
  <c r="AY315" i="3" s="1"/>
  <c r="AT315" i="3"/>
  <c r="AN316" i="3"/>
  <c r="BM316" i="3"/>
  <c r="AU315" i="3"/>
  <c r="AY314" i="3"/>
  <c r="BC314" i="3" s="1"/>
  <c r="BA314" i="3"/>
  <c r="BN316" i="3"/>
  <c r="BN317" i="3" l="1"/>
  <c r="BM317" i="3"/>
  <c r="AO317" i="3"/>
  <c r="AG317" i="3"/>
  <c r="AX316" i="3"/>
  <c r="AU316" i="3"/>
  <c r="BD314" i="3"/>
  <c r="BG314" i="3"/>
  <c r="BH314" i="3" s="1"/>
  <c r="BI314" i="3" s="1"/>
  <c r="AH317" i="3"/>
  <c r="AW316" i="3"/>
  <c r="AV315" i="3"/>
  <c r="BC315" i="3" s="1"/>
  <c r="BA315" i="3"/>
  <c r="BF314" i="3"/>
  <c r="BJ313" i="3" s="1"/>
  <c r="BK313" i="3" s="1"/>
  <c r="BQ314" i="3"/>
  <c r="BB314" i="3"/>
  <c r="AN317" i="3"/>
  <c r="AT316" i="3"/>
  <c r="Y317" i="3"/>
  <c r="Z317" i="3" s="1"/>
  <c r="X317" i="3"/>
  <c r="B318" i="3"/>
  <c r="AQ318" i="3"/>
  <c r="A319" i="3"/>
  <c r="C318" i="3"/>
  <c r="D318" i="3"/>
  <c r="AR318" i="3"/>
  <c r="F318" i="3"/>
  <c r="G318" i="3"/>
  <c r="H318" i="3" s="1"/>
  <c r="Q318" i="3"/>
  <c r="S318" i="3"/>
  <c r="O318" i="3"/>
  <c r="U318" i="3"/>
  <c r="AE318" i="3"/>
  <c r="M318" i="3"/>
  <c r="AF318" i="3"/>
  <c r="AD318" i="3"/>
  <c r="AM318" i="3"/>
  <c r="AK318" i="3"/>
  <c r="AO318" i="3" s="1"/>
  <c r="T318" i="3"/>
  <c r="V318" i="3"/>
  <c r="P318" i="3"/>
  <c r="R318" i="3"/>
  <c r="AX317" i="3" l="1"/>
  <c r="AY316" i="3"/>
  <c r="AG318" i="3"/>
  <c r="AR319" i="3"/>
  <c r="D319" i="3"/>
  <c r="C319" i="3"/>
  <c r="AQ319" i="3"/>
  <c r="B319" i="3"/>
  <c r="A320" i="3"/>
  <c r="G319" i="3"/>
  <c r="H319" i="3" s="1"/>
  <c r="F319" i="3"/>
  <c r="Q319" i="3"/>
  <c r="S319" i="3"/>
  <c r="O319" i="3"/>
  <c r="U319" i="3"/>
  <c r="AF319" i="3"/>
  <c r="AD319" i="3"/>
  <c r="AE319" i="3"/>
  <c r="M319" i="3"/>
  <c r="AK319" i="3"/>
  <c r="AM319" i="3"/>
  <c r="P319" i="3"/>
  <c r="V319" i="3"/>
  <c r="R319" i="3"/>
  <c r="T319" i="3"/>
  <c r="X318" i="3"/>
  <c r="BB315" i="3"/>
  <c r="BF315" i="3"/>
  <c r="BJ314" i="3" s="1"/>
  <c r="BK314" i="3" s="1"/>
  <c r="BQ315" i="3"/>
  <c r="Y318" i="3"/>
  <c r="Z318" i="3" s="1"/>
  <c r="BN318" i="3"/>
  <c r="AN318" i="3"/>
  <c r="BD315" i="3"/>
  <c r="BG315" i="3"/>
  <c r="BH315" i="3" s="1"/>
  <c r="BI315" i="3" s="1"/>
  <c r="BM318" i="3"/>
  <c r="AW317" i="3"/>
  <c r="AY317" i="3" s="1"/>
  <c r="AT317" i="3"/>
  <c r="AH318" i="3"/>
  <c r="AV316" i="3"/>
  <c r="BC316" i="3" s="1"/>
  <c r="BA316" i="3"/>
  <c r="AU317" i="3"/>
  <c r="AN319" i="3" l="1"/>
  <c r="Y319" i="3"/>
  <c r="Z319" i="3" s="1"/>
  <c r="AX318" i="3"/>
  <c r="X319" i="3"/>
  <c r="AT318" i="3"/>
  <c r="AV317" i="3"/>
  <c r="BC317" i="3" s="1"/>
  <c r="BA317" i="3"/>
  <c r="BM319" i="3"/>
  <c r="AG319" i="3"/>
  <c r="BN319" i="3"/>
  <c r="AW318" i="3"/>
  <c r="AO319" i="3"/>
  <c r="AU318" i="3"/>
  <c r="BF316" i="3"/>
  <c r="BJ315" i="3" s="1"/>
  <c r="BK315" i="3" s="1"/>
  <c r="BQ316" i="3"/>
  <c r="BB316" i="3"/>
  <c r="BD316" i="3"/>
  <c r="BG316" i="3"/>
  <c r="BH316" i="3" s="1"/>
  <c r="BI316" i="3" s="1"/>
  <c r="AH319" i="3"/>
  <c r="C320" i="3"/>
  <c r="A321" i="3"/>
  <c r="B320" i="3"/>
  <c r="AR320" i="3"/>
  <c r="AQ320" i="3"/>
  <c r="D320" i="3"/>
  <c r="G320" i="3"/>
  <c r="H320" i="3" s="1"/>
  <c r="BN320" i="3" s="1"/>
  <c r="F320" i="3"/>
  <c r="BM320" i="3" s="1"/>
  <c r="Q320" i="3"/>
  <c r="S320" i="3"/>
  <c r="O320" i="3"/>
  <c r="U320" i="3"/>
  <c r="AF320" i="3"/>
  <c r="AE320" i="3"/>
  <c r="M320" i="3"/>
  <c r="AD320" i="3"/>
  <c r="AK320" i="3"/>
  <c r="AM320" i="3"/>
  <c r="P320" i="3"/>
  <c r="R320" i="3"/>
  <c r="V320" i="3"/>
  <c r="T320" i="3"/>
  <c r="AN320" i="3" l="1"/>
  <c r="AU319" i="3"/>
  <c r="AT319" i="3"/>
  <c r="X320" i="3"/>
  <c r="AY318" i="3"/>
  <c r="Y320" i="3"/>
  <c r="Z320" i="3" s="1"/>
  <c r="AV319" i="3"/>
  <c r="AR321" i="3"/>
  <c r="B321" i="3"/>
  <c r="AQ321" i="3"/>
  <c r="A322" i="3"/>
  <c r="D321" i="3"/>
  <c r="C321" i="3"/>
  <c r="G321" i="3"/>
  <c r="H321" i="3" s="1"/>
  <c r="F321" i="3"/>
  <c r="Q321" i="3"/>
  <c r="S321" i="3"/>
  <c r="O321" i="3"/>
  <c r="U321" i="3"/>
  <c r="AF321" i="3"/>
  <c r="AD321" i="3"/>
  <c r="AE321" i="3"/>
  <c r="M321" i="3"/>
  <c r="AK321" i="3"/>
  <c r="AM321" i="3"/>
  <c r="T321" i="3"/>
  <c r="P321" i="3"/>
  <c r="V321" i="3"/>
  <c r="R321" i="3"/>
  <c r="BQ317" i="3"/>
  <c r="BF317" i="3"/>
  <c r="BJ316" i="3" s="1"/>
  <c r="BK316" i="3" s="1"/>
  <c r="BB317" i="3"/>
  <c r="AH320" i="3"/>
  <c r="BD317" i="3"/>
  <c r="BG317" i="3"/>
  <c r="BH317" i="3" s="1"/>
  <c r="BI317" i="3" s="1"/>
  <c r="BA318" i="3"/>
  <c r="AV318" i="3"/>
  <c r="AO320" i="3"/>
  <c r="AX319" i="3"/>
  <c r="AG320" i="3"/>
  <c r="AW319" i="3"/>
  <c r="AX320" i="3" l="1"/>
  <c r="AN321" i="3"/>
  <c r="BC318" i="3"/>
  <c r="BM321" i="3"/>
  <c r="BN321" i="3"/>
  <c r="X321" i="3"/>
  <c r="AY319" i="3"/>
  <c r="BC319" i="3" s="1"/>
  <c r="AG321" i="3"/>
  <c r="B322" i="3"/>
  <c r="AQ322" i="3"/>
  <c r="A323" i="3"/>
  <c r="D322" i="3"/>
  <c r="C322" i="3"/>
  <c r="AR322" i="3"/>
  <c r="G322" i="3"/>
  <c r="H322" i="3" s="1"/>
  <c r="BN322" i="3" s="1"/>
  <c r="F322" i="3"/>
  <c r="BM322" i="3" s="1"/>
  <c r="Q322" i="3"/>
  <c r="S322" i="3"/>
  <c r="O322" i="3"/>
  <c r="U322" i="3"/>
  <c r="AF322" i="3"/>
  <c r="AE322" i="3"/>
  <c r="M322" i="3"/>
  <c r="AD322" i="3"/>
  <c r="AM322" i="3"/>
  <c r="AK322" i="3"/>
  <c r="P322" i="3"/>
  <c r="T322" i="3"/>
  <c r="V322" i="3"/>
  <c r="R322" i="3"/>
  <c r="AW320" i="3"/>
  <c r="BA319" i="3"/>
  <c r="AO321" i="3"/>
  <c r="AH321" i="3"/>
  <c r="AT320" i="3"/>
  <c r="BD318" i="3"/>
  <c r="BG318" i="3"/>
  <c r="BH318" i="3" s="1"/>
  <c r="BI318" i="3" s="1"/>
  <c r="BB318" i="3"/>
  <c r="BF318" i="3"/>
  <c r="BJ317" i="3" s="1"/>
  <c r="BK317" i="3" s="1"/>
  <c r="BQ318" i="3"/>
  <c r="Y321" i="3"/>
  <c r="Z321" i="3" s="1"/>
  <c r="AU320" i="3"/>
  <c r="AY320" i="3" l="1"/>
  <c r="AO322" i="3"/>
  <c r="AX321" i="3"/>
  <c r="AW321" i="3"/>
  <c r="AT321" i="3"/>
  <c r="AH322" i="3"/>
  <c r="AG322" i="3"/>
  <c r="X322" i="3"/>
  <c r="AV320" i="3"/>
  <c r="BC320" i="3" s="1"/>
  <c r="BA320" i="3"/>
  <c r="Y322" i="3"/>
  <c r="Z322" i="3" s="1"/>
  <c r="AU321" i="3"/>
  <c r="AR323" i="3"/>
  <c r="D323" i="3"/>
  <c r="C323" i="3"/>
  <c r="AQ323" i="3"/>
  <c r="B323" i="3"/>
  <c r="A324" i="3"/>
  <c r="G323" i="3"/>
  <c r="H323" i="3" s="1"/>
  <c r="F323" i="3"/>
  <c r="Q323" i="3"/>
  <c r="S323" i="3"/>
  <c r="O323" i="3"/>
  <c r="U323" i="3"/>
  <c r="AE323" i="3"/>
  <c r="AK323" i="3"/>
  <c r="M323" i="3"/>
  <c r="AF323" i="3"/>
  <c r="AD323" i="3"/>
  <c r="AM323" i="3"/>
  <c r="V323" i="3"/>
  <c r="T323" i="3"/>
  <c r="R323" i="3"/>
  <c r="P323" i="3"/>
  <c r="BD319" i="3"/>
  <c r="BG319" i="3"/>
  <c r="BH319" i="3" s="1"/>
  <c r="BI319" i="3" s="1"/>
  <c r="BB319" i="3"/>
  <c r="BF319" i="3"/>
  <c r="BJ318" i="3" s="1"/>
  <c r="BK318" i="3" s="1"/>
  <c r="BQ319" i="3"/>
  <c r="AN322" i="3"/>
  <c r="AX322" i="3" s="1"/>
  <c r="BN323" i="3" l="1"/>
  <c r="AO323" i="3"/>
  <c r="AY321" i="3"/>
  <c r="AU322" i="3"/>
  <c r="BM323" i="3"/>
  <c r="AV321" i="3"/>
  <c r="BC321" i="3" s="1"/>
  <c r="BD321" i="3" s="1"/>
  <c r="BQ320" i="3"/>
  <c r="BB320" i="3"/>
  <c r="BF320" i="3"/>
  <c r="BJ319" i="3" s="1"/>
  <c r="BK319" i="3" s="1"/>
  <c r="BG320" i="3"/>
  <c r="BH320" i="3" s="1"/>
  <c r="BI320" i="3" s="1"/>
  <c r="BD320" i="3"/>
  <c r="C324" i="3"/>
  <c r="A325" i="3"/>
  <c r="B324" i="3"/>
  <c r="AR324" i="3"/>
  <c r="AQ324" i="3"/>
  <c r="D324" i="3"/>
  <c r="F324" i="3"/>
  <c r="G324" i="3"/>
  <c r="H324" i="3" s="1"/>
  <c r="Q324" i="3"/>
  <c r="S324" i="3"/>
  <c r="O324" i="3"/>
  <c r="U324" i="3"/>
  <c r="M324" i="3"/>
  <c r="AF324" i="3"/>
  <c r="AE324" i="3"/>
  <c r="AM324" i="3"/>
  <c r="AD324" i="3"/>
  <c r="AK324" i="3"/>
  <c r="P324" i="3"/>
  <c r="T324" i="3"/>
  <c r="R324" i="3"/>
  <c r="V324" i="3"/>
  <c r="X323" i="3"/>
  <c r="AW322" i="3"/>
  <c r="AY322" i="3" s="1"/>
  <c r="AG323" i="3"/>
  <c r="BA321" i="3"/>
  <c r="AN323" i="3"/>
  <c r="Y323" i="3"/>
  <c r="Z323" i="3" s="1"/>
  <c r="AH323" i="3"/>
  <c r="AT322" i="3"/>
  <c r="BM324" i="3" l="1"/>
  <c r="BG321" i="3"/>
  <c r="BH321" i="3" s="1"/>
  <c r="BI321" i="3" s="1"/>
  <c r="AN324" i="3"/>
  <c r="BN324" i="3"/>
  <c r="AT323" i="3"/>
  <c r="AX323" i="3"/>
  <c r="AG324" i="3"/>
  <c r="AU323" i="3"/>
  <c r="AV322" i="3"/>
  <c r="BC322" i="3" s="1"/>
  <c r="BA322" i="3"/>
  <c r="Y324" i="3"/>
  <c r="Z324" i="3" s="1"/>
  <c r="BF321" i="3"/>
  <c r="BJ320" i="3" s="1"/>
  <c r="BK320" i="3" s="1"/>
  <c r="BQ321" i="3"/>
  <c r="BB321" i="3"/>
  <c r="AR325" i="3"/>
  <c r="B325" i="3"/>
  <c r="A326" i="3"/>
  <c r="C325" i="3"/>
  <c r="D325" i="3"/>
  <c r="AQ325" i="3"/>
  <c r="G325" i="3"/>
  <c r="H325" i="3" s="1"/>
  <c r="BN325" i="3" s="1"/>
  <c r="F325" i="3"/>
  <c r="Q325" i="3"/>
  <c r="S325" i="3"/>
  <c r="O325" i="3"/>
  <c r="U325" i="3"/>
  <c r="M325" i="3"/>
  <c r="AD325" i="3"/>
  <c r="AE325" i="3"/>
  <c r="AF325" i="3"/>
  <c r="AM325" i="3"/>
  <c r="AK325" i="3"/>
  <c r="T325" i="3"/>
  <c r="P325" i="3"/>
  <c r="R325" i="3"/>
  <c r="V325" i="3"/>
  <c r="AO324" i="3"/>
  <c r="AW323" i="3"/>
  <c r="AH324" i="3"/>
  <c r="AX324" i="3" s="1"/>
  <c r="X324" i="3"/>
  <c r="AO325" i="3" l="1"/>
  <c r="AY323" i="3"/>
  <c r="AV323" i="3"/>
  <c r="BM325" i="3"/>
  <c r="D326" i="3"/>
  <c r="AR326" i="3"/>
  <c r="B326" i="3"/>
  <c r="AQ326" i="3"/>
  <c r="A327" i="3"/>
  <c r="C326" i="3"/>
  <c r="G326" i="3"/>
  <c r="H326" i="3" s="1"/>
  <c r="F326" i="3"/>
  <c r="Q326" i="3"/>
  <c r="S326" i="3"/>
  <c r="O326" i="3"/>
  <c r="U326" i="3"/>
  <c r="AD326" i="3"/>
  <c r="M326" i="3"/>
  <c r="AE326" i="3"/>
  <c r="AK326" i="3"/>
  <c r="AM326" i="3"/>
  <c r="AF326" i="3"/>
  <c r="R326" i="3"/>
  <c r="P326" i="3"/>
  <c r="T326" i="3"/>
  <c r="V326" i="3"/>
  <c r="AT324" i="3"/>
  <c r="BQ322" i="3"/>
  <c r="BB322" i="3"/>
  <c r="BF322" i="3"/>
  <c r="BJ321" i="3" s="1"/>
  <c r="BK321" i="3" s="1"/>
  <c r="AG325" i="3"/>
  <c r="BG322" i="3"/>
  <c r="BH322" i="3" s="1"/>
  <c r="BI322" i="3" s="1"/>
  <c r="BD322" i="3"/>
  <c r="AH325" i="3"/>
  <c r="AU324" i="3"/>
  <c r="AN325" i="3"/>
  <c r="BA323" i="3"/>
  <c r="AW324" i="3"/>
  <c r="AY324" i="3" s="1"/>
  <c r="Y325" i="3"/>
  <c r="Z325" i="3" s="1"/>
  <c r="X325" i="3"/>
  <c r="BC323" i="3" l="1"/>
  <c r="AO326" i="3"/>
  <c r="BM326" i="3"/>
  <c r="AG326" i="3"/>
  <c r="BN326" i="3"/>
  <c r="AX325" i="3"/>
  <c r="Y326" i="3"/>
  <c r="Z326" i="3" s="1"/>
  <c r="AH326" i="3"/>
  <c r="AU326" i="3" s="1"/>
  <c r="AQ327" i="3"/>
  <c r="B327" i="3"/>
  <c r="A328" i="3"/>
  <c r="AR327" i="3"/>
  <c r="D327" i="3"/>
  <c r="C327" i="3"/>
  <c r="G327" i="3"/>
  <c r="H327" i="3" s="1"/>
  <c r="F327" i="3"/>
  <c r="Q327" i="3"/>
  <c r="S327" i="3"/>
  <c r="O327" i="3"/>
  <c r="U327" i="3"/>
  <c r="AF327" i="3"/>
  <c r="M327" i="3"/>
  <c r="AE327" i="3"/>
  <c r="AD327" i="3"/>
  <c r="AK327" i="3"/>
  <c r="AM327" i="3"/>
  <c r="T327" i="3"/>
  <c r="V327" i="3"/>
  <c r="R327" i="3"/>
  <c r="P327" i="3"/>
  <c r="BF323" i="3"/>
  <c r="BJ322" i="3" s="1"/>
  <c r="BK322" i="3" s="1"/>
  <c r="BB323" i="3"/>
  <c r="BQ323" i="3"/>
  <c r="BD323" i="3"/>
  <c r="BG323" i="3"/>
  <c r="BH323" i="3" s="1"/>
  <c r="BI323" i="3" s="1"/>
  <c r="BA324" i="3"/>
  <c r="AV324" i="3"/>
  <c r="BC324" i="3" s="1"/>
  <c r="AW325" i="3"/>
  <c r="AU325" i="3"/>
  <c r="X326" i="3"/>
  <c r="AT325" i="3"/>
  <c r="AN326" i="3"/>
  <c r="AY325" i="3" l="1"/>
  <c r="AT326" i="3"/>
  <c r="AW326" i="3"/>
  <c r="AO327" i="3"/>
  <c r="X327" i="3"/>
  <c r="BD324" i="3"/>
  <c r="BG324" i="3"/>
  <c r="BH324" i="3" s="1"/>
  <c r="BI324" i="3" s="1"/>
  <c r="B328" i="3"/>
  <c r="AR328" i="3"/>
  <c r="AQ328" i="3"/>
  <c r="C328" i="3"/>
  <c r="D328" i="3"/>
  <c r="A329" i="3"/>
  <c r="F328" i="3"/>
  <c r="G328" i="3"/>
  <c r="H328" i="3" s="1"/>
  <c r="BN328" i="3" s="1"/>
  <c r="Q328" i="3"/>
  <c r="S328" i="3"/>
  <c r="O328" i="3"/>
  <c r="U328" i="3"/>
  <c r="AD328" i="3"/>
  <c r="M328" i="3"/>
  <c r="AK328" i="3"/>
  <c r="AF328" i="3"/>
  <c r="AE328" i="3"/>
  <c r="AM328" i="3"/>
  <c r="P328" i="3"/>
  <c r="V328" i="3"/>
  <c r="R328" i="3"/>
  <c r="T328" i="3"/>
  <c r="AN327" i="3"/>
  <c r="BQ324" i="3"/>
  <c r="BF324" i="3"/>
  <c r="BJ323" i="3" s="1"/>
  <c r="BK323" i="3" s="1"/>
  <c r="BB324" i="3"/>
  <c r="Y327" i="3"/>
  <c r="Z327" i="3" s="1"/>
  <c r="AV326" i="3"/>
  <c r="BA325" i="3"/>
  <c r="AV325" i="3"/>
  <c r="BC325" i="3" s="1"/>
  <c r="AH327" i="3"/>
  <c r="BM327" i="3"/>
  <c r="AX326" i="3"/>
  <c r="AY326" i="3" s="1"/>
  <c r="AG327" i="3"/>
  <c r="BN327" i="3"/>
  <c r="AN328" i="3" l="1"/>
  <c r="AG328" i="3"/>
  <c r="Y328" i="3"/>
  <c r="Z328" i="3" s="1"/>
  <c r="X328" i="3"/>
  <c r="BA326" i="3"/>
  <c r="AW327" i="3"/>
  <c r="AX327" i="3"/>
  <c r="BD325" i="3"/>
  <c r="BG325" i="3"/>
  <c r="BH325" i="3" s="1"/>
  <c r="BI325" i="3" s="1"/>
  <c r="AO328" i="3"/>
  <c r="BB325" i="3"/>
  <c r="BQ325" i="3"/>
  <c r="BF325" i="3"/>
  <c r="BJ324" i="3" s="1"/>
  <c r="BK324" i="3" s="1"/>
  <c r="A330" i="3"/>
  <c r="D329" i="3"/>
  <c r="C329" i="3"/>
  <c r="AR329" i="3"/>
  <c r="B329" i="3"/>
  <c r="AQ329" i="3"/>
  <c r="G329" i="3"/>
  <c r="H329" i="3" s="1"/>
  <c r="F329" i="3"/>
  <c r="Q329" i="3"/>
  <c r="S329" i="3"/>
  <c r="O329" i="3"/>
  <c r="U329" i="3"/>
  <c r="AD329" i="3"/>
  <c r="AE329" i="3"/>
  <c r="AK329" i="3"/>
  <c r="M329" i="3"/>
  <c r="AM329" i="3"/>
  <c r="AN329" i="3" s="1"/>
  <c r="AF329" i="3"/>
  <c r="R329" i="3"/>
  <c r="P329" i="3"/>
  <c r="V329" i="3"/>
  <c r="T329" i="3"/>
  <c r="AT327" i="3"/>
  <c r="BM328" i="3"/>
  <c r="AU327" i="3"/>
  <c r="BC326" i="3"/>
  <c r="AH328" i="3"/>
  <c r="X329" i="3" l="1"/>
  <c r="BM329" i="3"/>
  <c r="AY327" i="3"/>
  <c r="AX328" i="3"/>
  <c r="AU328" i="3"/>
  <c r="BD326" i="3"/>
  <c r="BG326" i="3"/>
  <c r="BH326" i="3" s="1"/>
  <c r="BI326" i="3" s="1"/>
  <c r="C330" i="3"/>
  <c r="AR330" i="3"/>
  <c r="B330" i="3"/>
  <c r="AQ330" i="3"/>
  <c r="A331" i="3"/>
  <c r="D330" i="3"/>
  <c r="G330" i="3"/>
  <c r="H330" i="3" s="1"/>
  <c r="BN330" i="3" s="1"/>
  <c r="F330" i="3"/>
  <c r="Q330" i="3"/>
  <c r="S330" i="3"/>
  <c r="O330" i="3"/>
  <c r="U330" i="3"/>
  <c r="AF330" i="3"/>
  <c r="AE330" i="3"/>
  <c r="AM330" i="3"/>
  <c r="AK330" i="3"/>
  <c r="AO330" i="3" s="1"/>
  <c r="M330" i="3"/>
  <c r="AD330" i="3"/>
  <c r="T330" i="3"/>
  <c r="V330" i="3"/>
  <c r="P330" i="3"/>
  <c r="R330" i="3"/>
  <c r="AW328" i="3"/>
  <c r="AY328" i="3" s="1"/>
  <c r="BN329" i="3"/>
  <c r="BF326" i="3"/>
  <c r="BJ325" i="3" s="1"/>
  <c r="BK325" i="3" s="1"/>
  <c r="BQ326" i="3"/>
  <c r="BB326" i="3"/>
  <c r="AO329" i="3"/>
  <c r="AT328" i="3"/>
  <c r="AV327" i="3"/>
  <c r="BC327" i="3" s="1"/>
  <c r="BA327" i="3"/>
  <c r="AG329" i="3"/>
  <c r="Y329" i="3"/>
  <c r="Z329" i="3" s="1"/>
  <c r="AH329" i="3"/>
  <c r="AH330" i="3" l="1"/>
  <c r="BM330" i="3"/>
  <c r="AX329" i="3"/>
  <c r="BQ327" i="3"/>
  <c r="BF327" i="3"/>
  <c r="BJ326" i="3" s="1"/>
  <c r="BK326" i="3" s="1"/>
  <c r="BB327" i="3"/>
  <c r="AN330" i="3"/>
  <c r="AT329" i="3"/>
  <c r="AW329" i="3"/>
  <c r="X330" i="3"/>
  <c r="BA328" i="3"/>
  <c r="AV328" i="3"/>
  <c r="BC328" i="3" s="1"/>
  <c r="AU329" i="3"/>
  <c r="AQ331" i="3"/>
  <c r="B331" i="3"/>
  <c r="A332" i="3"/>
  <c r="AR331" i="3"/>
  <c r="D331" i="3"/>
  <c r="C331" i="3"/>
  <c r="F331" i="3"/>
  <c r="BM331" i="3" s="1"/>
  <c r="G331" i="3"/>
  <c r="H331" i="3" s="1"/>
  <c r="BN331" i="3" s="1"/>
  <c r="Q331" i="3"/>
  <c r="S331" i="3"/>
  <c r="O331" i="3"/>
  <c r="U331" i="3"/>
  <c r="AF331" i="3"/>
  <c r="AE331" i="3"/>
  <c r="AD331" i="3"/>
  <c r="M331" i="3"/>
  <c r="AK331" i="3"/>
  <c r="AM331" i="3"/>
  <c r="AN331" i="3" s="1"/>
  <c r="P331" i="3"/>
  <c r="V331" i="3"/>
  <c r="T331" i="3"/>
  <c r="R331" i="3"/>
  <c r="BD327" i="3"/>
  <c r="BG327" i="3"/>
  <c r="BH327" i="3" s="1"/>
  <c r="BI327" i="3" s="1"/>
  <c r="AG330" i="3"/>
  <c r="Y330" i="3"/>
  <c r="Z330" i="3" s="1"/>
  <c r="AY329" i="3" l="1"/>
  <c r="AX330" i="3"/>
  <c r="AH331" i="3"/>
  <c r="AW330" i="3"/>
  <c r="AO331" i="3"/>
  <c r="BF328" i="3"/>
  <c r="BJ327" i="3" s="1"/>
  <c r="BK327" i="3" s="1"/>
  <c r="BB328" i="3"/>
  <c r="BQ328" i="3"/>
  <c r="AG331" i="3"/>
  <c r="AT330" i="3"/>
  <c r="BG328" i="3"/>
  <c r="BH328" i="3" s="1"/>
  <c r="BI328" i="3" s="1"/>
  <c r="BD328" i="3"/>
  <c r="Y331" i="3"/>
  <c r="Z331" i="3" s="1"/>
  <c r="X331" i="3"/>
  <c r="AU330" i="3"/>
  <c r="B332" i="3"/>
  <c r="AR332" i="3"/>
  <c r="AQ332" i="3"/>
  <c r="C332" i="3"/>
  <c r="D332" i="3"/>
  <c r="A333" i="3"/>
  <c r="G332" i="3"/>
  <c r="H332" i="3" s="1"/>
  <c r="BN332" i="3" s="1"/>
  <c r="F332" i="3"/>
  <c r="BM332" i="3" s="1"/>
  <c r="Q332" i="3"/>
  <c r="S332" i="3"/>
  <c r="O332" i="3"/>
  <c r="U332" i="3"/>
  <c r="AD332" i="3"/>
  <c r="M332" i="3"/>
  <c r="AF332" i="3"/>
  <c r="AM332" i="3"/>
  <c r="AE332" i="3"/>
  <c r="AK332" i="3"/>
  <c r="T332" i="3"/>
  <c r="R332" i="3"/>
  <c r="P332" i="3"/>
  <c r="V332" i="3"/>
  <c r="BA329" i="3"/>
  <c r="AV329" i="3"/>
  <c r="BC329" i="3" s="1"/>
  <c r="AY330" i="3" l="1"/>
  <c r="AW331" i="3"/>
  <c r="AN332" i="3"/>
  <c r="Y332" i="3"/>
  <c r="Z332" i="3" s="1"/>
  <c r="AX331" i="3"/>
  <c r="AY331" i="3" s="1"/>
  <c r="BB329" i="3"/>
  <c r="BF329" i="3"/>
  <c r="BJ328" i="3" s="1"/>
  <c r="BK328" i="3" s="1"/>
  <c r="BQ329" i="3"/>
  <c r="AH332" i="3"/>
  <c r="X332" i="3"/>
  <c r="AO332" i="3"/>
  <c r="AV330" i="3"/>
  <c r="BA330" i="3"/>
  <c r="AU331" i="3"/>
  <c r="BD329" i="3"/>
  <c r="BG329" i="3"/>
  <c r="BH329" i="3" s="1"/>
  <c r="BI329" i="3" s="1"/>
  <c r="A334" i="3"/>
  <c r="D333" i="3"/>
  <c r="C333" i="3"/>
  <c r="AR333" i="3"/>
  <c r="B333" i="3"/>
  <c r="AQ333" i="3"/>
  <c r="G333" i="3"/>
  <c r="H333" i="3" s="1"/>
  <c r="BN333" i="3" s="1"/>
  <c r="F333" i="3"/>
  <c r="BM333" i="3" s="1"/>
  <c r="Q333" i="3"/>
  <c r="S333" i="3"/>
  <c r="O333" i="3"/>
  <c r="U333" i="3"/>
  <c r="AD333" i="3"/>
  <c r="M333" i="3"/>
  <c r="AM333" i="3"/>
  <c r="AN333" i="3" s="1"/>
  <c r="AF333" i="3"/>
  <c r="AE333" i="3"/>
  <c r="AK333" i="3"/>
  <c r="P333" i="3"/>
  <c r="R333" i="3"/>
  <c r="T333" i="3"/>
  <c r="V333" i="3"/>
  <c r="AG332" i="3"/>
  <c r="AT331" i="3"/>
  <c r="BC330" i="3" l="1"/>
  <c r="BG330" i="3" s="1"/>
  <c r="BH330" i="3" s="1"/>
  <c r="BI330" i="3" s="1"/>
  <c r="AT332" i="3"/>
  <c r="AW332" i="3"/>
  <c r="AU332" i="3"/>
  <c r="AV332" i="3" s="1"/>
  <c r="Y333" i="3"/>
  <c r="Z333" i="3" s="1"/>
  <c r="BF330" i="3"/>
  <c r="BJ329" i="3" s="1"/>
  <c r="BK329" i="3" s="1"/>
  <c r="BB330" i="3"/>
  <c r="BQ330" i="3"/>
  <c r="X333" i="3"/>
  <c r="AV331" i="3"/>
  <c r="BC331" i="3" s="1"/>
  <c r="BA331" i="3"/>
  <c r="AH333" i="3"/>
  <c r="AO333" i="3"/>
  <c r="AX332" i="3"/>
  <c r="AY332" i="3" s="1"/>
  <c r="AG333" i="3"/>
  <c r="C334" i="3"/>
  <c r="AR334" i="3"/>
  <c r="B334" i="3"/>
  <c r="AQ334" i="3"/>
  <c r="A335" i="3"/>
  <c r="D334" i="3"/>
  <c r="F334" i="3"/>
  <c r="G334" i="3"/>
  <c r="H334" i="3" s="1"/>
  <c r="BN334" i="3" s="1"/>
  <c r="S334" i="3"/>
  <c r="Q334" i="3"/>
  <c r="O334" i="3"/>
  <c r="U334" i="3"/>
  <c r="AF334" i="3"/>
  <c r="AE334" i="3"/>
  <c r="M334" i="3"/>
  <c r="AD334" i="3"/>
  <c r="AK334" i="3"/>
  <c r="AM334" i="3"/>
  <c r="T334" i="3"/>
  <c r="V334" i="3"/>
  <c r="P334" i="3"/>
  <c r="R334" i="3"/>
  <c r="BD330" i="3" l="1"/>
  <c r="AH334" i="3"/>
  <c r="AN334" i="3"/>
  <c r="Y334" i="3"/>
  <c r="Z334" i="3" s="1"/>
  <c r="AU333" i="3"/>
  <c r="BC332" i="3"/>
  <c r="BG332" i="3" s="1"/>
  <c r="BH332" i="3" s="1"/>
  <c r="BI332" i="3" s="1"/>
  <c r="X334" i="3"/>
  <c r="BD332" i="3"/>
  <c r="BQ331" i="3"/>
  <c r="BF331" i="3"/>
  <c r="BJ330" i="3" s="1"/>
  <c r="BK330" i="3" s="1"/>
  <c r="BB331" i="3"/>
  <c r="BD331" i="3"/>
  <c r="BG331" i="3"/>
  <c r="BH331" i="3" s="1"/>
  <c r="BI331" i="3" s="1"/>
  <c r="AX333" i="3"/>
  <c r="AW333" i="3"/>
  <c r="AO334" i="3"/>
  <c r="BM334" i="3"/>
  <c r="AT333" i="3"/>
  <c r="BA332" i="3"/>
  <c r="AG334" i="3"/>
  <c r="AT334" i="3" s="1"/>
  <c r="AQ335" i="3"/>
  <c r="B335" i="3"/>
  <c r="A336" i="3"/>
  <c r="AR335" i="3"/>
  <c r="D335" i="3"/>
  <c r="C335" i="3"/>
  <c r="F335" i="3"/>
  <c r="G335" i="3"/>
  <c r="H335" i="3" s="1"/>
  <c r="Q335" i="3"/>
  <c r="S335" i="3"/>
  <c r="O335" i="3"/>
  <c r="U335" i="3"/>
  <c r="AE335" i="3"/>
  <c r="AF335" i="3"/>
  <c r="M335" i="3"/>
  <c r="AK335" i="3"/>
  <c r="AD335" i="3"/>
  <c r="AM335" i="3"/>
  <c r="AN335" i="3" s="1"/>
  <c r="P335" i="3"/>
  <c r="R335" i="3"/>
  <c r="V335" i="3"/>
  <c r="T335" i="3"/>
  <c r="AU334" i="3" l="1"/>
  <c r="AV334" i="3" s="1"/>
  <c r="BF332" i="3"/>
  <c r="BJ331" i="3" s="1"/>
  <c r="BK331" i="3" s="1"/>
  <c r="BB332" i="3"/>
  <c r="BQ332" i="3"/>
  <c r="AV333" i="3"/>
  <c r="BC333" i="3" s="1"/>
  <c r="BA333" i="3"/>
  <c r="Y335" i="3"/>
  <c r="Z335" i="3" s="1"/>
  <c r="AG335" i="3"/>
  <c r="AT335" i="3" s="1"/>
  <c r="AH335" i="3"/>
  <c r="AY333" i="3"/>
  <c r="X335" i="3"/>
  <c r="AO335" i="3"/>
  <c r="B336" i="3"/>
  <c r="AR336" i="3"/>
  <c r="AQ336" i="3"/>
  <c r="C336" i="3"/>
  <c r="D336" i="3"/>
  <c r="A337" i="3"/>
  <c r="F336" i="3"/>
  <c r="G336" i="3"/>
  <c r="H336" i="3" s="1"/>
  <c r="BN336" i="3" s="1"/>
  <c r="Q336" i="3"/>
  <c r="S336" i="3"/>
  <c r="O336" i="3"/>
  <c r="U336" i="3"/>
  <c r="M336" i="3"/>
  <c r="AE336" i="3"/>
  <c r="AF336" i="3"/>
  <c r="AK336" i="3"/>
  <c r="AD336" i="3"/>
  <c r="AM336" i="3"/>
  <c r="R336" i="3"/>
  <c r="T336" i="3"/>
  <c r="V336" i="3"/>
  <c r="P336" i="3"/>
  <c r="BN335" i="3"/>
  <c r="AW334" i="3"/>
  <c r="BM335" i="3"/>
  <c r="AX334" i="3"/>
  <c r="BM336" i="3" l="1"/>
  <c r="AU335" i="3"/>
  <c r="AO336" i="3"/>
  <c r="BA334" i="3"/>
  <c r="BQ334" i="3" s="1"/>
  <c r="AV335" i="3"/>
  <c r="BQ333" i="3"/>
  <c r="BB333" i="3"/>
  <c r="BF333" i="3"/>
  <c r="BJ332" i="3" s="1"/>
  <c r="BK332" i="3" s="1"/>
  <c r="X336" i="3"/>
  <c r="A338" i="3"/>
  <c r="C337" i="3"/>
  <c r="D337" i="3"/>
  <c r="AR337" i="3"/>
  <c r="B337" i="3"/>
  <c r="AQ337" i="3"/>
  <c r="F337" i="3"/>
  <c r="G337" i="3"/>
  <c r="H337" i="3" s="1"/>
  <c r="Q337" i="3"/>
  <c r="S337" i="3"/>
  <c r="O337" i="3"/>
  <c r="U337" i="3"/>
  <c r="M337" i="3"/>
  <c r="AD337" i="3"/>
  <c r="AH337" i="3" s="1"/>
  <c r="AK337" i="3"/>
  <c r="AM337" i="3"/>
  <c r="AE337" i="3"/>
  <c r="AF337" i="3"/>
  <c r="V337" i="3"/>
  <c r="R337" i="3"/>
  <c r="T337" i="3"/>
  <c r="P337" i="3"/>
  <c r="AX335" i="3"/>
  <c r="BD333" i="3"/>
  <c r="BG333" i="3"/>
  <c r="BH333" i="3" s="1"/>
  <c r="BI333" i="3" s="1"/>
  <c r="Y336" i="3"/>
  <c r="Z336" i="3" s="1"/>
  <c r="AN336" i="3"/>
  <c r="AW335" i="3"/>
  <c r="AG336" i="3"/>
  <c r="AY334" i="3"/>
  <c r="BC334" i="3" s="1"/>
  <c r="AH336" i="3"/>
  <c r="BB334" i="3" l="1"/>
  <c r="BF334" i="3"/>
  <c r="AT336" i="3"/>
  <c r="AU336" i="3"/>
  <c r="AY335" i="3"/>
  <c r="BC335" i="3" s="1"/>
  <c r="AN337" i="3"/>
  <c r="Y337" i="3"/>
  <c r="Z337" i="3" s="1"/>
  <c r="BA335" i="3"/>
  <c r="BD334" i="3"/>
  <c r="BG334" i="3"/>
  <c r="BH334" i="3" s="1"/>
  <c r="BI334" i="3" s="1"/>
  <c r="AG337" i="3"/>
  <c r="C338" i="3"/>
  <c r="AR338" i="3"/>
  <c r="B338" i="3"/>
  <c r="AQ338" i="3"/>
  <c r="A339" i="3"/>
  <c r="D338" i="3"/>
  <c r="F338" i="3"/>
  <c r="G338" i="3"/>
  <c r="H338" i="3" s="1"/>
  <c r="BN338" i="3" s="1"/>
  <c r="Q338" i="3"/>
  <c r="S338" i="3"/>
  <c r="O338" i="3"/>
  <c r="U338" i="3"/>
  <c r="AD338" i="3"/>
  <c r="AE338" i="3"/>
  <c r="M338" i="3"/>
  <c r="AM338" i="3"/>
  <c r="AF338" i="3"/>
  <c r="AK338" i="3"/>
  <c r="R338" i="3"/>
  <c r="V338" i="3"/>
  <c r="T338" i="3"/>
  <c r="P338" i="3"/>
  <c r="BN337" i="3"/>
  <c r="BJ333" i="3"/>
  <c r="BK333" i="3" s="1"/>
  <c r="X337" i="3"/>
  <c r="AX336" i="3"/>
  <c r="AW336" i="3"/>
  <c r="AO337" i="3"/>
  <c r="BM337" i="3"/>
  <c r="AV336" i="3" l="1"/>
  <c r="X338" i="3"/>
  <c r="BA336" i="3"/>
  <c r="AX337" i="3"/>
  <c r="AO338" i="3"/>
  <c r="BB336" i="3"/>
  <c r="BF336" i="3"/>
  <c r="BQ336" i="3"/>
  <c r="BQ335" i="3"/>
  <c r="BB335" i="3"/>
  <c r="BF335" i="3"/>
  <c r="BJ334" i="3" s="1"/>
  <c r="BK334" i="3" s="1"/>
  <c r="AY336" i="3"/>
  <c r="BC336" i="3" s="1"/>
  <c r="AW337" i="3"/>
  <c r="AY337" i="3" s="1"/>
  <c r="BM338" i="3"/>
  <c r="Y338" i="3"/>
  <c r="Z338" i="3" s="1"/>
  <c r="AN338" i="3"/>
  <c r="AT337" i="3"/>
  <c r="AG338" i="3"/>
  <c r="AH338" i="3"/>
  <c r="AT338" i="3" s="1"/>
  <c r="AQ339" i="3"/>
  <c r="B339" i="3"/>
  <c r="A340" i="3"/>
  <c r="AR339" i="3"/>
  <c r="D339" i="3"/>
  <c r="C339" i="3"/>
  <c r="G339" i="3"/>
  <c r="H339" i="3" s="1"/>
  <c r="F339" i="3"/>
  <c r="Q339" i="3"/>
  <c r="S339" i="3"/>
  <c r="O339" i="3"/>
  <c r="U339" i="3"/>
  <c r="M339" i="3"/>
  <c r="AF339" i="3"/>
  <c r="AD339" i="3"/>
  <c r="AE339" i="3"/>
  <c r="AM339" i="3"/>
  <c r="AK339" i="3"/>
  <c r="AO339" i="3" s="1"/>
  <c r="T339" i="3"/>
  <c r="R339" i="3"/>
  <c r="P339" i="3"/>
  <c r="V339" i="3"/>
  <c r="BD335" i="3"/>
  <c r="BG335" i="3"/>
  <c r="BH335" i="3" s="1"/>
  <c r="BI335" i="3" s="1"/>
  <c r="AU337" i="3"/>
  <c r="AU338" i="3" l="1"/>
  <c r="AN339" i="3"/>
  <c r="AH339" i="3"/>
  <c r="Y339" i="3"/>
  <c r="Z339" i="3" s="1"/>
  <c r="BD336" i="3"/>
  <c r="BG336" i="3"/>
  <c r="BH336" i="3" s="1"/>
  <c r="BI336" i="3" s="1"/>
  <c r="AV338" i="3"/>
  <c r="AV337" i="3"/>
  <c r="BC337" i="3" s="1"/>
  <c r="BA337" i="3"/>
  <c r="B340" i="3"/>
  <c r="AR340" i="3"/>
  <c r="AQ340" i="3"/>
  <c r="C340" i="3"/>
  <c r="D340" i="3"/>
  <c r="A341" i="3"/>
  <c r="G340" i="3"/>
  <c r="H340" i="3" s="1"/>
  <c r="BN340" i="3" s="1"/>
  <c r="F340" i="3"/>
  <c r="Q340" i="3"/>
  <c r="S340" i="3"/>
  <c r="O340" i="3"/>
  <c r="U340" i="3"/>
  <c r="AF340" i="3"/>
  <c r="M340" i="3"/>
  <c r="AD340" i="3"/>
  <c r="AE340" i="3"/>
  <c r="AM340" i="3"/>
  <c r="AK340" i="3"/>
  <c r="P340" i="3"/>
  <c r="V340" i="3"/>
  <c r="T340" i="3"/>
  <c r="R340" i="3"/>
  <c r="X339" i="3"/>
  <c r="AG339" i="3"/>
  <c r="BM339" i="3"/>
  <c r="AX338" i="3"/>
  <c r="BJ335" i="3"/>
  <c r="BK335" i="3" s="1"/>
  <c r="AX339" i="3"/>
  <c r="BN339" i="3"/>
  <c r="AW338" i="3"/>
  <c r="BA338" i="3" s="1"/>
  <c r="BM340" i="3" l="1"/>
  <c r="AU339" i="3"/>
  <c r="AT339" i="3"/>
  <c r="AV339" i="3" s="1"/>
  <c r="AW339" i="3"/>
  <c r="AY339" i="3" s="1"/>
  <c r="AG340" i="3"/>
  <c r="AN340" i="3"/>
  <c r="BB338" i="3"/>
  <c r="BF338" i="3"/>
  <c r="BQ338" i="3"/>
  <c r="BB337" i="3"/>
  <c r="BF337" i="3"/>
  <c r="BJ336" i="3" s="1"/>
  <c r="BK336" i="3" s="1"/>
  <c r="BQ337" i="3"/>
  <c r="AQ341" i="3"/>
  <c r="C341" i="3"/>
  <c r="D341" i="3"/>
  <c r="AR341" i="3"/>
  <c r="B341" i="3"/>
  <c r="A342" i="3"/>
  <c r="G341" i="3"/>
  <c r="H341" i="3" s="1"/>
  <c r="F341" i="3"/>
  <c r="Q341" i="3"/>
  <c r="S341" i="3"/>
  <c r="O341" i="3"/>
  <c r="U341" i="3"/>
  <c r="AD341" i="3"/>
  <c r="AE341" i="3"/>
  <c r="M341" i="3"/>
  <c r="AK341" i="3"/>
  <c r="AF341" i="3"/>
  <c r="AM341" i="3"/>
  <c r="AN341" i="3" s="1"/>
  <c r="R341" i="3"/>
  <c r="P341" i="3"/>
  <c r="T341" i="3"/>
  <c r="V341" i="3"/>
  <c r="BD337" i="3"/>
  <c r="BG337" i="3"/>
  <c r="BH337" i="3" s="1"/>
  <c r="BI337" i="3" s="1"/>
  <c r="AY338" i="3"/>
  <c r="BC338" i="3" s="1"/>
  <c r="X340" i="3"/>
  <c r="AH340" i="3"/>
  <c r="Y340" i="3"/>
  <c r="Z340" i="3" s="1"/>
  <c r="AO340" i="3"/>
  <c r="BA339" i="3" l="1"/>
  <c r="BN341" i="3"/>
  <c r="BC339" i="3"/>
  <c r="BD339" i="3" s="1"/>
  <c r="AG341" i="3"/>
  <c r="AX340" i="3"/>
  <c r="BD338" i="3"/>
  <c r="BG338" i="3"/>
  <c r="BH338" i="3" s="1"/>
  <c r="BI338" i="3" s="1"/>
  <c r="BQ339" i="3"/>
  <c r="BF339" i="3"/>
  <c r="BJ338" i="3" s="1"/>
  <c r="BK338" i="3" s="1"/>
  <c r="BB339" i="3"/>
  <c r="AU340" i="3"/>
  <c r="C342" i="3"/>
  <c r="AR342" i="3"/>
  <c r="B342" i="3"/>
  <c r="A343" i="3"/>
  <c r="AQ342" i="3"/>
  <c r="D342" i="3"/>
  <c r="F342" i="3"/>
  <c r="G342" i="3"/>
  <c r="H342" i="3" s="1"/>
  <c r="Q342" i="3"/>
  <c r="S342" i="3"/>
  <c r="O342" i="3"/>
  <c r="U342" i="3"/>
  <c r="AD342" i="3"/>
  <c r="AE342" i="3"/>
  <c r="M342" i="3"/>
  <c r="AM342" i="3"/>
  <c r="AF342" i="3"/>
  <c r="AK342" i="3"/>
  <c r="R342" i="3"/>
  <c r="V342" i="3"/>
  <c r="T342" i="3"/>
  <c r="P342" i="3"/>
  <c r="AW340" i="3"/>
  <c r="X341" i="3"/>
  <c r="AH341" i="3"/>
  <c r="Y341" i="3"/>
  <c r="Z341" i="3" s="1"/>
  <c r="AT340" i="3"/>
  <c r="BJ337" i="3"/>
  <c r="BK337" i="3" s="1"/>
  <c r="AO341" i="3"/>
  <c r="BM341" i="3"/>
  <c r="BG339" i="3" l="1"/>
  <c r="BH339" i="3" s="1"/>
  <c r="BI339" i="3" s="1"/>
  <c r="AY340" i="3"/>
  <c r="BN342" i="3"/>
  <c r="BM342" i="3"/>
  <c r="AX341" i="3"/>
  <c r="AO342" i="3"/>
  <c r="AG342" i="3"/>
  <c r="AU341" i="3"/>
  <c r="X342" i="3"/>
  <c r="AQ343" i="3"/>
  <c r="AR343" i="3"/>
  <c r="B343" i="3"/>
  <c r="A344" i="3"/>
  <c r="D343" i="3"/>
  <c r="C343" i="3"/>
  <c r="G343" i="3"/>
  <c r="H343" i="3" s="1"/>
  <c r="BN343" i="3" s="1"/>
  <c r="F343" i="3"/>
  <c r="Q343" i="3"/>
  <c r="S343" i="3"/>
  <c r="O343" i="3"/>
  <c r="U343" i="3"/>
  <c r="AE343" i="3"/>
  <c r="M343" i="3"/>
  <c r="AF343" i="3"/>
  <c r="AD343" i="3"/>
  <c r="AM343" i="3"/>
  <c r="AK343" i="3"/>
  <c r="P343" i="3"/>
  <c r="R343" i="3"/>
  <c r="V343" i="3"/>
  <c r="T343" i="3"/>
  <c r="AN342" i="3"/>
  <c r="AW341" i="3"/>
  <c r="AT341" i="3"/>
  <c r="AH342" i="3"/>
  <c r="AV340" i="3"/>
  <c r="BC340" i="3" s="1"/>
  <c r="BA340" i="3"/>
  <c r="Y342" i="3"/>
  <c r="Z342" i="3" s="1"/>
  <c r="BM343" i="3" l="1"/>
  <c r="AY341" i="3"/>
  <c r="AX342" i="3"/>
  <c r="AO343" i="3"/>
  <c r="BD340" i="3"/>
  <c r="BG340" i="3"/>
  <c r="BH340" i="3" s="1"/>
  <c r="BI340" i="3" s="1"/>
  <c r="AV341" i="3"/>
  <c r="BC341" i="3" s="1"/>
  <c r="BA341" i="3"/>
  <c r="AN343" i="3"/>
  <c r="AH343" i="3"/>
  <c r="AT342" i="3"/>
  <c r="AW342" i="3"/>
  <c r="AG343" i="3"/>
  <c r="AU342" i="3"/>
  <c r="X343" i="3"/>
  <c r="Y343" i="3"/>
  <c r="Z343" i="3" s="1"/>
  <c r="BB340" i="3"/>
  <c r="BQ340" i="3"/>
  <c r="BF340" i="3"/>
  <c r="BJ339" i="3" s="1"/>
  <c r="BK339" i="3" s="1"/>
  <c r="B344" i="3"/>
  <c r="AR344" i="3"/>
  <c r="AQ344" i="3"/>
  <c r="C344" i="3"/>
  <c r="D344" i="3"/>
  <c r="A345" i="3"/>
  <c r="G344" i="3"/>
  <c r="H344" i="3" s="1"/>
  <c r="F344" i="3"/>
  <c r="Q344" i="3"/>
  <c r="S344" i="3"/>
  <c r="O344" i="3"/>
  <c r="U344" i="3"/>
  <c r="AF344" i="3"/>
  <c r="M344" i="3"/>
  <c r="AD344" i="3"/>
  <c r="AE344" i="3"/>
  <c r="AK344" i="3"/>
  <c r="AM344" i="3"/>
  <c r="R344" i="3"/>
  <c r="P344" i="3"/>
  <c r="T344" i="3"/>
  <c r="V344" i="3"/>
  <c r="AY342" i="3" l="1"/>
  <c r="AX343" i="3"/>
  <c r="Y344" i="3"/>
  <c r="Z344" i="3" s="1"/>
  <c r="AN344" i="3"/>
  <c r="A346" i="3"/>
  <c r="D345" i="3"/>
  <c r="C345" i="3"/>
  <c r="AR345" i="3"/>
  <c r="B345" i="3"/>
  <c r="AQ345" i="3"/>
  <c r="F345" i="3"/>
  <c r="G345" i="3"/>
  <c r="H345" i="3" s="1"/>
  <c r="Q345" i="3"/>
  <c r="S345" i="3"/>
  <c r="O345" i="3"/>
  <c r="U345" i="3"/>
  <c r="AF345" i="3"/>
  <c r="M345" i="3"/>
  <c r="AD345" i="3"/>
  <c r="AE345" i="3"/>
  <c r="AK345" i="3"/>
  <c r="AM345" i="3"/>
  <c r="AN345" i="3" s="1"/>
  <c r="P345" i="3"/>
  <c r="V345" i="3"/>
  <c r="T345" i="3"/>
  <c r="R345" i="3"/>
  <c r="BA342" i="3"/>
  <c r="AV342" i="3"/>
  <c r="BC342" i="3" s="1"/>
  <c r="AU343" i="3"/>
  <c r="AT343" i="3"/>
  <c r="X344" i="3"/>
  <c r="BB341" i="3"/>
  <c r="BQ341" i="3"/>
  <c r="BF341" i="3"/>
  <c r="BJ340" i="3" s="1"/>
  <c r="BK340" i="3" s="1"/>
  <c r="AO344" i="3"/>
  <c r="BD341" i="3"/>
  <c r="BG341" i="3"/>
  <c r="BH341" i="3" s="1"/>
  <c r="BI341" i="3" s="1"/>
  <c r="BM344" i="3"/>
  <c r="AW343" i="3"/>
  <c r="AY343" i="3" s="1"/>
  <c r="AG344" i="3"/>
  <c r="AH344" i="3"/>
  <c r="BN344" i="3"/>
  <c r="AU344" i="3" l="1"/>
  <c r="BN345" i="3"/>
  <c r="BM345" i="3"/>
  <c r="AW344" i="3"/>
  <c r="AG345" i="3"/>
  <c r="BD342" i="3"/>
  <c r="BG342" i="3"/>
  <c r="BH342" i="3" s="1"/>
  <c r="BI342" i="3" s="1"/>
  <c r="BF342" i="3"/>
  <c r="BJ341" i="3" s="1"/>
  <c r="BK341" i="3" s="1"/>
  <c r="BB342" i="3"/>
  <c r="BQ342" i="3"/>
  <c r="AV343" i="3"/>
  <c r="BC343" i="3" s="1"/>
  <c r="BA343" i="3"/>
  <c r="AT344" i="3"/>
  <c r="Y345" i="3"/>
  <c r="Z345" i="3" s="1"/>
  <c r="AH345" i="3"/>
  <c r="X345" i="3"/>
  <c r="AX344" i="3"/>
  <c r="AO345" i="3"/>
  <c r="C346" i="3"/>
  <c r="AR346" i="3"/>
  <c r="B346" i="3"/>
  <c r="AQ346" i="3"/>
  <c r="A347" i="3"/>
  <c r="D346" i="3"/>
  <c r="G346" i="3"/>
  <c r="H346" i="3" s="1"/>
  <c r="F346" i="3"/>
  <c r="Q346" i="3"/>
  <c r="S346" i="3"/>
  <c r="O346" i="3"/>
  <c r="U346" i="3"/>
  <c r="AD346" i="3"/>
  <c r="AE346" i="3"/>
  <c r="AG346" i="3" s="1"/>
  <c r="M346" i="3"/>
  <c r="AM346" i="3"/>
  <c r="AK346" i="3"/>
  <c r="AF346" i="3"/>
  <c r="P346" i="3"/>
  <c r="T346" i="3"/>
  <c r="V346" i="3"/>
  <c r="R346" i="3"/>
  <c r="AT345" i="3" l="1"/>
  <c r="AN346" i="3"/>
  <c r="BM346" i="3"/>
  <c r="BN346" i="3"/>
  <c r="AY344" i="3"/>
  <c r="AX345" i="3"/>
  <c r="AW345" i="3"/>
  <c r="AH346" i="3"/>
  <c r="AT346" i="3" s="1"/>
  <c r="AQ347" i="3"/>
  <c r="B347" i="3"/>
  <c r="A348" i="3"/>
  <c r="AR347" i="3"/>
  <c r="D347" i="3"/>
  <c r="C347" i="3"/>
  <c r="G347" i="3"/>
  <c r="H347" i="3" s="1"/>
  <c r="F347" i="3"/>
  <c r="BM347" i="3" s="1"/>
  <c r="Q347" i="3"/>
  <c r="S347" i="3"/>
  <c r="O347" i="3"/>
  <c r="U347" i="3"/>
  <c r="AF347" i="3"/>
  <c r="AD347" i="3"/>
  <c r="AE347" i="3"/>
  <c r="M347" i="3"/>
  <c r="AM347" i="3"/>
  <c r="AK347" i="3"/>
  <c r="P347" i="3"/>
  <c r="R347" i="3"/>
  <c r="V347" i="3"/>
  <c r="T347" i="3"/>
  <c r="Y346" i="3"/>
  <c r="Z346" i="3" s="1"/>
  <c r="X346" i="3"/>
  <c r="BA344" i="3"/>
  <c r="AV344" i="3"/>
  <c r="AO346" i="3"/>
  <c r="BF343" i="3"/>
  <c r="BJ342" i="3" s="1"/>
  <c r="BK342" i="3" s="1"/>
  <c r="BQ343" i="3"/>
  <c r="BB343" i="3"/>
  <c r="BD343" i="3"/>
  <c r="BG343" i="3"/>
  <c r="BH343" i="3" s="1"/>
  <c r="BI343" i="3" s="1"/>
  <c r="AU345" i="3"/>
  <c r="AY345" i="3" l="1"/>
  <c r="AU346" i="3"/>
  <c r="AO347" i="3"/>
  <c r="BC344" i="3"/>
  <c r="BD344" i="3" s="1"/>
  <c r="X347" i="3"/>
  <c r="AW346" i="3"/>
  <c r="BA345" i="3"/>
  <c r="BQ345" i="3" s="1"/>
  <c r="Y347" i="3"/>
  <c r="Z347" i="3" s="1"/>
  <c r="B348" i="3"/>
  <c r="AR348" i="3"/>
  <c r="AQ348" i="3"/>
  <c r="D348" i="3"/>
  <c r="C348" i="3"/>
  <c r="A349" i="3"/>
  <c r="F348" i="3"/>
  <c r="BM348" i="3" s="1"/>
  <c r="G348" i="3"/>
  <c r="H348" i="3" s="1"/>
  <c r="Q348" i="3"/>
  <c r="S348" i="3"/>
  <c r="O348" i="3"/>
  <c r="U348" i="3"/>
  <c r="M348" i="3"/>
  <c r="AE348" i="3"/>
  <c r="AD348" i="3"/>
  <c r="AM348" i="3"/>
  <c r="AK348" i="3"/>
  <c r="AF348" i="3"/>
  <c r="V348" i="3"/>
  <c r="T348" i="3"/>
  <c r="R348" i="3"/>
  <c r="P348" i="3"/>
  <c r="BQ344" i="3"/>
  <c r="BB344" i="3"/>
  <c r="BF344" i="3"/>
  <c r="BJ343" i="3" s="1"/>
  <c r="BK343" i="3" s="1"/>
  <c r="AV345" i="3"/>
  <c r="BC345" i="3" s="1"/>
  <c r="AV346" i="3"/>
  <c r="AN347" i="3"/>
  <c r="AG347" i="3"/>
  <c r="BN347" i="3"/>
  <c r="AX346" i="3"/>
  <c r="AY346" i="3" s="1"/>
  <c r="AH347" i="3"/>
  <c r="BB345" i="3" l="1"/>
  <c r="BG344" i="3"/>
  <c r="BH344" i="3" s="1"/>
  <c r="BI344" i="3" s="1"/>
  <c r="BF345" i="3"/>
  <c r="BJ344" i="3" s="1"/>
  <c r="BK344" i="3" s="1"/>
  <c r="AO348" i="3"/>
  <c r="X348" i="3"/>
  <c r="AT347" i="3"/>
  <c r="AU347" i="3"/>
  <c r="AW347" i="3"/>
  <c r="BN348" i="3"/>
  <c r="Y348" i="3"/>
  <c r="Z348" i="3" s="1"/>
  <c r="BD345" i="3"/>
  <c r="BG345" i="3"/>
  <c r="BH345" i="3" s="1"/>
  <c r="BI345" i="3" s="1"/>
  <c r="AG348" i="3"/>
  <c r="A350" i="3"/>
  <c r="C349" i="3"/>
  <c r="D349" i="3"/>
  <c r="AR349" i="3"/>
  <c r="B349" i="3"/>
  <c r="AQ349" i="3"/>
  <c r="G349" i="3"/>
  <c r="H349" i="3" s="1"/>
  <c r="F349" i="3"/>
  <c r="Q349" i="3"/>
  <c r="S349" i="3"/>
  <c r="O349" i="3"/>
  <c r="U349" i="3"/>
  <c r="AM349" i="3"/>
  <c r="AE349" i="3"/>
  <c r="M349" i="3"/>
  <c r="AD349" i="3"/>
  <c r="AF349" i="3"/>
  <c r="AK349" i="3"/>
  <c r="P349" i="3"/>
  <c r="R349" i="3"/>
  <c r="T349" i="3"/>
  <c r="V349" i="3"/>
  <c r="BC346" i="3"/>
  <c r="AN348" i="3"/>
  <c r="AH348" i="3"/>
  <c r="AX347" i="3"/>
  <c r="BA346" i="3"/>
  <c r="AV347" i="3" l="1"/>
  <c r="AY347" i="3"/>
  <c r="AX348" i="3"/>
  <c r="X349" i="3"/>
  <c r="AO349" i="3"/>
  <c r="BA347" i="3"/>
  <c r="C350" i="3"/>
  <c r="AR350" i="3"/>
  <c r="B350" i="3"/>
  <c r="AQ350" i="3"/>
  <c r="A351" i="3"/>
  <c r="D350" i="3"/>
  <c r="F350" i="3"/>
  <c r="G350" i="3"/>
  <c r="H350" i="3" s="1"/>
  <c r="BN350" i="3" s="1"/>
  <c r="Q350" i="3"/>
  <c r="S350" i="3"/>
  <c r="O350" i="3"/>
  <c r="U350" i="3"/>
  <c r="AF350" i="3"/>
  <c r="AD350" i="3"/>
  <c r="AM350" i="3"/>
  <c r="AK350" i="3"/>
  <c r="AO350" i="3" s="1"/>
  <c r="M350" i="3"/>
  <c r="AE350" i="3"/>
  <c r="V350" i="3"/>
  <c r="T350" i="3"/>
  <c r="R350" i="3"/>
  <c r="P350" i="3"/>
  <c r="BC347" i="3"/>
  <c r="AW348" i="3"/>
  <c r="BN349" i="3"/>
  <c r="AU348" i="3"/>
  <c r="BB346" i="3"/>
  <c r="BF346" i="3"/>
  <c r="BJ345" i="3" s="1"/>
  <c r="BK345" i="3" s="1"/>
  <c r="BQ346" i="3"/>
  <c r="AH349" i="3"/>
  <c r="Y349" i="3"/>
  <c r="Z349" i="3" s="1"/>
  <c r="AT348" i="3"/>
  <c r="BM349" i="3"/>
  <c r="BG346" i="3"/>
  <c r="BH346" i="3" s="1"/>
  <c r="BI346" i="3" s="1"/>
  <c r="BD346" i="3"/>
  <c r="AG349" i="3"/>
  <c r="AN349" i="3"/>
  <c r="AU349" i="3" l="1"/>
  <c r="AY348" i="3"/>
  <c r="X350" i="3"/>
  <c r="AQ351" i="3"/>
  <c r="B351" i="3"/>
  <c r="A352" i="3"/>
  <c r="AR351" i="3"/>
  <c r="D351" i="3"/>
  <c r="C351" i="3"/>
  <c r="F351" i="3"/>
  <c r="BM351" i="3" s="1"/>
  <c r="G351" i="3"/>
  <c r="H351" i="3" s="1"/>
  <c r="Q351" i="3"/>
  <c r="S351" i="3"/>
  <c r="O351" i="3"/>
  <c r="U351" i="3"/>
  <c r="AK351" i="3"/>
  <c r="AO351" i="3" s="1"/>
  <c r="AE351" i="3"/>
  <c r="M351" i="3"/>
  <c r="AD351" i="3"/>
  <c r="AF351" i="3"/>
  <c r="AM351" i="3"/>
  <c r="P351" i="3"/>
  <c r="R351" i="3"/>
  <c r="T351" i="3"/>
  <c r="V351" i="3"/>
  <c r="BA348" i="3"/>
  <c r="AV348" i="3"/>
  <c r="BC348" i="3" s="1"/>
  <c r="AG350" i="3"/>
  <c r="AN350" i="3"/>
  <c r="BM350" i="3"/>
  <c r="BB347" i="3"/>
  <c r="BQ347" i="3"/>
  <c r="BF347" i="3"/>
  <c r="BJ346" i="3" s="1"/>
  <c r="BK346" i="3" s="1"/>
  <c r="AX349" i="3"/>
  <c r="BG347" i="3"/>
  <c r="BH347" i="3" s="1"/>
  <c r="BI347" i="3" s="1"/>
  <c r="BD347" i="3"/>
  <c r="AW349" i="3"/>
  <c r="AY349" i="3" s="1"/>
  <c r="AH350" i="3"/>
  <c r="AX350" i="3" s="1"/>
  <c r="Y350" i="3"/>
  <c r="Z350" i="3" s="1"/>
  <c r="AT349" i="3"/>
  <c r="AT350" i="3" l="1"/>
  <c r="BN351" i="3"/>
  <c r="AU350" i="3"/>
  <c r="AV349" i="3"/>
  <c r="BC349" i="3" s="1"/>
  <c r="BA349" i="3"/>
  <c r="Y351" i="3"/>
  <c r="Z351" i="3" s="1"/>
  <c r="X351" i="3"/>
  <c r="B352" i="3"/>
  <c r="AR352" i="3"/>
  <c r="AQ352" i="3"/>
  <c r="C352" i="3"/>
  <c r="D352" i="3"/>
  <c r="A353" i="3"/>
  <c r="G352" i="3"/>
  <c r="H352" i="3" s="1"/>
  <c r="BN352" i="3" s="1"/>
  <c r="F352" i="3"/>
  <c r="BM352" i="3" s="1"/>
  <c r="Q352" i="3"/>
  <c r="S352" i="3"/>
  <c r="O352" i="3"/>
  <c r="U352" i="3"/>
  <c r="AD352" i="3"/>
  <c r="M352" i="3"/>
  <c r="AE352" i="3"/>
  <c r="AM352" i="3"/>
  <c r="AK352" i="3"/>
  <c r="AF352" i="3"/>
  <c r="R352" i="3"/>
  <c r="T352" i="3"/>
  <c r="V352" i="3"/>
  <c r="P352" i="3"/>
  <c r="AG351" i="3"/>
  <c r="AW350" i="3"/>
  <c r="AY350" i="3" s="1"/>
  <c r="BD348" i="3"/>
  <c r="BG348" i="3"/>
  <c r="BH348" i="3" s="1"/>
  <c r="BI348" i="3" s="1"/>
  <c r="AN351" i="3"/>
  <c r="AV350" i="3"/>
  <c r="BB348" i="3"/>
  <c r="BQ348" i="3"/>
  <c r="BF348" i="3"/>
  <c r="BJ347" i="3" s="1"/>
  <c r="BK347" i="3" s="1"/>
  <c r="AH351" i="3"/>
  <c r="AO352" i="3" l="1"/>
  <c r="AH352" i="3"/>
  <c r="AX351" i="3"/>
  <c r="AN352" i="3"/>
  <c r="AT351" i="3"/>
  <c r="A354" i="3"/>
  <c r="D353" i="3"/>
  <c r="C353" i="3"/>
  <c r="AR353" i="3"/>
  <c r="B353" i="3"/>
  <c r="AQ353" i="3"/>
  <c r="G353" i="3"/>
  <c r="H353" i="3" s="1"/>
  <c r="F353" i="3"/>
  <c r="Q353" i="3"/>
  <c r="S353" i="3"/>
  <c r="O353" i="3"/>
  <c r="U353" i="3"/>
  <c r="M353" i="3"/>
  <c r="AD353" i="3"/>
  <c r="AE353" i="3"/>
  <c r="AM353" i="3"/>
  <c r="AF353" i="3"/>
  <c r="AG353" i="3" s="1"/>
  <c r="AK353" i="3"/>
  <c r="AO353" i="3" s="1"/>
  <c r="V353" i="3"/>
  <c r="R353" i="3"/>
  <c r="P353" i="3"/>
  <c r="T353" i="3"/>
  <c r="AW351" i="3"/>
  <c r="AY351" i="3" s="1"/>
  <c r="AU351" i="3"/>
  <c r="BA350" i="3"/>
  <c r="X352" i="3"/>
  <c r="BB349" i="3"/>
  <c r="BF349" i="3"/>
  <c r="BJ348" i="3" s="1"/>
  <c r="BK348" i="3" s="1"/>
  <c r="BQ349" i="3"/>
  <c r="AG352" i="3"/>
  <c r="Y352" i="3"/>
  <c r="Z352" i="3" s="1"/>
  <c r="BC350" i="3"/>
  <c r="AU352" i="3"/>
  <c r="BD349" i="3"/>
  <c r="BG349" i="3"/>
  <c r="BH349" i="3" s="1"/>
  <c r="BI349" i="3" s="1"/>
  <c r="AW352" i="3" l="1"/>
  <c r="Y353" i="3"/>
  <c r="Z353" i="3" s="1"/>
  <c r="AX352" i="3"/>
  <c r="C354" i="3"/>
  <c r="AR354" i="3"/>
  <c r="B354" i="3"/>
  <c r="AQ354" i="3"/>
  <c r="A355" i="3"/>
  <c r="D354" i="3"/>
  <c r="G354" i="3"/>
  <c r="H354" i="3" s="1"/>
  <c r="F354" i="3"/>
  <c r="Q354" i="3"/>
  <c r="S354" i="3"/>
  <c r="O354" i="3"/>
  <c r="U354" i="3"/>
  <c r="M354" i="3"/>
  <c r="AF354" i="3"/>
  <c r="AD354" i="3"/>
  <c r="AM354" i="3"/>
  <c r="AE354" i="3"/>
  <c r="AK354" i="3"/>
  <c r="P354" i="3"/>
  <c r="R354" i="3"/>
  <c r="T354" i="3"/>
  <c r="V354" i="3"/>
  <c r="BM353" i="3"/>
  <c r="AV351" i="3"/>
  <c r="BC351" i="3" s="1"/>
  <c r="BA351" i="3"/>
  <c r="BN353" i="3"/>
  <c r="BQ350" i="3"/>
  <c r="BF350" i="3"/>
  <c r="BJ349" i="3" s="1"/>
  <c r="BK349" i="3" s="1"/>
  <c r="BB350" i="3"/>
  <c r="AH353" i="3"/>
  <c r="BD350" i="3"/>
  <c r="BG350" i="3"/>
  <c r="BH350" i="3" s="1"/>
  <c r="BI350" i="3" s="1"/>
  <c r="AN353" i="3"/>
  <c r="X353" i="3"/>
  <c r="AT352" i="3"/>
  <c r="BM354" i="3" l="1"/>
  <c r="AY352" i="3"/>
  <c r="AX353" i="3"/>
  <c r="BN354" i="3"/>
  <c r="AN354" i="3"/>
  <c r="AQ355" i="3"/>
  <c r="B355" i="3"/>
  <c r="A356" i="3"/>
  <c r="AR355" i="3"/>
  <c r="D355" i="3"/>
  <c r="C355" i="3"/>
  <c r="G355" i="3"/>
  <c r="H355" i="3" s="1"/>
  <c r="F355" i="3"/>
  <c r="Q355" i="3"/>
  <c r="S355" i="3"/>
  <c r="O355" i="3"/>
  <c r="U355" i="3"/>
  <c r="AF355" i="3"/>
  <c r="AD355" i="3"/>
  <c r="AE355" i="3"/>
  <c r="M355" i="3"/>
  <c r="AM355" i="3"/>
  <c r="AK355" i="3"/>
  <c r="P355" i="3"/>
  <c r="T355" i="3"/>
  <c r="V355" i="3"/>
  <c r="R355" i="3"/>
  <c r="Y354" i="3"/>
  <c r="Z354" i="3" s="1"/>
  <c r="AV352" i="3"/>
  <c r="BC352" i="3" s="1"/>
  <c r="BA352" i="3"/>
  <c r="AT353" i="3"/>
  <c r="X354" i="3"/>
  <c r="AW353" i="3"/>
  <c r="AO354" i="3"/>
  <c r="BD351" i="3"/>
  <c r="BG351" i="3"/>
  <c r="BH351" i="3" s="1"/>
  <c r="BI351" i="3" s="1"/>
  <c r="AH354" i="3"/>
  <c r="AU353" i="3"/>
  <c r="BF351" i="3"/>
  <c r="BJ350" i="3" s="1"/>
  <c r="BK350" i="3" s="1"/>
  <c r="BB351" i="3"/>
  <c r="BQ351" i="3"/>
  <c r="AG354" i="3"/>
  <c r="AO355" i="3" l="1"/>
  <c r="AY353" i="3"/>
  <c r="BM355" i="3"/>
  <c r="AG355" i="3"/>
  <c r="BN355" i="3"/>
  <c r="AW354" i="3"/>
  <c r="AT354" i="3"/>
  <c r="Y355" i="3"/>
  <c r="Z355" i="3" s="1"/>
  <c r="AX354" i="3"/>
  <c r="B356" i="3"/>
  <c r="AR356" i="3"/>
  <c r="AQ356" i="3"/>
  <c r="D356" i="3"/>
  <c r="C356" i="3"/>
  <c r="A357" i="3"/>
  <c r="F356" i="3"/>
  <c r="BM356" i="3" s="1"/>
  <c r="G356" i="3"/>
  <c r="H356" i="3" s="1"/>
  <c r="Q356" i="3"/>
  <c r="S356" i="3"/>
  <c r="O356" i="3"/>
  <c r="U356" i="3"/>
  <c r="AF356" i="3"/>
  <c r="AD356" i="3"/>
  <c r="M356" i="3"/>
  <c r="AK356" i="3"/>
  <c r="AM356" i="3"/>
  <c r="AE356" i="3"/>
  <c r="P356" i="3"/>
  <c r="V356" i="3"/>
  <c r="R356" i="3"/>
  <c r="T356" i="3"/>
  <c r="AU354" i="3"/>
  <c r="AV353" i="3"/>
  <c r="BA353" i="3"/>
  <c r="AH355" i="3"/>
  <c r="X355" i="3"/>
  <c r="BQ352" i="3"/>
  <c r="BB352" i="3"/>
  <c r="BF352" i="3"/>
  <c r="BJ351" i="3" s="1"/>
  <c r="BK351" i="3" s="1"/>
  <c r="BD352" i="3"/>
  <c r="BG352" i="3"/>
  <c r="BH352" i="3" s="1"/>
  <c r="BI352" i="3" s="1"/>
  <c r="AN355" i="3"/>
  <c r="BN356" i="3" l="1"/>
  <c r="BC353" i="3"/>
  <c r="AY354" i="3"/>
  <c r="AN356" i="3"/>
  <c r="AU355" i="3"/>
  <c r="AG356" i="3"/>
  <c r="AT355" i="3"/>
  <c r="AW355" i="3"/>
  <c r="AO356" i="3"/>
  <c r="AH356" i="3"/>
  <c r="A358" i="3"/>
  <c r="C357" i="3"/>
  <c r="D357" i="3"/>
  <c r="AR357" i="3"/>
  <c r="B357" i="3"/>
  <c r="AQ357" i="3"/>
  <c r="G357" i="3"/>
  <c r="H357" i="3" s="1"/>
  <c r="F357" i="3"/>
  <c r="Q357" i="3"/>
  <c r="S357" i="3"/>
  <c r="O357" i="3"/>
  <c r="U357" i="3"/>
  <c r="AF357" i="3"/>
  <c r="AK357" i="3"/>
  <c r="M357" i="3"/>
  <c r="AE357" i="3"/>
  <c r="AD357" i="3"/>
  <c r="AM357" i="3"/>
  <c r="P357" i="3"/>
  <c r="V357" i="3"/>
  <c r="T357" i="3"/>
  <c r="R357" i="3"/>
  <c r="AV355" i="3"/>
  <c r="BQ353" i="3"/>
  <c r="BF353" i="3"/>
  <c r="BJ352" i="3" s="1"/>
  <c r="BK352" i="3" s="1"/>
  <c r="BB353" i="3"/>
  <c r="Y356" i="3"/>
  <c r="Z356" i="3" s="1"/>
  <c r="X356" i="3"/>
  <c r="BG353" i="3"/>
  <c r="BH353" i="3" s="1"/>
  <c r="BI353" i="3" s="1"/>
  <c r="BD353" i="3"/>
  <c r="AX355" i="3"/>
  <c r="AY355" i="3" s="1"/>
  <c r="AV354" i="3"/>
  <c r="BA354" i="3"/>
  <c r="BC354" i="3" l="1"/>
  <c r="AN357" i="3"/>
  <c r="AX356" i="3"/>
  <c r="AU356" i="3"/>
  <c r="BM357" i="3"/>
  <c r="X357" i="3"/>
  <c r="BD354" i="3"/>
  <c r="BG354" i="3"/>
  <c r="BH354" i="3" s="1"/>
  <c r="BI354" i="3" s="1"/>
  <c r="BB354" i="3"/>
  <c r="BQ354" i="3"/>
  <c r="BF354" i="3"/>
  <c r="BJ353" i="3" s="1"/>
  <c r="BK353" i="3" s="1"/>
  <c r="AH357" i="3"/>
  <c r="D358" i="3"/>
  <c r="AR358" i="3"/>
  <c r="B358" i="3"/>
  <c r="AQ358" i="3"/>
  <c r="A359" i="3"/>
  <c r="C358" i="3"/>
  <c r="F358" i="3"/>
  <c r="BM358" i="3" s="1"/>
  <c r="G358" i="3"/>
  <c r="H358" i="3" s="1"/>
  <c r="Q358" i="3"/>
  <c r="S358" i="3"/>
  <c r="O358" i="3"/>
  <c r="U358" i="3"/>
  <c r="AE358" i="3"/>
  <c r="AD358" i="3"/>
  <c r="M358" i="3"/>
  <c r="AF358" i="3"/>
  <c r="AK358" i="3"/>
  <c r="AM358" i="3"/>
  <c r="P358" i="3"/>
  <c r="V358" i="3"/>
  <c r="R358" i="3"/>
  <c r="T358" i="3"/>
  <c r="BA355" i="3"/>
  <c r="Y357" i="3"/>
  <c r="Z357" i="3" s="1"/>
  <c r="AG357" i="3"/>
  <c r="AW356" i="3"/>
  <c r="AY356" i="3" s="1"/>
  <c r="BN357" i="3"/>
  <c r="BC355" i="3"/>
  <c r="AO357" i="3"/>
  <c r="AT356" i="3"/>
  <c r="BN358" i="3" l="1"/>
  <c r="AN358" i="3"/>
  <c r="AX357" i="3"/>
  <c r="BB355" i="3"/>
  <c r="BQ355" i="3"/>
  <c r="BF355" i="3"/>
  <c r="BJ354" i="3" s="1"/>
  <c r="BK354" i="3" s="1"/>
  <c r="AG358" i="3"/>
  <c r="AU358" i="3" s="1"/>
  <c r="AQ359" i="3"/>
  <c r="B359" i="3"/>
  <c r="A360" i="3"/>
  <c r="AR359" i="3"/>
  <c r="C359" i="3"/>
  <c r="D359" i="3"/>
  <c r="G359" i="3"/>
  <c r="H359" i="3" s="1"/>
  <c r="BN359" i="3" s="1"/>
  <c r="F359" i="3"/>
  <c r="BM359" i="3" s="1"/>
  <c r="Q359" i="3"/>
  <c r="S359" i="3"/>
  <c r="O359" i="3"/>
  <c r="U359" i="3"/>
  <c r="AD359" i="3"/>
  <c r="AE359" i="3"/>
  <c r="M359" i="3"/>
  <c r="AK359" i="3"/>
  <c r="AM359" i="3"/>
  <c r="AN359" i="3" s="1"/>
  <c r="AF359" i="3"/>
  <c r="R359" i="3"/>
  <c r="V359" i="3"/>
  <c r="P359" i="3"/>
  <c r="T359" i="3"/>
  <c r="X358" i="3"/>
  <c r="AU357" i="3"/>
  <c r="BD355" i="3"/>
  <c r="BG355" i="3"/>
  <c r="BH355" i="3" s="1"/>
  <c r="BI355" i="3" s="1"/>
  <c r="AV356" i="3"/>
  <c r="BC356" i="3" s="1"/>
  <c r="BA356" i="3"/>
  <c r="AH358" i="3"/>
  <c r="Y358" i="3"/>
  <c r="Z358" i="3" s="1"/>
  <c r="AW357" i="3"/>
  <c r="AO358" i="3"/>
  <c r="AT357" i="3"/>
  <c r="AY357" i="3" l="1"/>
  <c r="B360" i="3"/>
  <c r="AR360" i="3"/>
  <c r="AQ360" i="3"/>
  <c r="C360" i="3"/>
  <c r="D360" i="3"/>
  <c r="A361" i="3"/>
  <c r="F360" i="3"/>
  <c r="BM360" i="3" s="1"/>
  <c r="G360" i="3"/>
  <c r="H360" i="3" s="1"/>
  <c r="Q360" i="3"/>
  <c r="S360" i="3"/>
  <c r="O360" i="3"/>
  <c r="U360" i="3"/>
  <c r="AD360" i="3"/>
  <c r="AF360" i="3"/>
  <c r="AE360" i="3"/>
  <c r="M360" i="3"/>
  <c r="AM360" i="3"/>
  <c r="AK360" i="3"/>
  <c r="P360" i="3"/>
  <c r="R360" i="3"/>
  <c r="V360" i="3"/>
  <c r="T360" i="3"/>
  <c r="AO359" i="3"/>
  <c r="AW358" i="3"/>
  <c r="AX358" i="3"/>
  <c r="AG359" i="3"/>
  <c r="BD356" i="3"/>
  <c r="BG356" i="3"/>
  <c r="BH356" i="3" s="1"/>
  <c r="BI356" i="3" s="1"/>
  <c r="AH359" i="3"/>
  <c r="AT359" i="3" s="1"/>
  <c r="BQ356" i="3"/>
  <c r="BB356" i="3"/>
  <c r="BF356" i="3"/>
  <c r="BJ355" i="3" s="1"/>
  <c r="BK355" i="3" s="1"/>
  <c r="BA357" i="3"/>
  <c r="AV357" i="3"/>
  <c r="AT358" i="3"/>
  <c r="Y359" i="3"/>
  <c r="Z359" i="3" s="1"/>
  <c r="X359" i="3"/>
  <c r="BN360" i="3" l="1"/>
  <c r="AY358" i="3"/>
  <c r="BC357" i="3"/>
  <c r="BD357" i="3" s="1"/>
  <c r="AO360" i="3"/>
  <c r="AG360" i="3"/>
  <c r="AX359" i="3"/>
  <c r="A362" i="3"/>
  <c r="C361" i="3"/>
  <c r="D361" i="3"/>
  <c r="AR361" i="3"/>
  <c r="B361" i="3"/>
  <c r="AQ361" i="3"/>
  <c r="F361" i="3"/>
  <c r="G361" i="3"/>
  <c r="H361" i="3" s="1"/>
  <c r="Q361" i="3"/>
  <c r="S361" i="3"/>
  <c r="O361" i="3"/>
  <c r="U361" i="3"/>
  <c r="AD361" i="3"/>
  <c r="AE361" i="3"/>
  <c r="M361" i="3"/>
  <c r="AF361" i="3"/>
  <c r="AK361" i="3"/>
  <c r="AM361" i="3"/>
  <c r="AN361" i="3" s="1"/>
  <c r="T361" i="3"/>
  <c r="R361" i="3"/>
  <c r="P361" i="3"/>
  <c r="V361" i="3"/>
  <c r="AV358" i="3"/>
  <c r="BC358" i="3" s="1"/>
  <c r="BA358" i="3"/>
  <c r="X360" i="3"/>
  <c r="AW359" i="3"/>
  <c r="Y360" i="3"/>
  <c r="Z360" i="3" s="1"/>
  <c r="BQ357" i="3"/>
  <c r="BF357" i="3"/>
  <c r="BJ356" i="3" s="1"/>
  <c r="BK356" i="3" s="1"/>
  <c r="BB357" i="3"/>
  <c r="AH360" i="3"/>
  <c r="AU359" i="3"/>
  <c r="AV359" i="3" s="1"/>
  <c r="AN360" i="3"/>
  <c r="BG357" i="3" l="1"/>
  <c r="BH357" i="3" s="1"/>
  <c r="BI357" i="3" s="1"/>
  <c r="AY359" i="3"/>
  <c r="BC359" i="3" s="1"/>
  <c r="Y361" i="3"/>
  <c r="Z361" i="3" s="1"/>
  <c r="AG361" i="3"/>
  <c r="AX360" i="3"/>
  <c r="AU360" i="3"/>
  <c r="BF358" i="3"/>
  <c r="BJ357" i="3" s="1"/>
  <c r="BK357" i="3" s="1"/>
  <c r="BQ358" i="3"/>
  <c r="BB358" i="3"/>
  <c r="C362" i="3"/>
  <c r="AR362" i="3"/>
  <c r="B362" i="3"/>
  <c r="AQ362" i="3"/>
  <c r="A363" i="3"/>
  <c r="D362" i="3"/>
  <c r="F362" i="3"/>
  <c r="G362" i="3"/>
  <c r="H362" i="3" s="1"/>
  <c r="Q362" i="3"/>
  <c r="S362" i="3"/>
  <c r="O362" i="3"/>
  <c r="U362" i="3"/>
  <c r="AD362" i="3"/>
  <c r="M362" i="3"/>
  <c r="AF362" i="3"/>
  <c r="AE362" i="3"/>
  <c r="AM362" i="3"/>
  <c r="AK362" i="3"/>
  <c r="AO362" i="3" s="1"/>
  <c r="P362" i="3"/>
  <c r="V362" i="3"/>
  <c r="T362" i="3"/>
  <c r="R362" i="3"/>
  <c r="AH361" i="3"/>
  <c r="X361" i="3"/>
  <c r="AT360" i="3"/>
  <c r="AO361" i="3"/>
  <c r="BD358" i="3"/>
  <c r="BG358" i="3"/>
  <c r="BH358" i="3" s="1"/>
  <c r="BI358" i="3" s="1"/>
  <c r="BN361" i="3"/>
  <c r="BA359" i="3"/>
  <c r="AW360" i="3"/>
  <c r="BM361" i="3"/>
  <c r="BG359" i="3" l="1"/>
  <c r="BH359" i="3" s="1"/>
  <c r="BI359" i="3" s="1"/>
  <c r="BD359" i="3"/>
  <c r="AW361" i="3"/>
  <c r="AT361" i="3"/>
  <c r="AH362" i="3"/>
  <c r="AY360" i="3"/>
  <c r="AU361" i="3"/>
  <c r="AV361" i="3" s="1"/>
  <c r="Y362" i="3"/>
  <c r="Z362" i="3" s="1"/>
  <c r="BQ359" i="3"/>
  <c r="BF359" i="3"/>
  <c r="BJ358" i="3" s="1"/>
  <c r="BK358" i="3" s="1"/>
  <c r="BB359" i="3"/>
  <c r="X362" i="3"/>
  <c r="AV360" i="3"/>
  <c r="BA360" i="3"/>
  <c r="AN362" i="3"/>
  <c r="AQ363" i="3"/>
  <c r="B363" i="3"/>
  <c r="A364" i="3"/>
  <c r="AR363" i="3"/>
  <c r="D363" i="3"/>
  <c r="C363" i="3"/>
  <c r="G363" i="3"/>
  <c r="H363" i="3" s="1"/>
  <c r="F363" i="3"/>
  <c r="BM363" i="3" s="1"/>
  <c r="Q363" i="3"/>
  <c r="S363" i="3"/>
  <c r="O363" i="3"/>
  <c r="U363" i="3"/>
  <c r="AF363" i="3"/>
  <c r="AE363" i="3"/>
  <c r="AD363" i="3"/>
  <c r="M363" i="3"/>
  <c r="AK363" i="3"/>
  <c r="AM363" i="3"/>
  <c r="V363" i="3"/>
  <c r="P363" i="3"/>
  <c r="T363" i="3"/>
  <c r="R363" i="3"/>
  <c r="AG362" i="3"/>
  <c r="AU362" i="3" s="1"/>
  <c r="BN362" i="3"/>
  <c r="AX361" i="3"/>
  <c r="BA361" i="3" s="1"/>
  <c r="BM362" i="3"/>
  <c r="BC360" i="3" l="1"/>
  <c r="BD360" i="3" s="1"/>
  <c r="BN363" i="3"/>
  <c r="AH363" i="3"/>
  <c r="AO363" i="3"/>
  <c r="AX362" i="3"/>
  <c r="BB361" i="3"/>
  <c r="BQ361" i="3"/>
  <c r="BF361" i="3"/>
  <c r="BB360" i="3"/>
  <c r="BQ360" i="3"/>
  <c r="BF360" i="3"/>
  <c r="BJ359" i="3" s="1"/>
  <c r="BK359" i="3" s="1"/>
  <c r="AW362" i="3"/>
  <c r="AT362" i="3"/>
  <c r="AY361" i="3"/>
  <c r="BC361" i="3" s="1"/>
  <c r="Y363" i="3"/>
  <c r="Z363" i="3" s="1"/>
  <c r="B364" i="3"/>
  <c r="AR364" i="3"/>
  <c r="AQ364" i="3"/>
  <c r="D364" i="3"/>
  <c r="C364" i="3"/>
  <c r="A365" i="3"/>
  <c r="G364" i="3"/>
  <c r="H364" i="3" s="1"/>
  <c r="BN364" i="3" s="1"/>
  <c r="F364" i="3"/>
  <c r="BM364" i="3" s="1"/>
  <c r="Q364" i="3"/>
  <c r="S364" i="3"/>
  <c r="O364" i="3"/>
  <c r="U364" i="3"/>
  <c r="AF364" i="3"/>
  <c r="AE364" i="3"/>
  <c r="AD364" i="3"/>
  <c r="M364" i="3"/>
  <c r="AM364" i="3"/>
  <c r="AK364" i="3"/>
  <c r="V364" i="3"/>
  <c r="P364" i="3"/>
  <c r="T364" i="3"/>
  <c r="R364" i="3"/>
  <c r="AG363" i="3"/>
  <c r="X363" i="3"/>
  <c r="AN363" i="3"/>
  <c r="BG360" i="3" l="1"/>
  <c r="BH360" i="3" s="1"/>
  <c r="BI360" i="3" s="1"/>
  <c r="AO364" i="3"/>
  <c r="AH364" i="3"/>
  <c r="AY362" i="3"/>
  <c r="AW363" i="3"/>
  <c r="BD361" i="3"/>
  <c r="BG361" i="3"/>
  <c r="BH361" i="3" s="1"/>
  <c r="BI361" i="3" s="1"/>
  <c r="A366" i="3"/>
  <c r="D365" i="3"/>
  <c r="C365" i="3"/>
  <c r="AR365" i="3"/>
  <c r="B365" i="3"/>
  <c r="AQ365" i="3"/>
  <c r="G365" i="3"/>
  <c r="H365" i="3" s="1"/>
  <c r="F365" i="3"/>
  <c r="Q365" i="3"/>
  <c r="S365" i="3"/>
  <c r="O365" i="3"/>
  <c r="U365" i="3"/>
  <c r="AE365" i="3"/>
  <c r="AD365" i="3"/>
  <c r="M365" i="3"/>
  <c r="AK365" i="3"/>
  <c r="AM365" i="3"/>
  <c r="AF365" i="3"/>
  <c r="T365" i="3"/>
  <c r="V365" i="3"/>
  <c r="P365" i="3"/>
  <c r="R365" i="3"/>
  <c r="X364" i="3"/>
  <c r="Y364" i="3"/>
  <c r="Z364" i="3" s="1"/>
  <c r="BA362" i="3"/>
  <c r="AV362" i="3"/>
  <c r="AX363" i="3"/>
  <c r="AU363" i="3"/>
  <c r="AG364" i="3"/>
  <c r="BJ360" i="3"/>
  <c r="BK360" i="3" s="1"/>
  <c r="AT363" i="3"/>
  <c r="AN364" i="3"/>
  <c r="BC362" i="3" l="1"/>
  <c r="AT364" i="3"/>
  <c r="AY363" i="3"/>
  <c r="AN365" i="3"/>
  <c r="Y365" i="3"/>
  <c r="Z365" i="3" s="1"/>
  <c r="AX364" i="3"/>
  <c r="D366" i="3"/>
  <c r="AR366" i="3"/>
  <c r="B366" i="3"/>
  <c r="AQ366" i="3"/>
  <c r="A367" i="3"/>
  <c r="C366" i="3"/>
  <c r="F366" i="3"/>
  <c r="G366" i="3"/>
  <c r="H366" i="3" s="1"/>
  <c r="Q366" i="3"/>
  <c r="S366" i="3"/>
  <c r="O366" i="3"/>
  <c r="U366" i="3"/>
  <c r="AD366" i="3"/>
  <c r="M366" i="3"/>
  <c r="AF366" i="3"/>
  <c r="AE366" i="3"/>
  <c r="AM366" i="3"/>
  <c r="AK366" i="3"/>
  <c r="AO366" i="3" s="1"/>
  <c r="R366" i="3"/>
  <c r="P366" i="3"/>
  <c r="V366" i="3"/>
  <c r="T366" i="3"/>
  <c r="X365" i="3"/>
  <c r="BM365" i="3"/>
  <c r="BA363" i="3"/>
  <c r="AV363" i="3"/>
  <c r="BC363" i="3" s="1"/>
  <c r="BN365" i="3"/>
  <c r="BF362" i="3"/>
  <c r="BJ361" i="3" s="1"/>
  <c r="BK361" i="3" s="1"/>
  <c r="BB362" i="3"/>
  <c r="BQ362" i="3"/>
  <c r="AO365" i="3"/>
  <c r="BD362" i="3"/>
  <c r="BG362" i="3"/>
  <c r="BH362" i="3" s="1"/>
  <c r="BI362" i="3" s="1"/>
  <c r="AW364" i="3"/>
  <c r="AY364" i="3" s="1"/>
  <c r="AH365" i="3"/>
  <c r="AU364" i="3"/>
  <c r="AG365" i="3"/>
  <c r="AV364" i="3" l="1"/>
  <c r="AH366" i="3"/>
  <c r="AX365" i="3"/>
  <c r="Y366" i="3"/>
  <c r="Z366" i="3" s="1"/>
  <c r="BC364" i="3"/>
  <c r="BD363" i="3"/>
  <c r="BG363" i="3"/>
  <c r="BH363" i="3" s="1"/>
  <c r="BI363" i="3" s="1"/>
  <c r="AQ367" i="3"/>
  <c r="B367" i="3"/>
  <c r="A368" i="3"/>
  <c r="AR367" i="3"/>
  <c r="D367" i="3"/>
  <c r="C367" i="3"/>
  <c r="G367" i="3"/>
  <c r="H367" i="3" s="1"/>
  <c r="BN367" i="3" s="1"/>
  <c r="F367" i="3"/>
  <c r="Q367" i="3"/>
  <c r="S367" i="3"/>
  <c r="O367" i="3"/>
  <c r="U367" i="3"/>
  <c r="M367" i="3"/>
  <c r="AF367" i="3"/>
  <c r="AK367" i="3"/>
  <c r="AD367" i="3"/>
  <c r="AE367" i="3"/>
  <c r="AM367" i="3"/>
  <c r="R367" i="3"/>
  <c r="V367" i="3"/>
  <c r="P367" i="3"/>
  <c r="T367" i="3"/>
  <c r="BA364" i="3"/>
  <c r="BF363" i="3"/>
  <c r="BJ362" i="3" s="1"/>
  <c r="BK362" i="3" s="1"/>
  <c r="BB363" i="3"/>
  <c r="BQ363" i="3"/>
  <c r="AW365" i="3"/>
  <c r="AU365" i="3"/>
  <c r="AG366" i="3"/>
  <c r="BN366" i="3"/>
  <c r="X366" i="3"/>
  <c r="AN366" i="3"/>
  <c r="BM366" i="3"/>
  <c r="AT365" i="3"/>
  <c r="AX366" i="3" l="1"/>
  <c r="AY365" i="3"/>
  <c r="AO367" i="3"/>
  <c r="AW366" i="3"/>
  <c r="BF364" i="3"/>
  <c r="BJ363" i="3" s="1"/>
  <c r="BK363" i="3" s="1"/>
  <c r="BB364" i="3"/>
  <c r="BQ364" i="3"/>
  <c r="Y367" i="3"/>
  <c r="Z367" i="3" s="1"/>
  <c r="X367" i="3"/>
  <c r="BD364" i="3"/>
  <c r="BG364" i="3"/>
  <c r="BH364" i="3" s="1"/>
  <c r="BI364" i="3" s="1"/>
  <c r="B368" i="3"/>
  <c r="AR368" i="3"/>
  <c r="AQ368" i="3"/>
  <c r="D368" i="3"/>
  <c r="C368" i="3"/>
  <c r="A369" i="3"/>
  <c r="G368" i="3"/>
  <c r="H368" i="3" s="1"/>
  <c r="F368" i="3"/>
  <c r="Q368" i="3"/>
  <c r="S368" i="3"/>
  <c r="O368" i="3"/>
  <c r="U368" i="3"/>
  <c r="AF368" i="3"/>
  <c r="AD368" i="3"/>
  <c r="M368" i="3"/>
  <c r="AE368" i="3"/>
  <c r="AM368" i="3"/>
  <c r="AK368" i="3"/>
  <c r="P368" i="3"/>
  <c r="T368" i="3"/>
  <c r="V368" i="3"/>
  <c r="R368" i="3"/>
  <c r="AT366" i="3"/>
  <c r="AV365" i="3"/>
  <c r="BC365" i="3" s="1"/>
  <c r="BA365" i="3"/>
  <c r="AN367" i="3"/>
  <c r="AU366" i="3"/>
  <c r="AG367" i="3"/>
  <c r="AH367" i="3"/>
  <c r="AX367" i="3" s="1"/>
  <c r="BM367" i="3"/>
  <c r="AY366" i="3" l="1"/>
  <c r="AO368" i="3"/>
  <c r="BN368" i="3"/>
  <c r="AH368" i="3"/>
  <c r="A370" i="3"/>
  <c r="D369" i="3"/>
  <c r="C369" i="3"/>
  <c r="AR369" i="3"/>
  <c r="B369" i="3"/>
  <c r="AQ369" i="3"/>
  <c r="F369" i="3"/>
  <c r="G369" i="3"/>
  <c r="H369" i="3" s="1"/>
  <c r="Q369" i="3"/>
  <c r="S369" i="3"/>
  <c r="O369" i="3"/>
  <c r="U369" i="3"/>
  <c r="M369" i="3"/>
  <c r="AE369" i="3"/>
  <c r="AF369" i="3"/>
  <c r="AD369" i="3"/>
  <c r="AK369" i="3"/>
  <c r="AM369" i="3"/>
  <c r="T369" i="3"/>
  <c r="V369" i="3"/>
  <c r="P369" i="3"/>
  <c r="R369" i="3"/>
  <c r="AT367" i="3"/>
  <c r="AV366" i="3"/>
  <c r="BC366" i="3" s="1"/>
  <c r="BA366" i="3"/>
  <c r="Y368" i="3"/>
  <c r="Z368" i="3" s="1"/>
  <c r="AW367" i="3"/>
  <c r="AY367" i="3" s="1"/>
  <c r="AU367" i="3"/>
  <c r="BF365" i="3"/>
  <c r="BJ364" i="3" s="1"/>
  <c r="BK364" i="3" s="1"/>
  <c r="BQ365" i="3"/>
  <c r="BB365" i="3"/>
  <c r="AN368" i="3"/>
  <c r="X368" i="3"/>
  <c r="BD365" i="3"/>
  <c r="BG365" i="3"/>
  <c r="BH365" i="3" s="1"/>
  <c r="BI365" i="3" s="1"/>
  <c r="AG368" i="3"/>
  <c r="BM368" i="3"/>
  <c r="AN369" i="3" l="1"/>
  <c r="BM369" i="3"/>
  <c r="AX368" i="3"/>
  <c r="AW368" i="3"/>
  <c r="AY368" i="3" s="1"/>
  <c r="AG369" i="3"/>
  <c r="AV367" i="3"/>
  <c r="BC367" i="3" s="1"/>
  <c r="BA367" i="3"/>
  <c r="AU368" i="3"/>
  <c r="Y369" i="3"/>
  <c r="Z369" i="3" s="1"/>
  <c r="AT368" i="3"/>
  <c r="X369" i="3"/>
  <c r="BF366" i="3"/>
  <c r="BJ365" i="3" s="1"/>
  <c r="BK365" i="3" s="1"/>
  <c r="BQ366" i="3"/>
  <c r="BB366" i="3"/>
  <c r="AO369" i="3"/>
  <c r="D370" i="3"/>
  <c r="AR370" i="3"/>
  <c r="B370" i="3"/>
  <c r="AQ370" i="3"/>
  <c r="A371" i="3"/>
  <c r="C370" i="3"/>
  <c r="G370" i="3"/>
  <c r="H370" i="3" s="1"/>
  <c r="F370" i="3"/>
  <c r="BM370" i="3" s="1"/>
  <c r="Q370" i="3"/>
  <c r="S370" i="3"/>
  <c r="O370" i="3"/>
  <c r="U370" i="3"/>
  <c r="AD370" i="3"/>
  <c r="M370" i="3"/>
  <c r="AE370" i="3"/>
  <c r="AF370" i="3"/>
  <c r="AM370" i="3"/>
  <c r="AK370" i="3"/>
  <c r="V370" i="3"/>
  <c r="T370" i="3"/>
  <c r="R370" i="3"/>
  <c r="P370" i="3"/>
  <c r="BD366" i="3"/>
  <c r="BG366" i="3"/>
  <c r="BH366" i="3" s="1"/>
  <c r="BI366" i="3" s="1"/>
  <c r="AH369" i="3"/>
  <c r="AX369" i="3" s="1"/>
  <c r="BN369" i="3"/>
  <c r="AO370" i="3" l="1"/>
  <c r="AT369" i="3"/>
  <c r="BN370" i="3"/>
  <c r="BB367" i="3"/>
  <c r="BF367" i="3"/>
  <c r="BJ366" i="3" s="1"/>
  <c r="BK366" i="3" s="1"/>
  <c r="BQ367" i="3"/>
  <c r="AQ371" i="3"/>
  <c r="B371" i="3"/>
  <c r="A372" i="3"/>
  <c r="AR371" i="3"/>
  <c r="C371" i="3"/>
  <c r="D371" i="3"/>
  <c r="F371" i="3"/>
  <c r="BM371" i="3" s="1"/>
  <c r="G371" i="3"/>
  <c r="H371" i="3" s="1"/>
  <c r="BN371" i="3" s="1"/>
  <c r="Q371" i="3"/>
  <c r="S371" i="3"/>
  <c r="O371" i="3"/>
  <c r="U371" i="3"/>
  <c r="AD371" i="3"/>
  <c r="AE371" i="3"/>
  <c r="M371" i="3"/>
  <c r="AF371" i="3"/>
  <c r="AH371" i="3" s="1"/>
  <c r="AM371" i="3"/>
  <c r="AK371" i="3"/>
  <c r="AO371" i="3" s="1"/>
  <c r="P371" i="3"/>
  <c r="T371" i="3"/>
  <c r="R371" i="3"/>
  <c r="V371" i="3"/>
  <c r="BG367" i="3"/>
  <c r="BH367" i="3" s="1"/>
  <c r="BI367" i="3" s="1"/>
  <c r="BD367" i="3"/>
  <c r="AU369" i="3"/>
  <c r="AN370" i="3"/>
  <c r="AG370" i="3"/>
  <c r="AH370" i="3"/>
  <c r="X370" i="3"/>
  <c r="Y370" i="3"/>
  <c r="Z370" i="3" s="1"/>
  <c r="BA368" i="3"/>
  <c r="AV368" i="3"/>
  <c r="BC368" i="3" s="1"/>
  <c r="AW369" i="3"/>
  <c r="AY369" i="3" s="1"/>
  <c r="AN371" i="3" l="1"/>
  <c r="AX370" i="3"/>
  <c r="Y371" i="3"/>
  <c r="Z371" i="3" s="1"/>
  <c r="AW370" i="3"/>
  <c r="X371" i="3"/>
  <c r="AT371" i="3"/>
  <c r="B372" i="3"/>
  <c r="AR372" i="3"/>
  <c r="AQ372" i="3"/>
  <c r="C372" i="3"/>
  <c r="D372" i="3"/>
  <c r="A373" i="3"/>
  <c r="G372" i="3"/>
  <c r="H372" i="3" s="1"/>
  <c r="BN372" i="3" s="1"/>
  <c r="F372" i="3"/>
  <c r="BM372" i="3" s="1"/>
  <c r="Q372" i="3"/>
  <c r="S372" i="3"/>
  <c r="O372" i="3"/>
  <c r="U372" i="3"/>
  <c r="AE372" i="3"/>
  <c r="AF372" i="3"/>
  <c r="M372" i="3"/>
  <c r="AD372" i="3"/>
  <c r="AH372" i="3" s="1"/>
  <c r="AM372" i="3"/>
  <c r="AK372" i="3"/>
  <c r="T372" i="3"/>
  <c r="P372" i="3"/>
  <c r="R372" i="3"/>
  <c r="V372" i="3"/>
  <c r="AT370" i="3"/>
  <c r="BA369" i="3"/>
  <c r="AV369" i="3"/>
  <c r="BC369" i="3" s="1"/>
  <c r="BQ368" i="3"/>
  <c r="BB368" i="3"/>
  <c r="BF368" i="3"/>
  <c r="BJ367" i="3" s="1"/>
  <c r="BK367" i="3" s="1"/>
  <c r="AG371" i="3"/>
  <c r="AW371" i="3" s="1"/>
  <c r="BD368" i="3"/>
  <c r="BG368" i="3"/>
  <c r="BH368" i="3" s="1"/>
  <c r="BI368" i="3" s="1"/>
  <c r="AU370" i="3"/>
  <c r="AU371" i="3"/>
  <c r="AO372" i="3" l="1"/>
  <c r="AY370" i="3"/>
  <c r="AN372" i="3"/>
  <c r="AV371" i="3"/>
  <c r="BF369" i="3"/>
  <c r="BJ368" i="3" s="1"/>
  <c r="BK368" i="3" s="1"/>
  <c r="BB369" i="3"/>
  <c r="BQ369" i="3"/>
  <c r="AV370" i="3"/>
  <c r="BC370" i="3" s="1"/>
  <c r="BA370" i="3"/>
  <c r="BD369" i="3"/>
  <c r="BG369" i="3"/>
  <c r="BH369" i="3" s="1"/>
  <c r="BI369" i="3" s="1"/>
  <c r="Y372" i="3"/>
  <c r="Z372" i="3" s="1"/>
  <c r="AG372" i="3"/>
  <c r="AW372" i="3" s="1"/>
  <c r="A374" i="3"/>
  <c r="D373" i="3"/>
  <c r="C373" i="3"/>
  <c r="AR373" i="3"/>
  <c r="B373" i="3"/>
  <c r="AQ373" i="3"/>
  <c r="G373" i="3"/>
  <c r="H373" i="3" s="1"/>
  <c r="F373" i="3"/>
  <c r="Q373" i="3"/>
  <c r="S373" i="3"/>
  <c r="O373" i="3"/>
  <c r="U373" i="3"/>
  <c r="AM373" i="3"/>
  <c r="AE373" i="3"/>
  <c r="AD373" i="3"/>
  <c r="AK373" i="3"/>
  <c r="AF373" i="3"/>
  <c r="M373" i="3"/>
  <c r="R373" i="3"/>
  <c r="P373" i="3"/>
  <c r="V373" i="3"/>
  <c r="T373" i="3"/>
  <c r="X372" i="3"/>
  <c r="AX371" i="3"/>
  <c r="AY371" i="3" s="1"/>
  <c r="AU372" i="3" l="1"/>
  <c r="BM373" i="3"/>
  <c r="BN373" i="3"/>
  <c r="AO373" i="3"/>
  <c r="D374" i="3"/>
  <c r="AR374" i="3"/>
  <c r="B374" i="3"/>
  <c r="AQ374" i="3"/>
  <c r="A375" i="3"/>
  <c r="C374" i="3"/>
  <c r="G374" i="3"/>
  <c r="H374" i="3" s="1"/>
  <c r="F374" i="3"/>
  <c r="BM374" i="3" s="1"/>
  <c r="Q374" i="3"/>
  <c r="S374" i="3"/>
  <c r="O374" i="3"/>
  <c r="U374" i="3"/>
  <c r="AD374" i="3"/>
  <c r="M374" i="3"/>
  <c r="AF374" i="3"/>
  <c r="AM374" i="3"/>
  <c r="AE374" i="3"/>
  <c r="AK374" i="3"/>
  <c r="V374" i="3"/>
  <c r="P374" i="3"/>
  <c r="T374" i="3"/>
  <c r="R374" i="3"/>
  <c r="AG373" i="3"/>
  <c r="BC371" i="3"/>
  <c r="BA371" i="3"/>
  <c r="AN373" i="3"/>
  <c r="AX372" i="3"/>
  <c r="AY372" i="3" s="1"/>
  <c r="X373" i="3"/>
  <c r="BB370" i="3"/>
  <c r="BQ370" i="3"/>
  <c r="BF370" i="3"/>
  <c r="BJ369" i="3" s="1"/>
  <c r="BK369" i="3" s="1"/>
  <c r="AH373" i="3"/>
  <c r="Y373" i="3"/>
  <c r="Z373" i="3" s="1"/>
  <c r="BD370" i="3"/>
  <c r="BG370" i="3"/>
  <c r="BH370" i="3" s="1"/>
  <c r="BI370" i="3" s="1"/>
  <c r="AT372" i="3"/>
  <c r="AH374" i="3" l="1"/>
  <c r="BN374" i="3"/>
  <c r="AW373" i="3"/>
  <c r="AN374" i="3"/>
  <c r="AQ375" i="3"/>
  <c r="B375" i="3"/>
  <c r="A376" i="3"/>
  <c r="AR375" i="3"/>
  <c r="C375" i="3"/>
  <c r="D375" i="3"/>
  <c r="G375" i="3"/>
  <c r="H375" i="3" s="1"/>
  <c r="BN375" i="3" s="1"/>
  <c r="F375" i="3"/>
  <c r="BM375" i="3" s="1"/>
  <c r="Q375" i="3"/>
  <c r="S375" i="3"/>
  <c r="O375" i="3"/>
  <c r="U375" i="3"/>
  <c r="AD375" i="3"/>
  <c r="AF375" i="3"/>
  <c r="AE375" i="3"/>
  <c r="AK375" i="3"/>
  <c r="M375" i="3"/>
  <c r="AM375" i="3"/>
  <c r="P375" i="3"/>
  <c r="T375" i="3"/>
  <c r="R375" i="3"/>
  <c r="V375" i="3"/>
  <c r="BD371" i="3"/>
  <c r="BG371" i="3"/>
  <c r="BH371" i="3" s="1"/>
  <c r="BI371" i="3" s="1"/>
  <c r="X374" i="3"/>
  <c r="AT373" i="3"/>
  <c r="Y374" i="3"/>
  <c r="Z374" i="3" s="1"/>
  <c r="BA372" i="3"/>
  <c r="AV372" i="3"/>
  <c r="BC372" i="3" s="1"/>
  <c r="AO374" i="3"/>
  <c r="AX373" i="3"/>
  <c r="AY373" i="3" s="1"/>
  <c r="BB371" i="3"/>
  <c r="BQ371" i="3"/>
  <c r="BF371" i="3"/>
  <c r="BJ370" i="3" s="1"/>
  <c r="BK370" i="3" s="1"/>
  <c r="AU373" i="3"/>
  <c r="AG374" i="3"/>
  <c r="AG375" i="3" l="1"/>
  <c r="AO375" i="3"/>
  <c r="AW374" i="3"/>
  <c r="AH375" i="3"/>
  <c r="AT375" i="3" s="1"/>
  <c r="BD372" i="3"/>
  <c r="BG372" i="3"/>
  <c r="BH372" i="3" s="1"/>
  <c r="BI372" i="3" s="1"/>
  <c r="BF372" i="3"/>
  <c r="BJ371" i="3" s="1"/>
  <c r="BK371" i="3" s="1"/>
  <c r="BB372" i="3"/>
  <c r="BQ372" i="3"/>
  <c r="Y375" i="3"/>
  <c r="Z375" i="3" s="1"/>
  <c r="B376" i="3"/>
  <c r="AR376" i="3"/>
  <c r="AQ376" i="3"/>
  <c r="D376" i="3"/>
  <c r="C376" i="3"/>
  <c r="A377" i="3"/>
  <c r="G376" i="3"/>
  <c r="H376" i="3" s="1"/>
  <c r="F376" i="3"/>
  <c r="Q376" i="3"/>
  <c r="S376" i="3"/>
  <c r="O376" i="3"/>
  <c r="U376" i="3"/>
  <c r="AF376" i="3"/>
  <c r="AE376" i="3"/>
  <c r="M376" i="3"/>
  <c r="AD376" i="3"/>
  <c r="AM376" i="3"/>
  <c r="AK376" i="3"/>
  <c r="T376" i="3"/>
  <c r="R376" i="3"/>
  <c r="V376" i="3"/>
  <c r="P376" i="3"/>
  <c r="AV373" i="3"/>
  <c r="BC373" i="3" s="1"/>
  <c r="BA373" i="3"/>
  <c r="AU374" i="3"/>
  <c r="AN375" i="3"/>
  <c r="X375" i="3"/>
  <c r="AX374" i="3"/>
  <c r="AT374" i="3"/>
  <c r="AU375" i="3"/>
  <c r="AO376" i="3" l="1"/>
  <c r="AG376" i="3"/>
  <c r="AY374" i="3"/>
  <c r="AW375" i="3"/>
  <c r="X376" i="3"/>
  <c r="Y376" i="3"/>
  <c r="Z376" i="3" s="1"/>
  <c r="A378" i="3"/>
  <c r="C377" i="3"/>
  <c r="D377" i="3"/>
  <c r="AR377" i="3"/>
  <c r="B377" i="3"/>
  <c r="AQ377" i="3"/>
  <c r="F377" i="3"/>
  <c r="G377" i="3"/>
  <c r="H377" i="3" s="1"/>
  <c r="Q377" i="3"/>
  <c r="S377" i="3"/>
  <c r="O377" i="3"/>
  <c r="U377" i="3"/>
  <c r="AD377" i="3"/>
  <c r="AE377" i="3"/>
  <c r="M377" i="3"/>
  <c r="AM377" i="3"/>
  <c r="AF377" i="3"/>
  <c r="AK377" i="3"/>
  <c r="AO377" i="3" s="1"/>
  <c r="T377" i="3"/>
  <c r="R377" i="3"/>
  <c r="V377" i="3"/>
  <c r="P377" i="3"/>
  <c r="AV374" i="3"/>
  <c r="BA374" i="3"/>
  <c r="AV375" i="3"/>
  <c r="AN376" i="3"/>
  <c r="BF373" i="3"/>
  <c r="BJ372" i="3" s="1"/>
  <c r="BK372" i="3" s="1"/>
  <c r="BB373" i="3"/>
  <c r="BQ373" i="3"/>
  <c r="AH376" i="3"/>
  <c r="BM376" i="3"/>
  <c r="BD373" i="3"/>
  <c r="BG373" i="3"/>
  <c r="BH373" i="3" s="1"/>
  <c r="BI373" i="3" s="1"/>
  <c r="BN376" i="3"/>
  <c r="AX375" i="3"/>
  <c r="AY375" i="3" l="1"/>
  <c r="BC374" i="3"/>
  <c r="BM377" i="3"/>
  <c r="AG377" i="3"/>
  <c r="AH377" i="3"/>
  <c r="X377" i="3"/>
  <c r="AT377" i="3"/>
  <c r="BC375" i="3"/>
  <c r="BB374" i="3"/>
  <c r="BF374" i="3"/>
  <c r="BJ373" i="3" s="1"/>
  <c r="BK373" i="3" s="1"/>
  <c r="BQ374" i="3"/>
  <c r="Y377" i="3"/>
  <c r="Z377" i="3" s="1"/>
  <c r="BA375" i="3"/>
  <c r="AX376" i="3"/>
  <c r="BD374" i="3"/>
  <c r="BG374" i="3"/>
  <c r="BH374" i="3" s="1"/>
  <c r="BI374" i="3" s="1"/>
  <c r="AT376" i="3"/>
  <c r="D378" i="3"/>
  <c r="AR378" i="3"/>
  <c r="B378" i="3"/>
  <c r="AQ378" i="3"/>
  <c r="A379" i="3"/>
  <c r="C378" i="3"/>
  <c r="G378" i="3"/>
  <c r="H378" i="3" s="1"/>
  <c r="F378" i="3"/>
  <c r="Q378" i="3"/>
  <c r="S378" i="3"/>
  <c r="O378" i="3"/>
  <c r="U378" i="3"/>
  <c r="AE378" i="3"/>
  <c r="AF378" i="3"/>
  <c r="AD378" i="3"/>
  <c r="AK378" i="3"/>
  <c r="M378" i="3"/>
  <c r="AM378" i="3"/>
  <c r="V378" i="3"/>
  <c r="T378" i="3"/>
  <c r="P378" i="3"/>
  <c r="R378" i="3"/>
  <c r="AU376" i="3"/>
  <c r="AN377" i="3"/>
  <c r="BN377" i="3"/>
  <c r="AW376" i="3"/>
  <c r="BM378" i="3" l="1"/>
  <c r="AW377" i="3"/>
  <c r="AH378" i="3"/>
  <c r="BN378" i="3"/>
  <c r="AO378" i="3"/>
  <c r="BD375" i="3"/>
  <c r="BG375" i="3"/>
  <c r="BH375" i="3" s="1"/>
  <c r="BI375" i="3" s="1"/>
  <c r="BA376" i="3"/>
  <c r="AV376" i="3"/>
  <c r="BQ375" i="3"/>
  <c r="BB375" i="3"/>
  <c r="BF375" i="3"/>
  <c r="BJ374" i="3" s="1"/>
  <c r="BK374" i="3" s="1"/>
  <c r="X378" i="3"/>
  <c r="AG378" i="3"/>
  <c r="AN378" i="3"/>
  <c r="AX377" i="3"/>
  <c r="AY377" i="3" s="1"/>
  <c r="AQ379" i="3"/>
  <c r="B379" i="3"/>
  <c r="A380" i="3"/>
  <c r="AR379" i="3"/>
  <c r="C379" i="3"/>
  <c r="D379" i="3"/>
  <c r="F379" i="3"/>
  <c r="BM379" i="3" s="1"/>
  <c r="G379" i="3"/>
  <c r="H379" i="3" s="1"/>
  <c r="Q379" i="3"/>
  <c r="S379" i="3"/>
  <c r="O379" i="3"/>
  <c r="U379" i="3"/>
  <c r="AF379" i="3"/>
  <c r="AD379" i="3"/>
  <c r="AE379" i="3"/>
  <c r="M379" i="3"/>
  <c r="AM379" i="3"/>
  <c r="AK379" i="3"/>
  <c r="V379" i="3"/>
  <c r="P379" i="3"/>
  <c r="T379" i="3"/>
  <c r="R379" i="3"/>
  <c r="Y378" i="3"/>
  <c r="Z378" i="3" s="1"/>
  <c r="AY376" i="3"/>
  <c r="AU377" i="3"/>
  <c r="AG379" i="3" l="1"/>
  <c r="BA377" i="3"/>
  <c r="BQ377" i="3" s="1"/>
  <c r="AT378" i="3"/>
  <c r="AU378" i="3"/>
  <c r="AV378" i="3" s="1"/>
  <c r="AX378" i="3"/>
  <c r="AO379" i="3"/>
  <c r="BC376" i="3"/>
  <c r="BG376" i="3" s="1"/>
  <c r="BH376" i="3" s="1"/>
  <c r="BI376" i="3" s="1"/>
  <c r="BB377" i="3"/>
  <c r="AV377" i="3"/>
  <c r="BC377" i="3" s="1"/>
  <c r="B380" i="3"/>
  <c r="AR380" i="3"/>
  <c r="AQ380" i="3"/>
  <c r="D380" i="3"/>
  <c r="C380" i="3"/>
  <c r="A381" i="3"/>
  <c r="G380" i="3"/>
  <c r="H380" i="3" s="1"/>
  <c r="F380" i="3"/>
  <c r="Q380" i="3"/>
  <c r="S380" i="3"/>
  <c r="O380" i="3"/>
  <c r="U380" i="3"/>
  <c r="AE380" i="3"/>
  <c r="AD380" i="3"/>
  <c r="M380" i="3"/>
  <c r="AF380" i="3"/>
  <c r="AM380" i="3"/>
  <c r="AK380" i="3"/>
  <c r="AO380" i="3" s="1"/>
  <c r="T380" i="3"/>
  <c r="V380" i="3"/>
  <c r="R380" i="3"/>
  <c r="P380" i="3"/>
  <c r="AW378" i="3"/>
  <c r="AH379" i="3"/>
  <c r="AU379" i="3" s="1"/>
  <c r="X379" i="3"/>
  <c r="AN379" i="3"/>
  <c r="BF376" i="3"/>
  <c r="BJ375" i="3" s="1"/>
  <c r="BK375" i="3" s="1"/>
  <c r="BB376" i="3"/>
  <c r="BQ376" i="3"/>
  <c r="Y379" i="3"/>
  <c r="Z379" i="3" s="1"/>
  <c r="BN379" i="3"/>
  <c r="BF377" i="3" l="1"/>
  <c r="AY378" i="3"/>
  <c r="BD376" i="3"/>
  <c r="AG380" i="3"/>
  <c r="BC378" i="3"/>
  <c r="AW379" i="3"/>
  <c r="AH380" i="3"/>
  <c r="AU380" i="3" s="1"/>
  <c r="A382" i="3"/>
  <c r="C381" i="3"/>
  <c r="D381" i="3"/>
  <c r="AR381" i="3"/>
  <c r="B381" i="3"/>
  <c r="AQ381" i="3"/>
  <c r="F381" i="3"/>
  <c r="G381" i="3"/>
  <c r="H381" i="3" s="1"/>
  <c r="Q381" i="3"/>
  <c r="S381" i="3"/>
  <c r="O381" i="3"/>
  <c r="U381" i="3"/>
  <c r="AD381" i="3"/>
  <c r="AM381" i="3"/>
  <c r="M381" i="3"/>
  <c r="AF381" i="3"/>
  <c r="AK381" i="3"/>
  <c r="AE381" i="3"/>
  <c r="P381" i="3"/>
  <c r="V381" i="3"/>
  <c r="T381" i="3"/>
  <c r="R381" i="3"/>
  <c r="Y380" i="3"/>
  <c r="Z380" i="3" s="1"/>
  <c r="BD378" i="3"/>
  <c r="BG378" i="3"/>
  <c r="BH378" i="3" s="1"/>
  <c r="BI378" i="3" s="1"/>
  <c r="X380" i="3"/>
  <c r="BA378" i="3"/>
  <c r="BJ376" i="3"/>
  <c r="BK376" i="3" s="1"/>
  <c r="AX379" i="3"/>
  <c r="BM380" i="3"/>
  <c r="AT379" i="3"/>
  <c r="BD377" i="3"/>
  <c r="BG377" i="3"/>
  <c r="BH377" i="3" s="1"/>
  <c r="BI377" i="3" s="1"/>
  <c r="AN380" i="3"/>
  <c r="BN380" i="3"/>
  <c r="AW380" i="3" l="1"/>
  <c r="AT380" i="3"/>
  <c r="AY379" i="3"/>
  <c r="AN381" i="3"/>
  <c r="AH381" i="3"/>
  <c r="AG381" i="3"/>
  <c r="X381" i="3"/>
  <c r="Y381" i="3"/>
  <c r="Z381" i="3" s="1"/>
  <c r="AO381" i="3"/>
  <c r="D382" i="3"/>
  <c r="AR382" i="3"/>
  <c r="B382" i="3"/>
  <c r="AQ382" i="3"/>
  <c r="A383" i="3"/>
  <c r="C382" i="3"/>
  <c r="G382" i="3"/>
  <c r="H382" i="3" s="1"/>
  <c r="F382" i="3"/>
  <c r="Q382" i="3"/>
  <c r="S382" i="3"/>
  <c r="O382" i="3"/>
  <c r="U382" i="3"/>
  <c r="AD382" i="3"/>
  <c r="M382" i="3"/>
  <c r="AE382" i="3"/>
  <c r="AF382" i="3"/>
  <c r="AM382" i="3"/>
  <c r="AK382" i="3"/>
  <c r="R382" i="3"/>
  <c r="P382" i="3"/>
  <c r="T382" i="3"/>
  <c r="V382" i="3"/>
  <c r="BB378" i="3"/>
  <c r="BQ378" i="3"/>
  <c r="BF378" i="3"/>
  <c r="BJ377" i="3" s="1"/>
  <c r="BK377" i="3" s="1"/>
  <c r="AV380" i="3"/>
  <c r="AV379" i="3"/>
  <c r="BA379" i="3"/>
  <c r="BN381" i="3"/>
  <c r="AX380" i="3"/>
  <c r="AY380" i="3" s="1"/>
  <c r="BM381" i="3"/>
  <c r="BM382" i="3" l="1"/>
  <c r="BC379" i="3"/>
  <c r="BN382" i="3"/>
  <c r="AO382" i="3"/>
  <c r="BQ379" i="3"/>
  <c r="BF379" i="3"/>
  <c r="BJ378" i="3" s="1"/>
  <c r="BK378" i="3" s="1"/>
  <c r="BB379" i="3"/>
  <c r="AW381" i="3"/>
  <c r="AQ383" i="3"/>
  <c r="B383" i="3"/>
  <c r="A384" i="3"/>
  <c r="AR383" i="3"/>
  <c r="D383" i="3"/>
  <c r="C383" i="3"/>
  <c r="F383" i="3"/>
  <c r="BM383" i="3" s="1"/>
  <c r="G383" i="3"/>
  <c r="H383" i="3" s="1"/>
  <c r="BN383" i="3" s="1"/>
  <c r="Q383" i="3"/>
  <c r="S383" i="3"/>
  <c r="O383" i="3"/>
  <c r="U383" i="3"/>
  <c r="AE383" i="3"/>
  <c r="AF383" i="3"/>
  <c r="AD383" i="3"/>
  <c r="M383" i="3"/>
  <c r="AK383" i="3"/>
  <c r="AM383" i="3"/>
  <c r="T383" i="3"/>
  <c r="V383" i="3"/>
  <c r="P383" i="3"/>
  <c r="R383" i="3"/>
  <c r="AX381" i="3"/>
  <c r="Y382" i="3"/>
  <c r="Z382" i="3" s="1"/>
  <c r="BD379" i="3"/>
  <c r="BG379" i="3"/>
  <c r="BH379" i="3" s="1"/>
  <c r="BI379" i="3" s="1"/>
  <c r="AH382" i="3"/>
  <c r="BC380" i="3"/>
  <c r="AT381" i="3"/>
  <c r="AG382" i="3"/>
  <c r="X382" i="3"/>
  <c r="BA380" i="3"/>
  <c r="AN382" i="3"/>
  <c r="AU381" i="3"/>
  <c r="AN383" i="3" l="1"/>
  <c r="AX382" i="3"/>
  <c r="Y383" i="3"/>
  <c r="Z383" i="3" s="1"/>
  <c r="X383" i="3"/>
  <c r="AH383" i="3"/>
  <c r="AY381" i="3"/>
  <c r="BQ380" i="3"/>
  <c r="BB380" i="3"/>
  <c r="BF380" i="3"/>
  <c r="BJ379" i="3" s="1"/>
  <c r="BK379" i="3" s="1"/>
  <c r="AO383" i="3"/>
  <c r="B384" i="3"/>
  <c r="AR384" i="3"/>
  <c r="AQ384" i="3"/>
  <c r="D384" i="3"/>
  <c r="C384" i="3"/>
  <c r="A385" i="3"/>
  <c r="G384" i="3"/>
  <c r="H384" i="3" s="1"/>
  <c r="F384" i="3"/>
  <c r="Q384" i="3"/>
  <c r="S384" i="3"/>
  <c r="O384" i="3"/>
  <c r="U384" i="3"/>
  <c r="AD384" i="3"/>
  <c r="AF384" i="3"/>
  <c r="M384" i="3"/>
  <c r="AE384" i="3"/>
  <c r="AM384" i="3"/>
  <c r="AK384" i="3"/>
  <c r="AO384" i="3" s="1"/>
  <c r="R384" i="3"/>
  <c r="V384" i="3"/>
  <c r="P384" i="3"/>
  <c r="T384" i="3"/>
  <c r="AT382" i="3"/>
  <c r="AW382" i="3"/>
  <c r="AV381" i="3"/>
  <c r="BA381" i="3"/>
  <c r="AU382" i="3"/>
  <c r="BD380" i="3"/>
  <c r="BG380" i="3"/>
  <c r="BH380" i="3" s="1"/>
  <c r="BI380" i="3" s="1"/>
  <c r="AG383" i="3"/>
  <c r="AU383" i="3" s="1"/>
  <c r="BN384" i="3" l="1"/>
  <c r="AY382" i="3"/>
  <c r="AG384" i="3"/>
  <c r="BM384" i="3"/>
  <c r="AX383" i="3"/>
  <c r="BC381" i="3"/>
  <c r="BD381" i="3" s="1"/>
  <c r="A386" i="3"/>
  <c r="D385" i="3"/>
  <c r="C385" i="3"/>
  <c r="AR385" i="3"/>
  <c r="B385" i="3"/>
  <c r="AQ385" i="3"/>
  <c r="F385" i="3"/>
  <c r="G385" i="3"/>
  <c r="H385" i="3" s="1"/>
  <c r="Q385" i="3"/>
  <c r="S385" i="3"/>
  <c r="O385" i="3"/>
  <c r="U385" i="3"/>
  <c r="AD385" i="3"/>
  <c r="AE385" i="3"/>
  <c r="M385" i="3"/>
  <c r="AM385" i="3"/>
  <c r="AF385" i="3"/>
  <c r="AK385" i="3"/>
  <c r="T385" i="3"/>
  <c r="V385" i="3"/>
  <c r="R385" i="3"/>
  <c r="P385" i="3"/>
  <c r="Y384" i="3"/>
  <c r="Z384" i="3" s="1"/>
  <c r="BA382" i="3"/>
  <c r="AV382" i="3"/>
  <c r="BC382" i="3" s="1"/>
  <c r="AW383" i="3"/>
  <c r="AY383" i="3" s="1"/>
  <c r="AH384" i="3"/>
  <c r="AT384" i="3" s="1"/>
  <c r="X384" i="3"/>
  <c r="BF381" i="3"/>
  <c r="BJ380" i="3" s="1"/>
  <c r="BK380" i="3" s="1"/>
  <c r="BB381" i="3"/>
  <c r="BQ381" i="3"/>
  <c r="BG381" i="3"/>
  <c r="BH381" i="3" s="1"/>
  <c r="BI381" i="3" s="1"/>
  <c r="AN384" i="3"/>
  <c r="AT383" i="3"/>
  <c r="BM385" i="3" l="1"/>
  <c r="AG385" i="3"/>
  <c r="AX384" i="3"/>
  <c r="AO385" i="3"/>
  <c r="BD382" i="3"/>
  <c r="BG382" i="3"/>
  <c r="BH382" i="3" s="1"/>
  <c r="BI382" i="3" s="1"/>
  <c r="X385" i="3"/>
  <c r="AU384" i="3"/>
  <c r="AV384" i="3" s="1"/>
  <c r="D386" i="3"/>
  <c r="AR386" i="3"/>
  <c r="B386" i="3"/>
  <c r="AQ386" i="3"/>
  <c r="A387" i="3"/>
  <c r="C386" i="3"/>
  <c r="G386" i="3"/>
  <c r="H386" i="3" s="1"/>
  <c r="F386" i="3"/>
  <c r="BM386" i="3" s="1"/>
  <c r="Q386" i="3"/>
  <c r="S386" i="3"/>
  <c r="O386" i="3"/>
  <c r="U386" i="3"/>
  <c r="AF386" i="3"/>
  <c r="AE386" i="3"/>
  <c r="AD386" i="3"/>
  <c r="M386" i="3"/>
  <c r="AK386" i="3"/>
  <c r="AM386" i="3"/>
  <c r="T386" i="3"/>
  <c r="P386" i="3"/>
  <c r="V386" i="3"/>
  <c r="R386" i="3"/>
  <c r="BA383" i="3"/>
  <c r="AV383" i="3"/>
  <c r="BC383" i="3" s="1"/>
  <c r="AH385" i="3"/>
  <c r="Y385" i="3"/>
  <c r="Z385" i="3" s="1"/>
  <c r="BB382" i="3"/>
  <c r="BF382" i="3"/>
  <c r="BJ381" i="3" s="1"/>
  <c r="BK381" i="3" s="1"/>
  <c r="BQ382" i="3"/>
  <c r="AW384" i="3"/>
  <c r="AY384" i="3" s="1"/>
  <c r="AN385" i="3"/>
  <c r="BN385" i="3"/>
  <c r="AN386" i="3" l="1"/>
  <c r="BC384" i="3"/>
  <c r="BD384" i="3" s="1"/>
  <c r="AX385" i="3"/>
  <c r="AH386" i="3"/>
  <c r="X386" i="3"/>
  <c r="AG386" i="3"/>
  <c r="AU386" i="3" s="1"/>
  <c r="AW385" i="3"/>
  <c r="AQ387" i="3"/>
  <c r="B387" i="3"/>
  <c r="A388" i="3"/>
  <c r="AR387" i="3"/>
  <c r="D387" i="3"/>
  <c r="C387" i="3"/>
  <c r="F387" i="3"/>
  <c r="BM387" i="3" s="1"/>
  <c r="G387" i="3"/>
  <c r="H387" i="3" s="1"/>
  <c r="BN387" i="3" s="1"/>
  <c r="Q387" i="3"/>
  <c r="S387" i="3"/>
  <c r="O387" i="3"/>
  <c r="U387" i="3"/>
  <c r="AF387" i="3"/>
  <c r="AE387" i="3"/>
  <c r="AD387" i="3"/>
  <c r="M387" i="3"/>
  <c r="AK387" i="3"/>
  <c r="AM387" i="3"/>
  <c r="P387" i="3"/>
  <c r="T387" i="3"/>
  <c r="R387" i="3"/>
  <c r="V387" i="3"/>
  <c r="BA384" i="3"/>
  <c r="Y386" i="3"/>
  <c r="Z386" i="3" s="1"/>
  <c r="AO386" i="3"/>
  <c r="BD383" i="3"/>
  <c r="BG383" i="3"/>
  <c r="BH383" i="3" s="1"/>
  <c r="BI383" i="3" s="1"/>
  <c r="AU385" i="3"/>
  <c r="BB383" i="3"/>
  <c r="BF383" i="3"/>
  <c r="BJ382" i="3" s="1"/>
  <c r="BK382" i="3" s="1"/>
  <c r="BQ383" i="3"/>
  <c r="BN386" i="3"/>
  <c r="AT385" i="3"/>
  <c r="AY385" i="3" l="1"/>
  <c r="BG384" i="3"/>
  <c r="BH384" i="3" s="1"/>
  <c r="BI384" i="3" s="1"/>
  <c r="AT386" i="3"/>
  <c r="AV386" i="3" s="1"/>
  <c r="AN387" i="3"/>
  <c r="AX386" i="3"/>
  <c r="B388" i="3"/>
  <c r="AR388" i="3"/>
  <c r="AQ388" i="3"/>
  <c r="D388" i="3"/>
  <c r="C388" i="3"/>
  <c r="A389" i="3"/>
  <c r="G388" i="3"/>
  <c r="H388" i="3" s="1"/>
  <c r="F388" i="3"/>
  <c r="Q388" i="3"/>
  <c r="S388" i="3"/>
  <c r="O388" i="3"/>
  <c r="U388" i="3"/>
  <c r="AF388" i="3"/>
  <c r="AM388" i="3"/>
  <c r="AK388" i="3"/>
  <c r="M388" i="3"/>
  <c r="AD388" i="3"/>
  <c r="AE388" i="3"/>
  <c r="T388" i="3"/>
  <c r="V388" i="3"/>
  <c r="P388" i="3"/>
  <c r="R388" i="3"/>
  <c r="AG387" i="3"/>
  <c r="AW386" i="3"/>
  <c r="AO387" i="3"/>
  <c r="AH387" i="3"/>
  <c r="AX387" i="3" s="1"/>
  <c r="BQ384" i="3"/>
  <c r="BB384" i="3"/>
  <c r="BF384" i="3"/>
  <c r="BJ383" i="3" s="1"/>
  <c r="BK383" i="3" s="1"/>
  <c r="Y387" i="3"/>
  <c r="Z387" i="3" s="1"/>
  <c r="BA385" i="3"/>
  <c r="AV385" i="3"/>
  <c r="BC385" i="3" s="1"/>
  <c r="X387" i="3"/>
  <c r="AY386" i="3" l="1"/>
  <c r="AU387" i="3"/>
  <c r="AO388" i="3"/>
  <c r="BN388" i="3"/>
  <c r="AT387" i="3"/>
  <c r="AV387" i="3" s="1"/>
  <c r="A390" i="3"/>
  <c r="D389" i="3"/>
  <c r="C389" i="3"/>
  <c r="AR389" i="3"/>
  <c r="B389" i="3"/>
  <c r="AQ389" i="3"/>
  <c r="G389" i="3"/>
  <c r="H389" i="3" s="1"/>
  <c r="F389" i="3"/>
  <c r="Q389" i="3"/>
  <c r="S389" i="3"/>
  <c r="O389" i="3"/>
  <c r="U389" i="3"/>
  <c r="M389" i="3"/>
  <c r="AF389" i="3"/>
  <c r="AD389" i="3"/>
  <c r="AE389" i="3"/>
  <c r="AM389" i="3"/>
  <c r="AK389" i="3"/>
  <c r="AO389" i="3" s="1"/>
  <c r="T389" i="3"/>
  <c r="P389" i="3"/>
  <c r="R389" i="3"/>
  <c r="V389" i="3"/>
  <c r="Y388" i="3"/>
  <c r="Z388" i="3" s="1"/>
  <c r="BB385" i="3"/>
  <c r="BQ385" i="3"/>
  <c r="BF385" i="3"/>
  <c r="BJ384" i="3" s="1"/>
  <c r="BK384" i="3" s="1"/>
  <c r="X388" i="3"/>
  <c r="AW387" i="3"/>
  <c r="BA386" i="3"/>
  <c r="AH388" i="3"/>
  <c r="AN388" i="3"/>
  <c r="BD385" i="3"/>
  <c r="BG385" i="3"/>
  <c r="BH385" i="3" s="1"/>
  <c r="BI385" i="3" s="1"/>
  <c r="AG388" i="3"/>
  <c r="BC386" i="3"/>
  <c r="BM388" i="3"/>
  <c r="BA387" i="3" l="1"/>
  <c r="AW388" i="3"/>
  <c r="AY387" i="3"/>
  <c r="BB387" i="3"/>
  <c r="BF387" i="3"/>
  <c r="BQ387" i="3"/>
  <c r="AT388" i="3"/>
  <c r="Y389" i="3"/>
  <c r="Z389" i="3" s="1"/>
  <c r="AU388" i="3"/>
  <c r="AN389" i="3"/>
  <c r="C390" i="3"/>
  <c r="AR390" i="3"/>
  <c r="B390" i="3"/>
  <c r="AQ390" i="3"/>
  <c r="A391" i="3"/>
  <c r="D390" i="3"/>
  <c r="G390" i="3"/>
  <c r="H390" i="3" s="1"/>
  <c r="F390" i="3"/>
  <c r="Q390" i="3"/>
  <c r="S390" i="3"/>
  <c r="O390" i="3"/>
  <c r="U390" i="3"/>
  <c r="AD390" i="3"/>
  <c r="M390" i="3"/>
  <c r="AE390" i="3"/>
  <c r="AM390" i="3"/>
  <c r="AF390" i="3"/>
  <c r="AK390" i="3"/>
  <c r="P390" i="3"/>
  <c r="R390" i="3"/>
  <c r="V390" i="3"/>
  <c r="T390" i="3"/>
  <c r="X389" i="3"/>
  <c r="AX388" i="3"/>
  <c r="AG389" i="3"/>
  <c r="BM389" i="3"/>
  <c r="BC387" i="3"/>
  <c r="BB386" i="3"/>
  <c r="BF386" i="3"/>
  <c r="BJ385" i="3" s="1"/>
  <c r="BK385" i="3" s="1"/>
  <c r="BQ386" i="3"/>
  <c r="BD386" i="3"/>
  <c r="BG386" i="3"/>
  <c r="BH386" i="3" s="1"/>
  <c r="BI386" i="3" s="1"/>
  <c r="AH389" i="3"/>
  <c r="BN389" i="3"/>
  <c r="AY388" i="3" l="1"/>
  <c r="AO390" i="3"/>
  <c r="AH390" i="3"/>
  <c r="AX389" i="3"/>
  <c r="AT389" i="3"/>
  <c r="AQ391" i="3"/>
  <c r="B391" i="3"/>
  <c r="A392" i="3"/>
  <c r="AR391" i="3"/>
  <c r="C391" i="3"/>
  <c r="D391" i="3"/>
  <c r="F391" i="3"/>
  <c r="BM391" i="3" s="1"/>
  <c r="G391" i="3"/>
  <c r="H391" i="3" s="1"/>
  <c r="BN391" i="3" s="1"/>
  <c r="Q391" i="3"/>
  <c r="S391" i="3"/>
  <c r="O391" i="3"/>
  <c r="U391" i="3"/>
  <c r="AF391" i="3"/>
  <c r="M391" i="3"/>
  <c r="AE391" i="3"/>
  <c r="AD391" i="3"/>
  <c r="AK391" i="3"/>
  <c r="AM391" i="3"/>
  <c r="AN391" i="3" s="1"/>
  <c r="P391" i="3"/>
  <c r="V391" i="3"/>
  <c r="T391" i="3"/>
  <c r="R391" i="3"/>
  <c r="AV388" i="3"/>
  <c r="BC388" i="3" s="1"/>
  <c r="BA388" i="3"/>
  <c r="AU389" i="3"/>
  <c r="Y390" i="3"/>
  <c r="Z390" i="3" s="1"/>
  <c r="AN390" i="3"/>
  <c r="AX390" i="3" s="1"/>
  <c r="BM390" i="3"/>
  <c r="BJ386" i="3"/>
  <c r="BK386" i="3" s="1"/>
  <c r="X390" i="3"/>
  <c r="BD387" i="3"/>
  <c r="BG387" i="3"/>
  <c r="BH387" i="3" s="1"/>
  <c r="BI387" i="3" s="1"/>
  <c r="AW389" i="3"/>
  <c r="AY389" i="3" s="1"/>
  <c r="AG390" i="3"/>
  <c r="AU390" i="3" s="1"/>
  <c r="BN390" i="3"/>
  <c r="X391" i="3" l="1"/>
  <c r="Y391" i="3"/>
  <c r="Z391" i="3" s="1"/>
  <c r="AH391" i="3"/>
  <c r="B392" i="3"/>
  <c r="AR392" i="3"/>
  <c r="AQ392" i="3"/>
  <c r="C392" i="3"/>
  <c r="D392" i="3"/>
  <c r="A393" i="3"/>
  <c r="F392" i="3"/>
  <c r="G392" i="3"/>
  <c r="H392" i="3" s="1"/>
  <c r="Q392" i="3"/>
  <c r="S392" i="3"/>
  <c r="O392" i="3"/>
  <c r="U392" i="3"/>
  <c r="AF392" i="3"/>
  <c r="AD392" i="3"/>
  <c r="M392" i="3"/>
  <c r="AE392" i="3"/>
  <c r="AK392" i="3"/>
  <c r="AM392" i="3"/>
  <c r="T392" i="3"/>
  <c r="P392" i="3"/>
  <c r="R392" i="3"/>
  <c r="V392" i="3"/>
  <c r="AT390" i="3"/>
  <c r="AV389" i="3"/>
  <c r="BC389" i="3" s="1"/>
  <c r="BA389" i="3"/>
  <c r="BF388" i="3"/>
  <c r="BJ387" i="3" s="1"/>
  <c r="BK387" i="3" s="1"/>
  <c r="BB388" i="3"/>
  <c r="BQ388" i="3"/>
  <c r="AG391" i="3"/>
  <c r="AO391" i="3"/>
  <c r="AW390" i="3"/>
  <c r="AY390" i="3" s="1"/>
  <c r="BD388" i="3"/>
  <c r="BG388" i="3"/>
  <c r="BH388" i="3" s="1"/>
  <c r="BI388" i="3" s="1"/>
  <c r="BM392" i="3" l="1"/>
  <c r="Y392" i="3"/>
  <c r="Z392" i="3" s="1"/>
  <c r="AX391" i="3"/>
  <c r="AH392" i="3"/>
  <c r="AN392" i="3"/>
  <c r="AQ393" i="3"/>
  <c r="D393" i="3"/>
  <c r="C393" i="3"/>
  <c r="A394" i="3"/>
  <c r="B393" i="3"/>
  <c r="AR393" i="3"/>
  <c r="F393" i="3"/>
  <c r="G393" i="3"/>
  <c r="H393" i="3" s="1"/>
  <c r="Q393" i="3"/>
  <c r="S393" i="3"/>
  <c r="O393" i="3"/>
  <c r="U393" i="3"/>
  <c r="AF393" i="3"/>
  <c r="AE393" i="3"/>
  <c r="AD393" i="3"/>
  <c r="M393" i="3"/>
  <c r="AM393" i="3"/>
  <c r="AK393" i="3"/>
  <c r="P393" i="3"/>
  <c r="R393" i="3"/>
  <c r="V393" i="3"/>
  <c r="T393" i="3"/>
  <c r="AU391" i="3"/>
  <c r="BB389" i="3"/>
  <c r="BQ389" i="3"/>
  <c r="BF389" i="3"/>
  <c r="BJ388" i="3" s="1"/>
  <c r="BK388" i="3" s="1"/>
  <c r="BD389" i="3"/>
  <c r="BG389" i="3"/>
  <c r="BH389" i="3" s="1"/>
  <c r="BI389" i="3" s="1"/>
  <c r="AO392" i="3"/>
  <c r="AW391" i="3"/>
  <c r="X392" i="3"/>
  <c r="BA390" i="3"/>
  <c r="AV390" i="3"/>
  <c r="BC390" i="3" s="1"/>
  <c r="AG392" i="3"/>
  <c r="BN392" i="3"/>
  <c r="AT391" i="3"/>
  <c r="AO393" i="3" l="1"/>
  <c r="X393" i="3"/>
  <c r="AW392" i="3"/>
  <c r="AY391" i="3"/>
  <c r="AG393" i="3"/>
  <c r="C394" i="3"/>
  <c r="AQ394" i="3"/>
  <c r="B394" i="3"/>
  <c r="A395" i="3"/>
  <c r="AR394" i="3"/>
  <c r="D394" i="3"/>
  <c r="G394" i="3"/>
  <c r="H394" i="3" s="1"/>
  <c r="BN394" i="3" s="1"/>
  <c r="F394" i="3"/>
  <c r="Q394" i="3"/>
  <c r="S394" i="3"/>
  <c r="O394" i="3"/>
  <c r="U394" i="3"/>
  <c r="AE394" i="3"/>
  <c r="M394" i="3"/>
  <c r="AD394" i="3"/>
  <c r="AF394" i="3"/>
  <c r="AK394" i="3"/>
  <c r="AM394" i="3"/>
  <c r="AN394" i="3" s="1"/>
  <c r="P394" i="3"/>
  <c r="R394" i="3"/>
  <c r="V394" i="3"/>
  <c r="T394" i="3"/>
  <c r="AV391" i="3"/>
  <c r="BC391" i="3" s="1"/>
  <c r="BA391" i="3"/>
  <c r="Y393" i="3"/>
  <c r="Z393" i="3" s="1"/>
  <c r="BB390" i="3"/>
  <c r="BQ390" i="3"/>
  <c r="BF390" i="3"/>
  <c r="BJ389" i="3" s="1"/>
  <c r="BK389" i="3" s="1"/>
  <c r="AN393" i="3"/>
  <c r="BD390" i="3"/>
  <c r="BG390" i="3"/>
  <c r="BH390" i="3" s="1"/>
  <c r="BI390" i="3" s="1"/>
  <c r="BN393" i="3"/>
  <c r="AU392" i="3"/>
  <c r="AT392" i="3"/>
  <c r="AH393" i="3"/>
  <c r="BM393" i="3"/>
  <c r="AX392" i="3"/>
  <c r="BM394" i="3" l="1"/>
  <c r="AY392" i="3"/>
  <c r="AW393" i="3"/>
  <c r="AH394" i="3"/>
  <c r="AU393" i="3"/>
  <c r="AG394" i="3"/>
  <c r="AT394" i="3"/>
  <c r="A396" i="3"/>
  <c r="B395" i="3"/>
  <c r="AR395" i="3"/>
  <c r="AQ395" i="3"/>
  <c r="C395" i="3"/>
  <c r="D395" i="3"/>
  <c r="F395" i="3"/>
  <c r="G395" i="3"/>
  <c r="H395" i="3" s="1"/>
  <c r="Q395" i="3"/>
  <c r="S395" i="3"/>
  <c r="O395" i="3"/>
  <c r="U395" i="3"/>
  <c r="AF395" i="3"/>
  <c r="M395" i="3"/>
  <c r="AE395" i="3"/>
  <c r="AD395" i="3"/>
  <c r="AK395" i="3"/>
  <c r="AM395" i="3"/>
  <c r="AN395" i="3" s="1"/>
  <c r="V395" i="3"/>
  <c r="R395" i="3"/>
  <c r="P395" i="3"/>
  <c r="T395" i="3"/>
  <c r="AX393" i="3"/>
  <c r="Y394" i="3"/>
  <c r="Z394" i="3" s="1"/>
  <c r="AT393" i="3"/>
  <c r="AU394" i="3"/>
  <c r="BQ391" i="3"/>
  <c r="BF391" i="3"/>
  <c r="BJ390" i="3" s="1"/>
  <c r="BK390" i="3" s="1"/>
  <c r="BB391" i="3"/>
  <c r="AO394" i="3"/>
  <c r="X394" i="3"/>
  <c r="BA392" i="3"/>
  <c r="AV392" i="3"/>
  <c r="BC392" i="3" s="1"/>
  <c r="BD391" i="3"/>
  <c r="BG391" i="3"/>
  <c r="BH391" i="3" s="1"/>
  <c r="BI391" i="3" s="1"/>
  <c r="AY393" i="3" l="1"/>
  <c r="BN395" i="3"/>
  <c r="Y395" i="3"/>
  <c r="Z395" i="3" s="1"/>
  <c r="X395" i="3"/>
  <c r="B396" i="3"/>
  <c r="AQ396" i="3"/>
  <c r="A397" i="3"/>
  <c r="D396" i="3"/>
  <c r="C396" i="3"/>
  <c r="AR396" i="3"/>
  <c r="G396" i="3"/>
  <c r="H396" i="3" s="1"/>
  <c r="F396" i="3"/>
  <c r="Q396" i="3"/>
  <c r="S396" i="3"/>
  <c r="O396" i="3"/>
  <c r="U396" i="3"/>
  <c r="AD396" i="3"/>
  <c r="AM396" i="3"/>
  <c r="AF396" i="3"/>
  <c r="M396" i="3"/>
  <c r="AK396" i="3"/>
  <c r="AE396" i="3"/>
  <c r="V396" i="3"/>
  <c r="T396" i="3"/>
  <c r="R396" i="3"/>
  <c r="P396" i="3"/>
  <c r="AV393" i="3"/>
  <c r="BC393" i="3" s="1"/>
  <c r="BA393" i="3"/>
  <c r="AH395" i="3"/>
  <c r="AV394" i="3"/>
  <c r="BD392" i="3"/>
  <c r="BG392" i="3"/>
  <c r="BH392" i="3" s="1"/>
  <c r="BI392" i="3" s="1"/>
  <c r="BF392" i="3"/>
  <c r="BJ391" i="3" s="1"/>
  <c r="BK391" i="3" s="1"/>
  <c r="BQ392" i="3"/>
  <c r="BB392" i="3"/>
  <c r="BM395" i="3"/>
  <c r="AW394" i="3"/>
  <c r="AO395" i="3"/>
  <c r="AG395" i="3"/>
  <c r="AX394" i="3"/>
  <c r="AW395" i="3" l="1"/>
  <c r="BM396" i="3"/>
  <c r="BA394" i="3"/>
  <c r="BF394" i="3" s="1"/>
  <c r="AG396" i="3"/>
  <c r="AO396" i="3"/>
  <c r="X396" i="3"/>
  <c r="BB394" i="3"/>
  <c r="BQ394" i="3"/>
  <c r="A398" i="3"/>
  <c r="C397" i="3"/>
  <c r="D397" i="3"/>
  <c r="AR397" i="3"/>
  <c r="B397" i="3"/>
  <c r="AQ397" i="3"/>
  <c r="G397" i="3"/>
  <c r="H397" i="3" s="1"/>
  <c r="BN397" i="3" s="1"/>
  <c r="F397" i="3"/>
  <c r="Q397" i="3"/>
  <c r="S397" i="3"/>
  <c r="O397" i="3"/>
  <c r="U397" i="3"/>
  <c r="M397" i="3"/>
  <c r="AD397" i="3"/>
  <c r="AF397" i="3"/>
  <c r="AK397" i="3"/>
  <c r="AM397" i="3"/>
  <c r="AE397" i="3"/>
  <c r="R397" i="3"/>
  <c r="V397" i="3"/>
  <c r="T397" i="3"/>
  <c r="P397" i="3"/>
  <c r="Y396" i="3"/>
  <c r="Z396" i="3" s="1"/>
  <c r="AX395" i="3"/>
  <c r="AY395" i="3" s="1"/>
  <c r="BN396" i="3"/>
  <c r="BG393" i="3"/>
  <c r="BH393" i="3" s="1"/>
  <c r="BI393" i="3" s="1"/>
  <c r="BD393" i="3"/>
  <c r="AN396" i="3"/>
  <c r="AT395" i="3"/>
  <c r="BC394" i="3"/>
  <c r="BQ393" i="3"/>
  <c r="BF393" i="3"/>
  <c r="BJ392" i="3" s="1"/>
  <c r="BK392" i="3" s="1"/>
  <c r="BB393" i="3"/>
  <c r="AY394" i="3"/>
  <c r="AH396" i="3"/>
  <c r="AU395" i="3"/>
  <c r="AN397" i="3" l="1"/>
  <c r="AG397" i="3"/>
  <c r="BJ393" i="3"/>
  <c r="BK393" i="3" s="1"/>
  <c r="AX396" i="3"/>
  <c r="BM397" i="3"/>
  <c r="C398" i="3"/>
  <c r="AQ398" i="3"/>
  <c r="B398" i="3"/>
  <c r="A399" i="3"/>
  <c r="AR398" i="3"/>
  <c r="D398" i="3"/>
  <c r="G398" i="3"/>
  <c r="H398" i="3" s="1"/>
  <c r="BN398" i="3" s="1"/>
  <c r="F398" i="3"/>
  <c r="Q398" i="3"/>
  <c r="S398" i="3"/>
  <c r="O398" i="3"/>
  <c r="U398" i="3"/>
  <c r="AD398" i="3"/>
  <c r="M398" i="3"/>
  <c r="AE398" i="3"/>
  <c r="AF398" i="3"/>
  <c r="AM398" i="3"/>
  <c r="AK398" i="3"/>
  <c r="AO398" i="3" s="1"/>
  <c r="T398" i="3"/>
  <c r="P398" i="3"/>
  <c r="R398" i="3"/>
  <c r="V398" i="3"/>
  <c r="BA395" i="3"/>
  <c r="AV395" i="3"/>
  <c r="BC395" i="3" s="1"/>
  <c r="AT396" i="3"/>
  <c r="AU396" i="3"/>
  <c r="AO397" i="3"/>
  <c r="X397" i="3"/>
  <c r="AW396" i="3"/>
  <c r="BD394" i="3"/>
  <c r="BG394" i="3"/>
  <c r="BH394" i="3" s="1"/>
  <c r="BI394" i="3" s="1"/>
  <c r="AH397" i="3"/>
  <c r="AU397" i="3" s="1"/>
  <c r="Y397" i="3"/>
  <c r="Z397" i="3" s="1"/>
  <c r="BM398" i="3" l="1"/>
  <c r="AY396" i="3"/>
  <c r="X398" i="3"/>
  <c r="A400" i="3"/>
  <c r="B399" i="3"/>
  <c r="AR399" i="3"/>
  <c r="AQ399" i="3"/>
  <c r="D399" i="3"/>
  <c r="C399" i="3"/>
  <c r="F399" i="3"/>
  <c r="BM399" i="3" s="1"/>
  <c r="G399" i="3"/>
  <c r="H399" i="3" s="1"/>
  <c r="Q399" i="3"/>
  <c r="S399" i="3"/>
  <c r="O399" i="3"/>
  <c r="U399" i="3"/>
  <c r="M399" i="3"/>
  <c r="AE399" i="3"/>
  <c r="AD399" i="3"/>
  <c r="AK399" i="3"/>
  <c r="AF399" i="3"/>
  <c r="AM399" i="3"/>
  <c r="V399" i="3"/>
  <c r="T399" i="3"/>
  <c r="R399" i="3"/>
  <c r="P399" i="3"/>
  <c r="BA396" i="3"/>
  <c r="AV396" i="3"/>
  <c r="BC396" i="3" s="1"/>
  <c r="BD395" i="3"/>
  <c r="BG395" i="3"/>
  <c r="BH395" i="3" s="1"/>
  <c r="BI395" i="3" s="1"/>
  <c r="AX397" i="3"/>
  <c r="AG398" i="3"/>
  <c r="Y398" i="3"/>
  <c r="Z398" i="3" s="1"/>
  <c r="AW397" i="3"/>
  <c r="AN398" i="3"/>
  <c r="BB395" i="3"/>
  <c r="BF395" i="3"/>
  <c r="BJ394" i="3" s="1"/>
  <c r="BK394" i="3" s="1"/>
  <c r="BQ395" i="3"/>
  <c r="AT397" i="3"/>
  <c r="AH398" i="3"/>
  <c r="AN399" i="3" l="1"/>
  <c r="AT398" i="3"/>
  <c r="AY397" i="3"/>
  <c r="AH399" i="3"/>
  <c r="AX398" i="3"/>
  <c r="AG399" i="3"/>
  <c r="BQ396" i="3"/>
  <c r="BB396" i="3"/>
  <c r="BF396" i="3"/>
  <c r="BJ395" i="3" s="1"/>
  <c r="BK395" i="3" s="1"/>
  <c r="Y399" i="3"/>
  <c r="Z399" i="3" s="1"/>
  <c r="AW398" i="3"/>
  <c r="X399" i="3"/>
  <c r="B400" i="3"/>
  <c r="AQ400" i="3"/>
  <c r="A401" i="3"/>
  <c r="D400" i="3"/>
  <c r="C400" i="3"/>
  <c r="AR400" i="3"/>
  <c r="F400" i="3"/>
  <c r="G400" i="3"/>
  <c r="H400" i="3" s="1"/>
  <c r="Q400" i="3"/>
  <c r="S400" i="3"/>
  <c r="O400" i="3"/>
  <c r="U400" i="3"/>
  <c r="AF400" i="3"/>
  <c r="M400" i="3"/>
  <c r="AE400" i="3"/>
  <c r="AD400" i="3"/>
  <c r="AM400" i="3"/>
  <c r="AK400" i="3"/>
  <c r="AO400" i="3" s="1"/>
  <c r="V400" i="3"/>
  <c r="P400" i="3"/>
  <c r="T400" i="3"/>
  <c r="R400" i="3"/>
  <c r="BA397" i="3"/>
  <c r="AV397" i="3"/>
  <c r="BC397" i="3" s="1"/>
  <c r="BD396" i="3"/>
  <c r="BG396" i="3"/>
  <c r="BH396" i="3" s="1"/>
  <c r="BI396" i="3" s="1"/>
  <c r="AO399" i="3"/>
  <c r="BN399" i="3"/>
  <c r="AU398" i="3"/>
  <c r="AX399" i="3" l="1"/>
  <c r="AU399" i="3"/>
  <c r="AT399" i="3"/>
  <c r="BA398" i="3"/>
  <c r="BQ398" i="3" s="1"/>
  <c r="AY398" i="3"/>
  <c r="AV398" i="3"/>
  <c r="BC398" i="3" s="1"/>
  <c r="BG398" i="3" s="1"/>
  <c r="BH398" i="3" s="1"/>
  <c r="BI398" i="3" s="1"/>
  <c r="BB398" i="3"/>
  <c r="BF398" i="3"/>
  <c r="X400" i="3"/>
  <c r="A402" i="3"/>
  <c r="D401" i="3"/>
  <c r="C401" i="3"/>
  <c r="AR401" i="3"/>
  <c r="B401" i="3"/>
  <c r="AQ401" i="3"/>
  <c r="F401" i="3"/>
  <c r="G401" i="3"/>
  <c r="H401" i="3" s="1"/>
  <c r="Q401" i="3"/>
  <c r="S401" i="3"/>
  <c r="O401" i="3"/>
  <c r="U401" i="3"/>
  <c r="AF401" i="3"/>
  <c r="AD401" i="3"/>
  <c r="M401" i="3"/>
  <c r="AE401" i="3"/>
  <c r="AM401" i="3"/>
  <c r="AK401" i="3"/>
  <c r="R401" i="3"/>
  <c r="P401" i="3"/>
  <c r="T401" i="3"/>
  <c r="V401" i="3"/>
  <c r="AV399" i="3"/>
  <c r="Y400" i="3"/>
  <c r="Z400" i="3" s="1"/>
  <c r="AN400" i="3"/>
  <c r="BD397" i="3"/>
  <c r="BG397" i="3"/>
  <c r="BH397" i="3" s="1"/>
  <c r="BI397" i="3" s="1"/>
  <c r="BQ397" i="3"/>
  <c r="BB397" i="3"/>
  <c r="BF397" i="3"/>
  <c r="BJ396" i="3" s="1"/>
  <c r="BK396" i="3" s="1"/>
  <c r="AH400" i="3"/>
  <c r="BN400" i="3"/>
  <c r="AG400" i="3"/>
  <c r="BM400" i="3"/>
  <c r="AW399" i="3"/>
  <c r="AY399" i="3" s="1"/>
  <c r="BN401" i="3" l="1"/>
  <c r="AG401" i="3"/>
  <c r="BC399" i="3"/>
  <c r="BD398" i="3"/>
  <c r="AO401" i="3"/>
  <c r="AX400" i="3"/>
  <c r="BD399" i="3"/>
  <c r="BG399" i="3"/>
  <c r="BH399" i="3" s="1"/>
  <c r="BI399" i="3" s="1"/>
  <c r="BA399" i="3"/>
  <c r="BM401" i="3"/>
  <c r="AT400" i="3"/>
  <c r="AU400" i="3"/>
  <c r="Y401" i="3"/>
  <c r="Z401" i="3" s="1"/>
  <c r="BJ397" i="3"/>
  <c r="BK397" i="3" s="1"/>
  <c r="AN401" i="3"/>
  <c r="D402" i="3"/>
  <c r="AQ402" i="3"/>
  <c r="B402" i="3"/>
  <c r="A403" i="3"/>
  <c r="AR402" i="3"/>
  <c r="C402" i="3"/>
  <c r="G402" i="3"/>
  <c r="H402" i="3" s="1"/>
  <c r="F402" i="3"/>
  <c r="BM402" i="3" s="1"/>
  <c r="Q402" i="3"/>
  <c r="S402" i="3"/>
  <c r="O402" i="3"/>
  <c r="U402" i="3"/>
  <c r="AF402" i="3"/>
  <c r="AE402" i="3"/>
  <c r="AD402" i="3"/>
  <c r="M402" i="3"/>
  <c r="AM402" i="3"/>
  <c r="AK402" i="3"/>
  <c r="AO402" i="3" s="1"/>
  <c r="P402" i="3"/>
  <c r="R402" i="3"/>
  <c r="V402" i="3"/>
  <c r="T402" i="3"/>
  <c r="AW400" i="3"/>
  <c r="AH401" i="3"/>
  <c r="X401" i="3"/>
  <c r="AT401" i="3"/>
  <c r="AY400" i="3" l="1"/>
  <c r="AX401" i="3"/>
  <c r="AU401" i="3"/>
  <c r="X402" i="3"/>
  <c r="AW401" i="3"/>
  <c r="AY401" i="3" s="1"/>
  <c r="A404" i="3"/>
  <c r="B403" i="3"/>
  <c r="AR403" i="3"/>
  <c r="AQ403" i="3"/>
  <c r="D403" i="3"/>
  <c r="C403" i="3"/>
  <c r="F403" i="3"/>
  <c r="G403" i="3"/>
  <c r="H403" i="3" s="1"/>
  <c r="Q403" i="3"/>
  <c r="S403" i="3"/>
  <c r="O403" i="3"/>
  <c r="U403" i="3"/>
  <c r="AD403" i="3"/>
  <c r="AE403" i="3"/>
  <c r="AK403" i="3"/>
  <c r="AF403" i="3"/>
  <c r="AM403" i="3"/>
  <c r="M403" i="3"/>
  <c r="P403" i="3"/>
  <c r="R403" i="3"/>
  <c r="V403" i="3"/>
  <c r="T403" i="3"/>
  <c r="Y402" i="3"/>
  <c r="Z402" i="3" s="1"/>
  <c r="BF399" i="3"/>
  <c r="BJ398" i="3" s="1"/>
  <c r="BK398" i="3" s="1"/>
  <c r="BQ399" i="3"/>
  <c r="BB399" i="3"/>
  <c r="AN402" i="3"/>
  <c r="AV400" i="3"/>
  <c r="BC400" i="3" s="1"/>
  <c r="BA400" i="3"/>
  <c r="AV401" i="3"/>
  <c r="BN402" i="3"/>
  <c r="AG402" i="3"/>
  <c r="AH402" i="3"/>
  <c r="AU402" i="3" s="1"/>
  <c r="AT402" i="3" l="1"/>
  <c r="AV402" i="3" s="1"/>
  <c r="BA401" i="3"/>
  <c r="AO403" i="3"/>
  <c r="BC401" i="3"/>
  <c r="BN403" i="3"/>
  <c r="BM403" i="3"/>
  <c r="BD401" i="3"/>
  <c r="BG401" i="3"/>
  <c r="BH401" i="3" s="1"/>
  <c r="BI401" i="3" s="1"/>
  <c r="BQ400" i="3"/>
  <c r="BF400" i="3"/>
  <c r="BJ399" i="3" s="1"/>
  <c r="BK399" i="3" s="1"/>
  <c r="BB400" i="3"/>
  <c r="X403" i="3"/>
  <c r="Y403" i="3"/>
  <c r="Z403" i="3" s="1"/>
  <c r="AG403" i="3"/>
  <c r="AX402" i="3"/>
  <c r="BD400" i="3"/>
  <c r="BG400" i="3"/>
  <c r="BH400" i="3" s="1"/>
  <c r="BI400" i="3" s="1"/>
  <c r="AH403" i="3"/>
  <c r="AW402" i="3"/>
  <c r="BQ401" i="3"/>
  <c r="BB401" i="3"/>
  <c r="BF401" i="3"/>
  <c r="AN403" i="3"/>
  <c r="B404" i="3"/>
  <c r="AQ404" i="3"/>
  <c r="A405" i="3"/>
  <c r="D404" i="3"/>
  <c r="C404" i="3"/>
  <c r="AR404" i="3"/>
  <c r="G404" i="3"/>
  <c r="H404" i="3" s="1"/>
  <c r="F404" i="3"/>
  <c r="BM404" i="3" s="1"/>
  <c r="Q404" i="3"/>
  <c r="S404" i="3"/>
  <c r="O404" i="3"/>
  <c r="U404" i="3"/>
  <c r="AE404" i="3"/>
  <c r="AF404" i="3"/>
  <c r="M404" i="3"/>
  <c r="AD404" i="3"/>
  <c r="AM404" i="3"/>
  <c r="AK404" i="3"/>
  <c r="R404" i="3"/>
  <c r="T404" i="3"/>
  <c r="P404" i="3"/>
  <c r="V404" i="3"/>
  <c r="AO404" i="3" l="1"/>
  <c r="BN404" i="3"/>
  <c r="AU403" i="3"/>
  <c r="AY402" i="3"/>
  <c r="BC402" i="3" s="1"/>
  <c r="AH404" i="3"/>
  <c r="BJ400" i="3"/>
  <c r="BK400" i="3" s="1"/>
  <c r="AN404" i="3"/>
  <c r="AX404" i="3" s="1"/>
  <c r="BA402" i="3"/>
  <c r="AW403" i="3"/>
  <c r="Y404" i="3"/>
  <c r="Z404" i="3" s="1"/>
  <c r="AG404" i="3"/>
  <c r="X404" i="3"/>
  <c r="AT403" i="3"/>
  <c r="A406" i="3"/>
  <c r="C405" i="3"/>
  <c r="D405" i="3"/>
  <c r="AR405" i="3"/>
  <c r="B405" i="3"/>
  <c r="AQ405" i="3"/>
  <c r="F405" i="3"/>
  <c r="G405" i="3"/>
  <c r="H405" i="3" s="1"/>
  <c r="Q405" i="3"/>
  <c r="S405" i="3"/>
  <c r="O405" i="3"/>
  <c r="U405" i="3"/>
  <c r="AE405" i="3"/>
  <c r="M405" i="3"/>
  <c r="AD405" i="3"/>
  <c r="AM405" i="3"/>
  <c r="AF405" i="3"/>
  <c r="AK405" i="3"/>
  <c r="R405" i="3"/>
  <c r="V405" i="3"/>
  <c r="T405" i="3"/>
  <c r="P405" i="3"/>
  <c r="AX403" i="3"/>
  <c r="AO405" i="3" l="1"/>
  <c r="AH405" i="3"/>
  <c r="AU404" i="3"/>
  <c r="AT404" i="3"/>
  <c r="AW404" i="3"/>
  <c r="AY404" i="3" s="1"/>
  <c r="X405" i="3"/>
  <c r="AY403" i="3"/>
  <c r="Y405" i="3"/>
  <c r="Z405" i="3" s="1"/>
  <c r="D406" i="3"/>
  <c r="AQ406" i="3"/>
  <c r="B406" i="3"/>
  <c r="A407" i="3"/>
  <c r="AR406" i="3"/>
  <c r="C406" i="3"/>
  <c r="G406" i="3"/>
  <c r="H406" i="3" s="1"/>
  <c r="F406" i="3"/>
  <c r="Q406" i="3"/>
  <c r="S406" i="3"/>
  <c r="O406" i="3"/>
  <c r="U406" i="3"/>
  <c r="AM406" i="3"/>
  <c r="M406" i="3"/>
  <c r="AD406" i="3"/>
  <c r="AF406" i="3"/>
  <c r="AK406" i="3"/>
  <c r="AE406" i="3"/>
  <c r="T406" i="3"/>
  <c r="V406" i="3"/>
  <c r="P406" i="3"/>
  <c r="R406" i="3"/>
  <c r="BN405" i="3"/>
  <c r="BQ402" i="3"/>
  <c r="BF402" i="3"/>
  <c r="BJ401" i="3" s="1"/>
  <c r="BK401" i="3" s="1"/>
  <c r="BB402" i="3"/>
  <c r="BM405" i="3"/>
  <c r="AV403" i="3"/>
  <c r="BA403" i="3"/>
  <c r="BD402" i="3"/>
  <c r="BG402" i="3"/>
  <c r="BH402" i="3" s="1"/>
  <c r="BI402" i="3" s="1"/>
  <c r="AN405" i="3"/>
  <c r="AG405" i="3"/>
  <c r="BA404" i="3" l="1"/>
  <c r="AV404" i="3"/>
  <c r="AW405" i="3"/>
  <c r="BC403" i="3"/>
  <c r="BD403" i="3" s="1"/>
  <c r="AG406" i="3"/>
  <c r="AX405" i="3"/>
  <c r="AY405" i="3" s="1"/>
  <c r="AN406" i="3"/>
  <c r="X406" i="3"/>
  <c r="A408" i="3"/>
  <c r="B407" i="3"/>
  <c r="AR407" i="3"/>
  <c r="AQ407" i="3"/>
  <c r="C407" i="3"/>
  <c r="D407" i="3"/>
  <c r="G407" i="3"/>
  <c r="H407" i="3" s="1"/>
  <c r="F407" i="3"/>
  <c r="Q407" i="3"/>
  <c r="S407" i="3"/>
  <c r="O407" i="3"/>
  <c r="U407" i="3"/>
  <c r="AE407" i="3"/>
  <c r="AF407" i="3"/>
  <c r="M407" i="3"/>
  <c r="AD407" i="3"/>
  <c r="AK407" i="3"/>
  <c r="AM407" i="3"/>
  <c r="T407" i="3"/>
  <c r="R407" i="3"/>
  <c r="V407" i="3"/>
  <c r="P407" i="3"/>
  <c r="Y406" i="3"/>
  <c r="Z406" i="3" s="1"/>
  <c r="BB403" i="3"/>
  <c r="BF403" i="3"/>
  <c r="BJ402" i="3" s="1"/>
  <c r="BK402" i="3" s="1"/>
  <c r="BQ403" i="3"/>
  <c r="AO406" i="3"/>
  <c r="BG403" i="3"/>
  <c r="BH403" i="3" s="1"/>
  <c r="BI403" i="3" s="1"/>
  <c r="AU405" i="3"/>
  <c r="BM406" i="3"/>
  <c r="BC404" i="3"/>
  <c r="AT405" i="3"/>
  <c r="AH406" i="3"/>
  <c r="BN406" i="3"/>
  <c r="BF404" i="3"/>
  <c r="BB404" i="3"/>
  <c r="BQ404" i="3"/>
  <c r="AN407" i="3" l="1"/>
  <c r="X407" i="3"/>
  <c r="AX406" i="3"/>
  <c r="BA405" i="3"/>
  <c r="AV405" i="3"/>
  <c r="BC405" i="3" s="1"/>
  <c r="AG407" i="3"/>
  <c r="BD404" i="3"/>
  <c r="BG404" i="3"/>
  <c r="BH404" i="3" s="1"/>
  <c r="BI404" i="3" s="1"/>
  <c r="AO407" i="3"/>
  <c r="B408" i="3"/>
  <c r="AQ408" i="3"/>
  <c r="A409" i="3"/>
  <c r="D408" i="3"/>
  <c r="C408" i="3"/>
  <c r="AR408" i="3"/>
  <c r="G408" i="3"/>
  <c r="H408" i="3" s="1"/>
  <c r="BN408" i="3" s="1"/>
  <c r="F408" i="3"/>
  <c r="Q408" i="3"/>
  <c r="S408" i="3"/>
  <c r="O408" i="3"/>
  <c r="U408" i="3"/>
  <c r="AF408" i="3"/>
  <c r="AD408" i="3"/>
  <c r="M408" i="3"/>
  <c r="AE408" i="3"/>
  <c r="AK408" i="3"/>
  <c r="AM408" i="3"/>
  <c r="T408" i="3"/>
  <c r="V408" i="3"/>
  <c r="R408" i="3"/>
  <c r="P408" i="3"/>
  <c r="AU407" i="3"/>
  <c r="AU406" i="3"/>
  <c r="BM407" i="3"/>
  <c r="Y407" i="3"/>
  <c r="Z407" i="3" s="1"/>
  <c r="AW406" i="3"/>
  <c r="AY406" i="3" s="1"/>
  <c r="AH407" i="3"/>
  <c r="BJ403" i="3"/>
  <c r="BK403" i="3" s="1"/>
  <c r="BN407" i="3"/>
  <c r="AT406" i="3"/>
  <c r="AX407" i="3" l="1"/>
  <c r="AH408" i="3"/>
  <c r="AN408" i="3"/>
  <c r="AV406" i="3"/>
  <c r="BC406" i="3" s="1"/>
  <c r="BA406" i="3"/>
  <c r="A410" i="3"/>
  <c r="C409" i="3"/>
  <c r="D409" i="3"/>
  <c r="AR409" i="3"/>
  <c r="B409" i="3"/>
  <c r="AQ409" i="3"/>
  <c r="F409" i="3"/>
  <c r="G409" i="3"/>
  <c r="H409" i="3" s="1"/>
  <c r="Q409" i="3"/>
  <c r="S409" i="3"/>
  <c r="O409" i="3"/>
  <c r="U409" i="3"/>
  <c r="AF409" i="3"/>
  <c r="AE409" i="3"/>
  <c r="AD409" i="3"/>
  <c r="M409" i="3"/>
  <c r="AM409" i="3"/>
  <c r="AK409" i="3"/>
  <c r="AO409" i="3" s="1"/>
  <c r="P409" i="3"/>
  <c r="T409" i="3"/>
  <c r="V409" i="3"/>
  <c r="R409" i="3"/>
  <c r="AT407" i="3"/>
  <c r="AW407" i="3"/>
  <c r="AY407" i="3" s="1"/>
  <c r="X408" i="3"/>
  <c r="AO408" i="3"/>
  <c r="BD405" i="3"/>
  <c r="BG405" i="3"/>
  <c r="BH405" i="3" s="1"/>
  <c r="BI405" i="3" s="1"/>
  <c r="Y408" i="3"/>
  <c r="Z408" i="3" s="1"/>
  <c r="AG408" i="3"/>
  <c r="BM408" i="3"/>
  <c r="BQ405" i="3"/>
  <c r="BB405" i="3"/>
  <c r="BF405" i="3"/>
  <c r="BJ404" i="3" s="1"/>
  <c r="BK404" i="3" s="1"/>
  <c r="AU408" i="3" l="1"/>
  <c r="AH409" i="3"/>
  <c r="X409" i="3"/>
  <c r="AN409" i="3"/>
  <c r="C410" i="3"/>
  <c r="AQ410" i="3"/>
  <c r="B410" i="3"/>
  <c r="A411" i="3"/>
  <c r="AR410" i="3"/>
  <c r="D410" i="3"/>
  <c r="F410" i="3"/>
  <c r="G410" i="3"/>
  <c r="H410" i="3" s="1"/>
  <c r="Q410" i="3"/>
  <c r="S410" i="3"/>
  <c r="O410" i="3"/>
  <c r="U410" i="3"/>
  <c r="M410" i="3"/>
  <c r="AD410" i="3"/>
  <c r="AE410" i="3"/>
  <c r="AF410" i="3"/>
  <c r="AK410" i="3"/>
  <c r="AM410" i="3"/>
  <c r="AN410" i="3" s="1"/>
  <c r="T410" i="3"/>
  <c r="P410" i="3"/>
  <c r="R410" i="3"/>
  <c r="V410" i="3"/>
  <c r="BN409" i="3"/>
  <c r="BM409" i="3"/>
  <c r="BB406" i="3"/>
  <c r="BQ406" i="3"/>
  <c r="BF406" i="3"/>
  <c r="BJ405" i="3" s="1"/>
  <c r="BK405" i="3" s="1"/>
  <c r="AW408" i="3"/>
  <c r="AX408" i="3"/>
  <c r="BD406" i="3"/>
  <c r="BG406" i="3"/>
  <c r="BH406" i="3" s="1"/>
  <c r="BI406" i="3" s="1"/>
  <c r="BA407" i="3"/>
  <c r="AV407" i="3"/>
  <c r="BC407" i="3" s="1"/>
  <c r="AG409" i="3"/>
  <c r="AW409" i="3" s="1"/>
  <c r="Y409" i="3"/>
  <c r="Z409" i="3" s="1"/>
  <c r="AT408" i="3"/>
  <c r="AX409" i="3" l="1"/>
  <c r="AY409" i="3" s="1"/>
  <c r="Y410" i="3"/>
  <c r="Z410" i="3" s="1"/>
  <c r="AH410" i="3"/>
  <c r="AY408" i="3"/>
  <c r="BD407" i="3"/>
  <c r="BG407" i="3"/>
  <c r="BH407" i="3" s="1"/>
  <c r="BI407" i="3" s="1"/>
  <c r="X410" i="3"/>
  <c r="A412" i="3"/>
  <c r="B411" i="3"/>
  <c r="AR411" i="3"/>
  <c r="AQ411" i="3"/>
  <c r="C411" i="3"/>
  <c r="D411" i="3"/>
  <c r="F411" i="3"/>
  <c r="BM411" i="3" s="1"/>
  <c r="G411" i="3"/>
  <c r="H411" i="3" s="1"/>
  <c r="BN411" i="3" s="1"/>
  <c r="Q411" i="3"/>
  <c r="S411" i="3"/>
  <c r="O411" i="3"/>
  <c r="U411" i="3"/>
  <c r="AE411" i="3"/>
  <c r="AD411" i="3"/>
  <c r="M411" i="3"/>
  <c r="AM411" i="3"/>
  <c r="AK411" i="3"/>
  <c r="AF411" i="3"/>
  <c r="T411" i="3"/>
  <c r="P411" i="3"/>
  <c r="V411" i="3"/>
  <c r="R411" i="3"/>
  <c r="BQ407" i="3"/>
  <c r="BF407" i="3"/>
  <c r="BJ406" i="3" s="1"/>
  <c r="BK406" i="3" s="1"/>
  <c r="BB407" i="3"/>
  <c r="AO410" i="3"/>
  <c r="AU409" i="3"/>
  <c r="BN410" i="3"/>
  <c r="AV408" i="3"/>
  <c r="BA408" i="3"/>
  <c r="AT409" i="3"/>
  <c r="AG410" i="3"/>
  <c r="BM410" i="3"/>
  <c r="AO411" i="3" l="1"/>
  <c r="BC408" i="3"/>
  <c r="BD408" i="3" s="1"/>
  <c r="AW410" i="3"/>
  <c r="AU410" i="3"/>
  <c r="AN411" i="3"/>
  <c r="Y411" i="3"/>
  <c r="Z411" i="3" s="1"/>
  <c r="AT410" i="3"/>
  <c r="B412" i="3"/>
  <c r="AQ412" i="3"/>
  <c r="A413" i="3"/>
  <c r="C412" i="3"/>
  <c r="D412" i="3"/>
  <c r="AR412" i="3"/>
  <c r="F412" i="3"/>
  <c r="BM412" i="3" s="1"/>
  <c r="G412" i="3"/>
  <c r="H412" i="3" s="1"/>
  <c r="BN412" i="3" s="1"/>
  <c r="Q412" i="3"/>
  <c r="S412" i="3"/>
  <c r="O412" i="3"/>
  <c r="U412" i="3"/>
  <c r="AF412" i="3"/>
  <c r="AE412" i="3"/>
  <c r="AD412" i="3"/>
  <c r="AM412" i="3"/>
  <c r="AK412" i="3"/>
  <c r="AO412" i="3" s="1"/>
  <c r="M412" i="3"/>
  <c r="R412" i="3"/>
  <c r="P412" i="3"/>
  <c r="V412" i="3"/>
  <c r="T412" i="3"/>
  <c r="BA409" i="3"/>
  <c r="AV409" i="3"/>
  <c r="BC409" i="3" s="1"/>
  <c r="BQ408" i="3"/>
  <c r="BF408" i="3"/>
  <c r="BJ407" i="3" s="1"/>
  <c r="BK407" i="3" s="1"/>
  <c r="BB408" i="3"/>
  <c r="AH411" i="3"/>
  <c r="X411" i="3"/>
  <c r="BG408" i="3"/>
  <c r="BH408" i="3" s="1"/>
  <c r="BI408" i="3" s="1"/>
  <c r="AG411" i="3"/>
  <c r="AW411" i="3" s="1"/>
  <c r="AX410" i="3"/>
  <c r="AY410" i="3" l="1"/>
  <c r="AH412" i="3"/>
  <c r="AT411" i="3"/>
  <c r="BD409" i="3"/>
  <c r="BG409" i="3"/>
  <c r="BH409" i="3" s="1"/>
  <c r="BI409" i="3" s="1"/>
  <c r="AV410" i="3"/>
  <c r="BC410" i="3" s="1"/>
  <c r="BA410" i="3"/>
  <c r="AN412" i="3"/>
  <c r="BQ409" i="3"/>
  <c r="BF409" i="3"/>
  <c r="BJ408" i="3" s="1"/>
  <c r="BK408" i="3" s="1"/>
  <c r="BB409" i="3"/>
  <c r="AU411" i="3"/>
  <c r="Y412" i="3"/>
  <c r="Z412" i="3" s="1"/>
  <c r="AG412" i="3"/>
  <c r="AX411" i="3"/>
  <c r="AY411" i="3" s="1"/>
  <c r="X412" i="3"/>
  <c r="A414" i="3"/>
  <c r="D413" i="3"/>
  <c r="C413" i="3"/>
  <c r="AR413" i="3"/>
  <c r="B413" i="3"/>
  <c r="AQ413" i="3"/>
  <c r="F413" i="3"/>
  <c r="G413" i="3"/>
  <c r="H413" i="3" s="1"/>
  <c r="Q413" i="3"/>
  <c r="S413" i="3"/>
  <c r="O413" i="3"/>
  <c r="U413" i="3"/>
  <c r="AF413" i="3"/>
  <c r="M413" i="3"/>
  <c r="AE413" i="3"/>
  <c r="AD413" i="3"/>
  <c r="AM413" i="3"/>
  <c r="AK413" i="3"/>
  <c r="T413" i="3"/>
  <c r="V413" i="3"/>
  <c r="R413" i="3"/>
  <c r="P413" i="3"/>
  <c r="AX412" i="3" l="1"/>
  <c r="AO413" i="3"/>
  <c r="AW412" i="3"/>
  <c r="X413" i="3"/>
  <c r="BD410" i="3"/>
  <c r="BG410" i="3"/>
  <c r="BH410" i="3" s="1"/>
  <c r="BI410" i="3" s="1"/>
  <c r="Y413" i="3"/>
  <c r="Z413" i="3" s="1"/>
  <c r="AY412" i="3"/>
  <c r="C414" i="3"/>
  <c r="AQ414" i="3"/>
  <c r="B414" i="3"/>
  <c r="A415" i="3"/>
  <c r="AR414" i="3"/>
  <c r="D414" i="3"/>
  <c r="F414" i="3"/>
  <c r="G414" i="3"/>
  <c r="H414" i="3" s="1"/>
  <c r="BN414" i="3" s="1"/>
  <c r="Q414" i="3"/>
  <c r="S414" i="3"/>
  <c r="O414" i="3"/>
  <c r="U414" i="3"/>
  <c r="AF414" i="3"/>
  <c r="AE414" i="3"/>
  <c r="AK414" i="3"/>
  <c r="AD414" i="3"/>
  <c r="M414" i="3"/>
  <c r="AM414" i="3"/>
  <c r="T414" i="3"/>
  <c r="P414" i="3"/>
  <c r="V414" i="3"/>
  <c r="R414" i="3"/>
  <c r="BB410" i="3"/>
  <c r="BF410" i="3"/>
  <c r="BJ409" i="3" s="1"/>
  <c r="BK409" i="3" s="1"/>
  <c r="BQ410" i="3"/>
  <c r="AN413" i="3"/>
  <c r="AV411" i="3"/>
  <c r="BC411" i="3" s="1"/>
  <c r="BA411" i="3"/>
  <c r="AH413" i="3"/>
  <c r="AG413" i="3"/>
  <c r="BM413" i="3"/>
  <c r="AT413" i="3"/>
  <c r="BN413" i="3"/>
  <c r="AT412" i="3"/>
  <c r="AU412" i="3"/>
  <c r="AH414" i="3" l="1"/>
  <c r="AU413" i="3"/>
  <c r="AN414" i="3"/>
  <c r="BA412" i="3"/>
  <c r="AV412" i="3"/>
  <c r="BC412" i="3" s="1"/>
  <c r="X414" i="3"/>
  <c r="A416" i="3"/>
  <c r="B415" i="3"/>
  <c r="AR415" i="3"/>
  <c r="AQ415" i="3"/>
  <c r="C415" i="3"/>
  <c r="D415" i="3"/>
  <c r="G415" i="3"/>
  <c r="H415" i="3" s="1"/>
  <c r="BN415" i="3" s="1"/>
  <c r="F415" i="3"/>
  <c r="Q415" i="3"/>
  <c r="S415" i="3"/>
  <c r="O415" i="3"/>
  <c r="U415" i="3"/>
  <c r="AD415" i="3"/>
  <c r="AF415" i="3"/>
  <c r="M415" i="3"/>
  <c r="AE415" i="3"/>
  <c r="AM415" i="3"/>
  <c r="AK415" i="3"/>
  <c r="AO415" i="3" s="1"/>
  <c r="T415" i="3"/>
  <c r="R415" i="3"/>
  <c r="V415" i="3"/>
  <c r="P415" i="3"/>
  <c r="BB411" i="3"/>
  <c r="BQ411" i="3"/>
  <c r="BF411" i="3"/>
  <c r="BJ410" i="3" s="1"/>
  <c r="BK410" i="3" s="1"/>
  <c r="BM414" i="3"/>
  <c r="BD411" i="3"/>
  <c r="BG411" i="3"/>
  <c r="BH411" i="3" s="1"/>
  <c r="BI411" i="3" s="1"/>
  <c r="AW413" i="3"/>
  <c r="AG414" i="3"/>
  <c r="AT414" i="3" s="1"/>
  <c r="AV413" i="3"/>
  <c r="AO414" i="3"/>
  <c r="AX413" i="3"/>
  <c r="BA413" i="3" s="1"/>
  <c r="Y414" i="3"/>
  <c r="Z414" i="3" s="1"/>
  <c r="AU414" i="3" l="1"/>
  <c r="AH415" i="3"/>
  <c r="X415" i="3"/>
  <c r="BF413" i="3"/>
  <c r="BB413" i="3"/>
  <c r="BQ413" i="3"/>
  <c r="AV414" i="3"/>
  <c r="AN415" i="3"/>
  <c r="B416" i="3"/>
  <c r="AQ416" i="3"/>
  <c r="AR416" i="3"/>
  <c r="D416" i="3"/>
  <c r="C416" i="3"/>
  <c r="A417" i="3"/>
  <c r="F416" i="3"/>
  <c r="BM416" i="3" s="1"/>
  <c r="G416" i="3"/>
  <c r="H416" i="3" s="1"/>
  <c r="Q416" i="3"/>
  <c r="S416" i="3"/>
  <c r="O416" i="3"/>
  <c r="U416" i="3"/>
  <c r="AF416" i="3"/>
  <c r="AD416" i="3"/>
  <c r="M416" i="3"/>
  <c r="AE416" i="3"/>
  <c r="AK416" i="3"/>
  <c r="AM416" i="3"/>
  <c r="R416" i="3"/>
  <c r="T416" i="3"/>
  <c r="P416" i="3"/>
  <c r="V416" i="3"/>
  <c r="BM415" i="3"/>
  <c r="AG415" i="3"/>
  <c r="BD412" i="3"/>
  <c r="BG412" i="3"/>
  <c r="BH412" i="3" s="1"/>
  <c r="BI412" i="3" s="1"/>
  <c r="AW414" i="3"/>
  <c r="AY413" i="3"/>
  <c r="BC413" i="3" s="1"/>
  <c r="AX414" i="3"/>
  <c r="Y415" i="3"/>
  <c r="Z415" i="3" s="1"/>
  <c r="BF412" i="3"/>
  <c r="BJ411" i="3" s="1"/>
  <c r="BK411" i="3" s="1"/>
  <c r="BQ412" i="3"/>
  <c r="BB412" i="3"/>
  <c r="AW415" i="3" l="1"/>
  <c r="AX415" i="3"/>
  <c r="AT415" i="3"/>
  <c r="AU415" i="3"/>
  <c r="BA414" i="3"/>
  <c r="BB414" i="3" s="1"/>
  <c r="Y416" i="3"/>
  <c r="Z416" i="3" s="1"/>
  <c r="AN416" i="3"/>
  <c r="BD413" i="3"/>
  <c r="BG413" i="3"/>
  <c r="BH413" i="3" s="1"/>
  <c r="BI413" i="3" s="1"/>
  <c r="X416" i="3"/>
  <c r="AH416" i="3"/>
  <c r="AY414" i="3"/>
  <c r="BC414" i="3" s="1"/>
  <c r="AY415" i="3"/>
  <c r="AO416" i="3"/>
  <c r="A418" i="3"/>
  <c r="C417" i="3"/>
  <c r="D417" i="3"/>
  <c r="AR417" i="3"/>
  <c r="B417" i="3"/>
  <c r="AQ417" i="3"/>
  <c r="G417" i="3"/>
  <c r="H417" i="3" s="1"/>
  <c r="F417" i="3"/>
  <c r="Q417" i="3"/>
  <c r="S417" i="3"/>
  <c r="O417" i="3"/>
  <c r="U417" i="3"/>
  <c r="AD417" i="3"/>
  <c r="AE417" i="3"/>
  <c r="AF417" i="3"/>
  <c r="AK417" i="3"/>
  <c r="M417" i="3"/>
  <c r="AM417" i="3"/>
  <c r="P417" i="3"/>
  <c r="T417" i="3"/>
  <c r="R417" i="3"/>
  <c r="V417" i="3"/>
  <c r="AG416" i="3"/>
  <c r="BN416" i="3"/>
  <c r="BJ412" i="3"/>
  <c r="BK412" i="3" s="1"/>
  <c r="AH417" i="3" l="1"/>
  <c r="BA415" i="3"/>
  <c r="BM417" i="3"/>
  <c r="BN417" i="3"/>
  <c r="AV415" i="3"/>
  <c r="AW416" i="3"/>
  <c r="BF414" i="3"/>
  <c r="BJ413" i="3" s="1"/>
  <c r="BK413" i="3" s="1"/>
  <c r="BC415" i="3"/>
  <c r="BG415" i="3" s="1"/>
  <c r="BH415" i="3" s="1"/>
  <c r="BI415" i="3" s="1"/>
  <c r="BQ414" i="3"/>
  <c r="AO417" i="3"/>
  <c r="BD414" i="3"/>
  <c r="BG414" i="3"/>
  <c r="BH414" i="3" s="1"/>
  <c r="BI414" i="3" s="1"/>
  <c r="AG417" i="3"/>
  <c r="AT417" i="3" s="1"/>
  <c r="BQ415" i="3"/>
  <c r="BF415" i="3"/>
  <c r="BB415" i="3"/>
  <c r="X417" i="3"/>
  <c r="AN417" i="3"/>
  <c r="AX416" i="3"/>
  <c r="Y417" i="3"/>
  <c r="Z417" i="3" s="1"/>
  <c r="AU416" i="3"/>
  <c r="AT416" i="3"/>
  <c r="C418" i="3"/>
  <c r="AR418" i="3"/>
  <c r="A419" i="3"/>
  <c r="B418" i="3"/>
  <c r="AQ418" i="3"/>
  <c r="D418" i="3"/>
  <c r="G418" i="3"/>
  <c r="H418" i="3" s="1"/>
  <c r="F418" i="3"/>
  <c r="Q418" i="3"/>
  <c r="S418" i="3"/>
  <c r="O418" i="3"/>
  <c r="U418" i="3"/>
  <c r="M418" i="3"/>
  <c r="AE418" i="3"/>
  <c r="AF418" i="3"/>
  <c r="AD418" i="3"/>
  <c r="AM418" i="3"/>
  <c r="AK418" i="3"/>
  <c r="AO418" i="3" s="1"/>
  <c r="P418" i="3"/>
  <c r="V418" i="3"/>
  <c r="T418" i="3"/>
  <c r="R418" i="3"/>
  <c r="BD415" i="3" l="1"/>
  <c r="BJ414" i="3"/>
  <c r="BK414" i="3" s="1"/>
  <c r="AY416" i="3"/>
  <c r="AX417" i="3"/>
  <c r="AG418" i="3"/>
  <c r="X418" i="3"/>
  <c r="AW417" i="3"/>
  <c r="Y418" i="3"/>
  <c r="Z418" i="3" s="1"/>
  <c r="AU417" i="3"/>
  <c r="AV417" i="3" s="1"/>
  <c r="A420" i="3"/>
  <c r="B419" i="3"/>
  <c r="AR419" i="3"/>
  <c r="AQ419" i="3"/>
  <c r="C419" i="3"/>
  <c r="D419" i="3"/>
  <c r="G419" i="3"/>
  <c r="H419" i="3" s="1"/>
  <c r="BN419" i="3" s="1"/>
  <c r="F419" i="3"/>
  <c r="Q419" i="3"/>
  <c r="S419" i="3"/>
  <c r="O419" i="3"/>
  <c r="U419" i="3"/>
  <c r="AD419" i="3"/>
  <c r="AF419" i="3"/>
  <c r="AE419" i="3"/>
  <c r="M419" i="3"/>
  <c r="AK419" i="3"/>
  <c r="AM419" i="3"/>
  <c r="P419" i="3"/>
  <c r="R419" i="3"/>
  <c r="V419" i="3"/>
  <c r="T419" i="3"/>
  <c r="AN418" i="3"/>
  <c r="BM418" i="3"/>
  <c r="AV416" i="3"/>
  <c r="BA416" i="3"/>
  <c r="AH418" i="3"/>
  <c r="BN418" i="3"/>
  <c r="AY417" i="3" l="1"/>
  <c r="BC416" i="3"/>
  <c r="AN419" i="3"/>
  <c r="AG419" i="3"/>
  <c r="AT418" i="3"/>
  <c r="AW418" i="3"/>
  <c r="AH419" i="3"/>
  <c r="AU419" i="3" s="1"/>
  <c r="AU418" i="3"/>
  <c r="AV418" i="3" s="1"/>
  <c r="BA417" i="3"/>
  <c r="BF416" i="3"/>
  <c r="BJ415" i="3" s="1"/>
  <c r="BK415" i="3" s="1"/>
  <c r="BQ416" i="3"/>
  <c r="BB416" i="3"/>
  <c r="BC417" i="3"/>
  <c r="AX418" i="3"/>
  <c r="BD416" i="3"/>
  <c r="BG416" i="3"/>
  <c r="BH416" i="3" s="1"/>
  <c r="BI416" i="3" s="1"/>
  <c r="AO419" i="3"/>
  <c r="B420" i="3"/>
  <c r="AQ420" i="3"/>
  <c r="AR420" i="3"/>
  <c r="C420" i="3"/>
  <c r="D420" i="3"/>
  <c r="A421" i="3"/>
  <c r="G420" i="3"/>
  <c r="H420" i="3" s="1"/>
  <c r="BN420" i="3" s="1"/>
  <c r="F420" i="3"/>
  <c r="Q420" i="3"/>
  <c r="S420" i="3"/>
  <c r="O420" i="3"/>
  <c r="U420" i="3"/>
  <c r="AD420" i="3"/>
  <c r="AF420" i="3"/>
  <c r="AE420" i="3"/>
  <c r="M420" i="3"/>
  <c r="AM420" i="3"/>
  <c r="AK420" i="3"/>
  <c r="P420" i="3"/>
  <c r="T420" i="3"/>
  <c r="R420" i="3"/>
  <c r="V420" i="3"/>
  <c r="Y419" i="3"/>
  <c r="Z419" i="3" s="1"/>
  <c r="X419" i="3"/>
  <c r="BM419" i="3"/>
  <c r="AG420" i="3" l="1"/>
  <c r="AT419" i="3"/>
  <c r="AO420" i="3"/>
  <c r="AY418" i="3"/>
  <c r="BC418" i="3" s="1"/>
  <c r="X420" i="3"/>
  <c r="AX419" i="3"/>
  <c r="BQ417" i="3"/>
  <c r="BB417" i="3"/>
  <c r="BF417" i="3"/>
  <c r="BJ416" i="3" s="1"/>
  <c r="BK416" i="3" s="1"/>
  <c r="A422" i="3"/>
  <c r="C421" i="3"/>
  <c r="D421" i="3"/>
  <c r="AR421" i="3"/>
  <c r="B421" i="3"/>
  <c r="AQ421" i="3"/>
  <c r="G421" i="3"/>
  <c r="H421" i="3" s="1"/>
  <c r="F421" i="3"/>
  <c r="Q421" i="3"/>
  <c r="S421" i="3"/>
  <c r="O421" i="3"/>
  <c r="U421" i="3"/>
  <c r="AF421" i="3"/>
  <c r="AK421" i="3"/>
  <c r="AE421" i="3"/>
  <c r="M421" i="3"/>
  <c r="AD421" i="3"/>
  <c r="AM421" i="3"/>
  <c r="P421" i="3"/>
  <c r="T421" i="3"/>
  <c r="V421" i="3"/>
  <c r="R421" i="3"/>
  <c r="AH420" i="3"/>
  <c r="BD417" i="3"/>
  <c r="BG417" i="3"/>
  <c r="BH417" i="3" s="1"/>
  <c r="BI417" i="3" s="1"/>
  <c r="Y420" i="3"/>
  <c r="Z420" i="3" s="1"/>
  <c r="AV419" i="3"/>
  <c r="AW419" i="3"/>
  <c r="AN420" i="3"/>
  <c r="BA418" i="3"/>
  <c r="BM420" i="3"/>
  <c r="AY419" i="3" l="1"/>
  <c r="BD418" i="3"/>
  <c r="BG418" i="3"/>
  <c r="BH418" i="3" s="1"/>
  <c r="BI418" i="3" s="1"/>
  <c r="AN421" i="3"/>
  <c r="D422" i="3"/>
  <c r="AR422" i="3"/>
  <c r="A423" i="3"/>
  <c r="B422" i="3"/>
  <c r="AQ422" i="3"/>
  <c r="C422" i="3"/>
  <c r="F422" i="3"/>
  <c r="BM422" i="3" s="1"/>
  <c r="G422" i="3"/>
  <c r="H422" i="3" s="1"/>
  <c r="Q422" i="3"/>
  <c r="S422" i="3"/>
  <c r="O422" i="3"/>
  <c r="U422" i="3"/>
  <c r="AF422" i="3"/>
  <c r="AE422" i="3"/>
  <c r="AD422" i="3"/>
  <c r="M422" i="3"/>
  <c r="AK422" i="3"/>
  <c r="AM422" i="3"/>
  <c r="P422" i="3"/>
  <c r="R422" i="3"/>
  <c r="V422" i="3"/>
  <c r="T422" i="3"/>
  <c r="AW420" i="3"/>
  <c r="AX420" i="3"/>
  <c r="AU420" i="3"/>
  <c r="AG421" i="3"/>
  <c r="BB418" i="3"/>
  <c r="BF418" i="3"/>
  <c r="BJ417" i="3" s="1"/>
  <c r="BK417" i="3" s="1"/>
  <c r="BQ418" i="3"/>
  <c r="BM421" i="3"/>
  <c r="AO421" i="3"/>
  <c r="Y421" i="3"/>
  <c r="Z421" i="3" s="1"/>
  <c r="AH421" i="3"/>
  <c r="BN421" i="3"/>
  <c r="AT420" i="3"/>
  <c r="BA419" i="3"/>
  <c r="BC419" i="3"/>
  <c r="X421" i="3"/>
  <c r="BN422" i="3" l="1"/>
  <c r="AU421" i="3"/>
  <c r="AN422" i="3"/>
  <c r="AX421" i="3"/>
  <c r="AT421" i="3"/>
  <c r="AG422" i="3"/>
  <c r="X422" i="3"/>
  <c r="AH422" i="3"/>
  <c r="AV420" i="3"/>
  <c r="BA420" i="3"/>
  <c r="BF419" i="3"/>
  <c r="BJ418" i="3" s="1"/>
  <c r="BK418" i="3" s="1"/>
  <c r="BB419" i="3"/>
  <c r="BQ419" i="3"/>
  <c r="A424" i="3"/>
  <c r="B423" i="3"/>
  <c r="AR423" i="3"/>
  <c r="AQ423" i="3"/>
  <c r="D423" i="3"/>
  <c r="C423" i="3"/>
  <c r="F423" i="3"/>
  <c r="G423" i="3"/>
  <c r="H423" i="3" s="1"/>
  <c r="Q423" i="3"/>
  <c r="S423" i="3"/>
  <c r="O423" i="3"/>
  <c r="U423" i="3"/>
  <c r="AE423" i="3"/>
  <c r="AM423" i="3"/>
  <c r="M423" i="3"/>
  <c r="AD423" i="3"/>
  <c r="AF423" i="3"/>
  <c r="AK423" i="3"/>
  <c r="V423" i="3"/>
  <c r="R423" i="3"/>
  <c r="T423" i="3"/>
  <c r="P423" i="3"/>
  <c r="BD419" i="3"/>
  <c r="BG419" i="3"/>
  <c r="BH419" i="3" s="1"/>
  <c r="BI419" i="3" s="1"/>
  <c r="Y422" i="3"/>
  <c r="Z422" i="3" s="1"/>
  <c r="AW421" i="3"/>
  <c r="BA421" i="3" s="1"/>
  <c r="AO422" i="3"/>
  <c r="AV421" i="3"/>
  <c r="AY420" i="3"/>
  <c r="AN423" i="3" l="1"/>
  <c r="AY421" i="3"/>
  <c r="BC421" i="3" s="1"/>
  <c r="BM423" i="3"/>
  <c r="AG423" i="3"/>
  <c r="BC420" i="3"/>
  <c r="BG420" i="3" s="1"/>
  <c r="BH420" i="3" s="1"/>
  <c r="BI420" i="3" s="1"/>
  <c r="BB421" i="3"/>
  <c r="BQ421" i="3"/>
  <c r="BF421" i="3"/>
  <c r="AX422" i="3"/>
  <c r="X423" i="3"/>
  <c r="AO423" i="3"/>
  <c r="AU422" i="3"/>
  <c r="B424" i="3"/>
  <c r="AQ424" i="3"/>
  <c r="AR424" i="3"/>
  <c r="C424" i="3"/>
  <c r="D424" i="3"/>
  <c r="A425" i="3"/>
  <c r="G424" i="3"/>
  <c r="H424" i="3" s="1"/>
  <c r="BN424" i="3" s="1"/>
  <c r="F424" i="3"/>
  <c r="Q424" i="3"/>
  <c r="S424" i="3"/>
  <c r="O424" i="3"/>
  <c r="U424" i="3"/>
  <c r="AF424" i="3"/>
  <c r="AD424" i="3"/>
  <c r="M424" i="3"/>
  <c r="AE424" i="3"/>
  <c r="AG424" i="3" s="1"/>
  <c r="AK424" i="3"/>
  <c r="AM424" i="3"/>
  <c r="T424" i="3"/>
  <c r="R424" i="3"/>
  <c r="V424" i="3"/>
  <c r="P424" i="3"/>
  <c r="BB420" i="3"/>
  <c r="BQ420" i="3"/>
  <c r="BF420" i="3"/>
  <c r="BJ419" i="3" s="1"/>
  <c r="BK419" i="3" s="1"/>
  <c r="Y423" i="3"/>
  <c r="Z423" i="3" s="1"/>
  <c r="AT422" i="3"/>
  <c r="AH423" i="3"/>
  <c r="AT423" i="3" s="1"/>
  <c r="BN423" i="3"/>
  <c r="AW422" i="3"/>
  <c r="BM424" i="3" l="1"/>
  <c r="BD420" i="3"/>
  <c r="AY422" i="3"/>
  <c r="AN424" i="3"/>
  <c r="AX423" i="3"/>
  <c r="AU423" i="3"/>
  <c r="AV423" i="3" s="1"/>
  <c r="AR425" i="3"/>
  <c r="B425" i="3"/>
  <c r="AQ425" i="3"/>
  <c r="A426" i="3"/>
  <c r="C425" i="3"/>
  <c r="D425" i="3"/>
  <c r="G425" i="3"/>
  <c r="H425" i="3" s="1"/>
  <c r="BN425" i="3" s="1"/>
  <c r="F425" i="3"/>
  <c r="BM425" i="3" s="1"/>
  <c r="Q425" i="3"/>
  <c r="S425" i="3"/>
  <c r="O425" i="3"/>
  <c r="U425" i="3"/>
  <c r="AM425" i="3"/>
  <c r="AF425" i="3"/>
  <c r="AE425" i="3"/>
  <c r="M425" i="3"/>
  <c r="AK425" i="3"/>
  <c r="AD425" i="3"/>
  <c r="V425" i="3"/>
  <c r="P425" i="3"/>
  <c r="R425" i="3"/>
  <c r="T425" i="3"/>
  <c r="AW423" i="3"/>
  <c r="AH424" i="3"/>
  <c r="AT424" i="3" s="1"/>
  <c r="BJ420" i="3"/>
  <c r="BK420" i="3" s="1"/>
  <c r="X424" i="3"/>
  <c r="AO424" i="3"/>
  <c r="Y424" i="3"/>
  <c r="Z424" i="3" s="1"/>
  <c r="BA422" i="3"/>
  <c r="AV422" i="3"/>
  <c r="BD421" i="3"/>
  <c r="BG421" i="3"/>
  <c r="BH421" i="3" s="1"/>
  <c r="BI421" i="3" s="1"/>
  <c r="BC422" i="3" l="1"/>
  <c r="BG422" i="3" s="1"/>
  <c r="BH422" i="3" s="1"/>
  <c r="BI422" i="3" s="1"/>
  <c r="AY423" i="3"/>
  <c r="BC423" i="3" s="1"/>
  <c r="AG425" i="3"/>
  <c r="AH425" i="3"/>
  <c r="AU425" i="3" s="1"/>
  <c r="AO425" i="3"/>
  <c r="Y425" i="3"/>
  <c r="Z425" i="3" s="1"/>
  <c r="AX424" i="3"/>
  <c r="AU424" i="3"/>
  <c r="AV424" i="3" s="1"/>
  <c r="BA423" i="3"/>
  <c r="AN425" i="3"/>
  <c r="BF422" i="3"/>
  <c r="BJ421" i="3" s="1"/>
  <c r="BK421" i="3" s="1"/>
  <c r="BB422" i="3"/>
  <c r="BQ422" i="3"/>
  <c r="X425" i="3"/>
  <c r="B426" i="3"/>
  <c r="AQ426" i="3"/>
  <c r="C426" i="3"/>
  <c r="D426" i="3"/>
  <c r="AR426" i="3"/>
  <c r="A427" i="3"/>
  <c r="G426" i="3"/>
  <c r="H426" i="3" s="1"/>
  <c r="F426" i="3"/>
  <c r="Q426" i="3"/>
  <c r="S426" i="3"/>
  <c r="O426" i="3"/>
  <c r="U426" i="3"/>
  <c r="AD426" i="3"/>
  <c r="M426" i="3"/>
  <c r="AF426" i="3"/>
  <c r="AE426" i="3"/>
  <c r="AK426" i="3"/>
  <c r="AM426" i="3"/>
  <c r="R426" i="3"/>
  <c r="P426" i="3"/>
  <c r="T426" i="3"/>
  <c r="V426" i="3"/>
  <c r="AW424" i="3"/>
  <c r="AX425" i="3" l="1"/>
  <c r="BD423" i="3"/>
  <c r="BG423" i="3"/>
  <c r="BH423" i="3" s="1"/>
  <c r="BI423" i="3" s="1"/>
  <c r="BD422" i="3"/>
  <c r="AN426" i="3"/>
  <c r="AY424" i="3"/>
  <c r="BC424" i="3" s="1"/>
  <c r="AT425" i="3"/>
  <c r="AW425" i="3"/>
  <c r="AY425" i="3" s="1"/>
  <c r="Y426" i="3"/>
  <c r="Z426" i="3" s="1"/>
  <c r="AH426" i="3"/>
  <c r="BA424" i="3"/>
  <c r="BB424" i="3" s="1"/>
  <c r="D427" i="3"/>
  <c r="C427" i="3"/>
  <c r="A428" i="3"/>
  <c r="B427" i="3"/>
  <c r="AR427" i="3"/>
  <c r="AQ427" i="3"/>
  <c r="G427" i="3"/>
  <c r="H427" i="3" s="1"/>
  <c r="F427" i="3"/>
  <c r="Q427" i="3"/>
  <c r="S427" i="3"/>
  <c r="O427" i="3"/>
  <c r="U427" i="3"/>
  <c r="AF427" i="3"/>
  <c r="AM427" i="3"/>
  <c r="AD427" i="3"/>
  <c r="AE427" i="3"/>
  <c r="M427" i="3"/>
  <c r="AK427" i="3"/>
  <c r="R427" i="3"/>
  <c r="P427" i="3"/>
  <c r="T427" i="3"/>
  <c r="V427" i="3"/>
  <c r="X426" i="3"/>
  <c r="BM426" i="3"/>
  <c r="BQ423" i="3"/>
  <c r="BF423" i="3"/>
  <c r="BJ422" i="3" s="1"/>
  <c r="BK422" i="3" s="1"/>
  <c r="BB423" i="3"/>
  <c r="AO426" i="3"/>
  <c r="AG426" i="3"/>
  <c r="BN426" i="3"/>
  <c r="BM427" i="3" l="1"/>
  <c r="BQ424" i="3"/>
  <c r="BF424" i="3"/>
  <c r="BJ423" i="3" s="1"/>
  <c r="BK423" i="3" s="1"/>
  <c r="BA425" i="3"/>
  <c r="BQ425" i="3" s="1"/>
  <c r="AV425" i="3"/>
  <c r="AG427" i="3"/>
  <c r="BC425" i="3"/>
  <c r="BD425" i="3" s="1"/>
  <c r="AW426" i="3"/>
  <c r="AO427" i="3"/>
  <c r="X427" i="3"/>
  <c r="AU426" i="3"/>
  <c r="BN427" i="3"/>
  <c r="AT426" i="3"/>
  <c r="AN427" i="3"/>
  <c r="Y427" i="3"/>
  <c r="Z427" i="3" s="1"/>
  <c r="AX426" i="3"/>
  <c r="BD424" i="3"/>
  <c r="BG424" i="3"/>
  <c r="BH424" i="3" s="1"/>
  <c r="BI424" i="3" s="1"/>
  <c r="AH427" i="3"/>
  <c r="A429" i="3"/>
  <c r="B428" i="3"/>
  <c r="AQ428" i="3"/>
  <c r="AR428" i="3"/>
  <c r="C428" i="3"/>
  <c r="D428" i="3"/>
  <c r="F428" i="3"/>
  <c r="G428" i="3"/>
  <c r="H428" i="3" s="1"/>
  <c r="Q428" i="3"/>
  <c r="S428" i="3"/>
  <c r="O428" i="3"/>
  <c r="U428" i="3"/>
  <c r="AD428" i="3"/>
  <c r="AF428" i="3"/>
  <c r="AE428" i="3"/>
  <c r="M428" i="3"/>
  <c r="AK428" i="3"/>
  <c r="AM428" i="3"/>
  <c r="AN428" i="3" s="1"/>
  <c r="V428" i="3"/>
  <c r="R428" i="3"/>
  <c r="T428" i="3"/>
  <c r="P428" i="3"/>
  <c r="BG425" i="3" l="1"/>
  <c r="BH425" i="3" s="1"/>
  <c r="BI425" i="3" s="1"/>
  <c r="AU427" i="3"/>
  <c r="BF425" i="3"/>
  <c r="BJ424" i="3" s="1"/>
  <c r="BK424" i="3" s="1"/>
  <c r="BB425" i="3"/>
  <c r="AT427" i="3"/>
  <c r="X428" i="3"/>
  <c r="AY426" i="3"/>
  <c r="Y428" i="3"/>
  <c r="Z428" i="3" s="1"/>
  <c r="AV426" i="3"/>
  <c r="BA426" i="3"/>
  <c r="AH428" i="3"/>
  <c r="BN428" i="3"/>
  <c r="AO428" i="3"/>
  <c r="AR429" i="3"/>
  <c r="B429" i="3"/>
  <c r="AQ429" i="3"/>
  <c r="A430" i="3"/>
  <c r="D429" i="3"/>
  <c r="C429" i="3"/>
  <c r="F429" i="3"/>
  <c r="BM429" i="3" s="1"/>
  <c r="G429" i="3"/>
  <c r="H429" i="3" s="1"/>
  <c r="Q429" i="3"/>
  <c r="S429" i="3"/>
  <c r="O429" i="3"/>
  <c r="U429" i="3"/>
  <c r="AE429" i="3"/>
  <c r="AM429" i="3"/>
  <c r="AK429" i="3"/>
  <c r="AO429" i="3" s="1"/>
  <c r="AD429" i="3"/>
  <c r="M429" i="3"/>
  <c r="AF429" i="3"/>
  <c r="P429" i="3"/>
  <c r="T429" i="3"/>
  <c r="V429" i="3"/>
  <c r="R429" i="3"/>
  <c r="AG428" i="3"/>
  <c r="BM428" i="3"/>
  <c r="AX427" i="3"/>
  <c r="AW427" i="3"/>
  <c r="AV427" i="3" l="1"/>
  <c r="BC426" i="3"/>
  <c r="BG426" i="3" s="1"/>
  <c r="BH426" i="3" s="1"/>
  <c r="BI426" i="3" s="1"/>
  <c r="AG429" i="3"/>
  <c r="X429" i="3"/>
  <c r="AX428" i="3"/>
  <c r="Y429" i="3"/>
  <c r="Z429" i="3" s="1"/>
  <c r="AY427" i="3"/>
  <c r="BB426" i="3"/>
  <c r="BQ426" i="3"/>
  <c r="BF426" i="3"/>
  <c r="BJ425" i="3" s="1"/>
  <c r="BK425" i="3" s="1"/>
  <c r="B430" i="3"/>
  <c r="AQ430" i="3"/>
  <c r="C430" i="3"/>
  <c r="D430" i="3"/>
  <c r="AR430" i="3"/>
  <c r="A431" i="3"/>
  <c r="G430" i="3"/>
  <c r="H430" i="3" s="1"/>
  <c r="F430" i="3"/>
  <c r="Q430" i="3"/>
  <c r="S430" i="3"/>
  <c r="O430" i="3"/>
  <c r="U430" i="3"/>
  <c r="AD430" i="3"/>
  <c r="AF430" i="3"/>
  <c r="M430" i="3"/>
  <c r="AE430" i="3"/>
  <c r="AK430" i="3"/>
  <c r="AM430" i="3"/>
  <c r="R430" i="3"/>
  <c r="T430" i="3"/>
  <c r="V430" i="3"/>
  <c r="P430" i="3"/>
  <c r="AH429" i="3"/>
  <c r="BD426" i="3"/>
  <c r="AW428" i="3"/>
  <c r="AT428" i="3"/>
  <c r="BN429" i="3"/>
  <c r="AN429" i="3"/>
  <c r="BA427" i="3"/>
  <c r="AU428" i="3"/>
  <c r="BC427" i="3" l="1"/>
  <c r="BD427" i="3" s="1"/>
  <c r="BM430" i="3"/>
  <c r="BN430" i="3"/>
  <c r="AX429" i="3"/>
  <c r="AN430" i="3"/>
  <c r="AY428" i="3"/>
  <c r="AG430" i="3"/>
  <c r="AW429" i="3"/>
  <c r="AY429" i="3" s="1"/>
  <c r="BQ427" i="3"/>
  <c r="BF427" i="3"/>
  <c r="BJ426" i="3" s="1"/>
  <c r="BK426" i="3" s="1"/>
  <c r="BB427" i="3"/>
  <c r="X430" i="3"/>
  <c r="Y430" i="3"/>
  <c r="Z430" i="3" s="1"/>
  <c r="AT429" i="3"/>
  <c r="C431" i="3"/>
  <c r="D431" i="3"/>
  <c r="A432" i="3"/>
  <c r="B431" i="3"/>
  <c r="AR431" i="3"/>
  <c r="AQ431" i="3"/>
  <c r="G431" i="3"/>
  <c r="H431" i="3" s="1"/>
  <c r="F431" i="3"/>
  <c r="Q431" i="3"/>
  <c r="S431" i="3"/>
  <c r="O431" i="3"/>
  <c r="U431" i="3"/>
  <c r="M431" i="3"/>
  <c r="AE431" i="3"/>
  <c r="AD431" i="3"/>
  <c r="AM431" i="3"/>
  <c r="AF431" i="3"/>
  <c r="AK431" i="3"/>
  <c r="T431" i="3"/>
  <c r="V431" i="3"/>
  <c r="R431" i="3"/>
  <c r="P431" i="3"/>
  <c r="AU429" i="3"/>
  <c r="AH430" i="3"/>
  <c r="BA428" i="3"/>
  <c r="AV428" i="3"/>
  <c r="AO430" i="3"/>
  <c r="AT430" i="3" l="1"/>
  <c r="BG427" i="3"/>
  <c r="BH427" i="3" s="1"/>
  <c r="BI427" i="3" s="1"/>
  <c r="BC428" i="3"/>
  <c r="AG431" i="3"/>
  <c r="AO431" i="3"/>
  <c r="Y431" i="3"/>
  <c r="Z431" i="3" s="1"/>
  <c r="A433" i="3"/>
  <c r="B432" i="3"/>
  <c r="AQ432" i="3"/>
  <c r="AR432" i="3"/>
  <c r="D432" i="3"/>
  <c r="C432" i="3"/>
  <c r="G432" i="3"/>
  <c r="H432" i="3" s="1"/>
  <c r="BN432" i="3" s="1"/>
  <c r="F432" i="3"/>
  <c r="BM432" i="3" s="1"/>
  <c r="Q432" i="3"/>
  <c r="S432" i="3"/>
  <c r="O432" i="3"/>
  <c r="U432" i="3"/>
  <c r="AD432" i="3"/>
  <c r="AE432" i="3"/>
  <c r="M432" i="3"/>
  <c r="AF432" i="3"/>
  <c r="AK432" i="3"/>
  <c r="AM432" i="3"/>
  <c r="AN432" i="3" s="1"/>
  <c r="P432" i="3"/>
  <c r="V432" i="3"/>
  <c r="T432" i="3"/>
  <c r="R432" i="3"/>
  <c r="AX430" i="3"/>
  <c r="BD428" i="3"/>
  <c r="BG428" i="3"/>
  <c r="BH428" i="3" s="1"/>
  <c r="BI428" i="3" s="1"/>
  <c r="X431" i="3"/>
  <c r="AH431" i="3"/>
  <c r="AU430" i="3"/>
  <c r="AV430" i="3" s="1"/>
  <c r="AN431" i="3"/>
  <c r="BM431" i="3"/>
  <c r="BA429" i="3"/>
  <c r="AV429" i="3"/>
  <c r="BC429" i="3" s="1"/>
  <c r="AW430" i="3"/>
  <c r="AY430" i="3" s="1"/>
  <c r="BQ428" i="3"/>
  <c r="BB428" i="3"/>
  <c r="BF428" i="3"/>
  <c r="BJ427" i="3" s="1"/>
  <c r="BK427" i="3" s="1"/>
  <c r="BN431" i="3"/>
  <c r="AT431" i="3" l="1"/>
  <c r="BC430" i="3"/>
  <c r="X432" i="3"/>
  <c r="Y432" i="3"/>
  <c r="Z432" i="3" s="1"/>
  <c r="AU431" i="3"/>
  <c r="AV431" i="3" s="1"/>
  <c r="AW431" i="3"/>
  <c r="BD430" i="3"/>
  <c r="BG430" i="3"/>
  <c r="BH430" i="3" s="1"/>
  <c r="BI430" i="3" s="1"/>
  <c r="AO432" i="3"/>
  <c r="AR433" i="3"/>
  <c r="B433" i="3"/>
  <c r="AQ433" i="3"/>
  <c r="A434" i="3"/>
  <c r="C433" i="3"/>
  <c r="D433" i="3"/>
  <c r="G433" i="3"/>
  <c r="H433" i="3" s="1"/>
  <c r="BN433" i="3" s="1"/>
  <c r="F433" i="3"/>
  <c r="Q433" i="3"/>
  <c r="S433" i="3"/>
  <c r="O433" i="3"/>
  <c r="U433" i="3"/>
  <c r="AF433" i="3"/>
  <c r="AE433" i="3"/>
  <c r="AK433" i="3"/>
  <c r="M433" i="3"/>
  <c r="AD433" i="3"/>
  <c r="AM433" i="3"/>
  <c r="P433" i="3"/>
  <c r="T433" i="3"/>
  <c r="R433" i="3"/>
  <c r="V433" i="3"/>
  <c r="BD429" i="3"/>
  <c r="BG429" i="3"/>
  <c r="BH429" i="3" s="1"/>
  <c r="BI429" i="3" s="1"/>
  <c r="AG432" i="3"/>
  <c r="BA430" i="3"/>
  <c r="BB429" i="3"/>
  <c r="BF429" i="3"/>
  <c r="BJ428" i="3" s="1"/>
  <c r="BK428" i="3" s="1"/>
  <c r="BQ429" i="3"/>
  <c r="AX431" i="3"/>
  <c r="AY431" i="3" s="1"/>
  <c r="AH432" i="3"/>
  <c r="BM433" i="3" l="1"/>
  <c r="AH433" i="3"/>
  <c r="AN433" i="3"/>
  <c r="AW432" i="3"/>
  <c r="AT432" i="3"/>
  <c r="X433" i="3"/>
  <c r="B434" i="3"/>
  <c r="AQ434" i="3"/>
  <c r="D434" i="3"/>
  <c r="C434" i="3"/>
  <c r="AR434" i="3"/>
  <c r="A435" i="3"/>
  <c r="F434" i="3"/>
  <c r="G434" i="3"/>
  <c r="H434" i="3" s="1"/>
  <c r="Q434" i="3"/>
  <c r="S434" i="3"/>
  <c r="O434" i="3"/>
  <c r="U434" i="3"/>
  <c r="AD434" i="3"/>
  <c r="AE434" i="3"/>
  <c r="AF434" i="3"/>
  <c r="M434" i="3"/>
  <c r="AK434" i="3"/>
  <c r="AM434" i="3"/>
  <c r="AN434" i="3" s="1"/>
  <c r="T434" i="3"/>
  <c r="R434" i="3"/>
  <c r="V434" i="3"/>
  <c r="P434" i="3"/>
  <c r="BA431" i="3"/>
  <c r="BC431" i="3"/>
  <c r="BQ430" i="3"/>
  <c r="BB430" i="3"/>
  <c r="BF430" i="3"/>
  <c r="BJ429" i="3" s="1"/>
  <c r="BK429" i="3" s="1"/>
  <c r="AX432" i="3"/>
  <c r="AO433" i="3"/>
  <c r="Y433" i="3"/>
  <c r="Z433" i="3" s="1"/>
  <c r="AG433" i="3"/>
  <c r="AU432" i="3"/>
  <c r="AV432" i="3" s="1"/>
  <c r="AY432" i="3" l="1"/>
  <c r="Y434" i="3"/>
  <c r="Z434" i="3" s="1"/>
  <c r="AH434" i="3"/>
  <c r="AW433" i="3"/>
  <c r="BC432" i="3"/>
  <c r="BD431" i="3"/>
  <c r="BG431" i="3"/>
  <c r="BH431" i="3" s="1"/>
  <c r="BI431" i="3" s="1"/>
  <c r="AT433" i="3"/>
  <c r="AX433" i="3"/>
  <c r="AO434" i="3"/>
  <c r="X434" i="3"/>
  <c r="AU433" i="3"/>
  <c r="BM434" i="3"/>
  <c r="BA432" i="3"/>
  <c r="BF431" i="3"/>
  <c r="BJ430" i="3" s="1"/>
  <c r="BK430" i="3" s="1"/>
  <c r="BQ431" i="3"/>
  <c r="BB431" i="3"/>
  <c r="BN434" i="3"/>
  <c r="AG434" i="3"/>
  <c r="C435" i="3"/>
  <c r="D435" i="3"/>
  <c r="A436" i="3"/>
  <c r="B435" i="3"/>
  <c r="AR435" i="3"/>
  <c r="AQ435" i="3"/>
  <c r="G435" i="3"/>
  <c r="H435" i="3" s="1"/>
  <c r="F435" i="3"/>
  <c r="Q435" i="3"/>
  <c r="S435" i="3"/>
  <c r="O435" i="3"/>
  <c r="U435" i="3"/>
  <c r="AF435" i="3"/>
  <c r="AM435" i="3"/>
  <c r="M435" i="3"/>
  <c r="AE435" i="3"/>
  <c r="AD435" i="3"/>
  <c r="AK435" i="3"/>
  <c r="P435" i="3"/>
  <c r="T435" i="3"/>
  <c r="V435" i="3"/>
  <c r="R435" i="3"/>
  <c r="AW434" i="3" l="1"/>
  <c r="X435" i="3"/>
  <c r="AU434" i="3"/>
  <c r="BM435" i="3"/>
  <c r="AY433" i="3"/>
  <c r="AO435" i="3"/>
  <c r="Y435" i="3"/>
  <c r="Z435" i="3" s="1"/>
  <c r="AV433" i="3"/>
  <c r="BA433" i="3"/>
  <c r="A437" i="3"/>
  <c r="B436" i="3"/>
  <c r="AQ436" i="3"/>
  <c r="AR436" i="3"/>
  <c r="D436" i="3"/>
  <c r="C436" i="3"/>
  <c r="G436" i="3"/>
  <c r="H436" i="3" s="1"/>
  <c r="BN436" i="3" s="1"/>
  <c r="F436" i="3"/>
  <c r="Q436" i="3"/>
  <c r="S436" i="3"/>
  <c r="O436" i="3"/>
  <c r="U436" i="3"/>
  <c r="AD436" i="3"/>
  <c r="M436" i="3"/>
  <c r="AF436" i="3"/>
  <c r="AE436" i="3"/>
  <c r="AM436" i="3"/>
  <c r="AK436" i="3"/>
  <c r="V436" i="3"/>
  <c r="P436" i="3"/>
  <c r="R436" i="3"/>
  <c r="T436" i="3"/>
  <c r="AH435" i="3"/>
  <c r="BB432" i="3"/>
  <c r="BQ432" i="3"/>
  <c r="BF432" i="3"/>
  <c r="BJ431" i="3" s="1"/>
  <c r="BK431" i="3" s="1"/>
  <c r="AX434" i="3"/>
  <c r="AY434" i="3" s="1"/>
  <c r="AG435" i="3"/>
  <c r="BN435" i="3"/>
  <c r="AT434" i="3"/>
  <c r="AN435" i="3"/>
  <c r="BD432" i="3"/>
  <c r="BG432" i="3"/>
  <c r="BH432" i="3" s="1"/>
  <c r="BI432" i="3" s="1"/>
  <c r="BM436" i="3" l="1"/>
  <c r="AG436" i="3"/>
  <c r="AO436" i="3"/>
  <c r="BC433" i="3"/>
  <c r="AU435" i="3"/>
  <c r="Y436" i="3"/>
  <c r="Z436" i="3" s="1"/>
  <c r="AR437" i="3"/>
  <c r="B437" i="3"/>
  <c r="AQ437" i="3"/>
  <c r="A438" i="3"/>
  <c r="D437" i="3"/>
  <c r="C437" i="3"/>
  <c r="G437" i="3"/>
  <c r="H437" i="3" s="1"/>
  <c r="F437" i="3"/>
  <c r="Q437" i="3"/>
  <c r="S437" i="3"/>
  <c r="O437" i="3"/>
  <c r="U437" i="3"/>
  <c r="AF437" i="3"/>
  <c r="AM437" i="3"/>
  <c r="AD437" i="3"/>
  <c r="AE437" i="3"/>
  <c r="M437" i="3"/>
  <c r="AK437" i="3"/>
  <c r="V437" i="3"/>
  <c r="R437" i="3"/>
  <c r="P437" i="3"/>
  <c r="T437" i="3"/>
  <c r="BF433" i="3"/>
  <c r="BJ432" i="3" s="1"/>
  <c r="BK432" i="3" s="1"/>
  <c r="BB433" i="3"/>
  <c r="BQ433" i="3"/>
  <c r="BD433" i="3"/>
  <c r="BG433" i="3"/>
  <c r="BH433" i="3" s="1"/>
  <c r="BI433" i="3" s="1"/>
  <c r="AN436" i="3"/>
  <c r="BA434" i="3"/>
  <c r="AV434" i="3"/>
  <c r="BC434" i="3" s="1"/>
  <c r="AH436" i="3"/>
  <c r="AX435" i="3"/>
  <c r="AW435" i="3"/>
  <c r="X436" i="3"/>
  <c r="AT436" i="3"/>
  <c r="AT435" i="3"/>
  <c r="BN437" i="3" l="1"/>
  <c r="AW436" i="3"/>
  <c r="AN437" i="3"/>
  <c r="X437" i="3"/>
  <c r="AH437" i="3"/>
  <c r="B438" i="3"/>
  <c r="AQ438" i="3"/>
  <c r="D438" i="3"/>
  <c r="C438" i="3"/>
  <c r="AR438" i="3"/>
  <c r="A439" i="3"/>
  <c r="G438" i="3"/>
  <c r="H438" i="3" s="1"/>
  <c r="F438" i="3"/>
  <c r="Q438" i="3"/>
  <c r="S438" i="3"/>
  <c r="O438" i="3"/>
  <c r="U438" i="3"/>
  <c r="AF438" i="3"/>
  <c r="AE438" i="3"/>
  <c r="AD438" i="3"/>
  <c r="M438" i="3"/>
  <c r="AK438" i="3"/>
  <c r="AM438" i="3"/>
  <c r="AN438" i="3" s="1"/>
  <c r="T438" i="3"/>
  <c r="P438" i="3"/>
  <c r="R438" i="3"/>
  <c r="V438" i="3"/>
  <c r="Y437" i="3"/>
  <c r="Z437" i="3" s="1"/>
  <c r="AV435" i="3"/>
  <c r="BA435" i="3"/>
  <c r="AO437" i="3"/>
  <c r="BD434" i="3"/>
  <c r="BG434" i="3"/>
  <c r="BH434" i="3" s="1"/>
  <c r="BI434" i="3" s="1"/>
  <c r="BB434" i="3"/>
  <c r="BF434" i="3"/>
  <c r="BJ433" i="3" s="1"/>
  <c r="BK433" i="3" s="1"/>
  <c r="BQ434" i="3"/>
  <c r="AY435" i="3"/>
  <c r="AX436" i="3"/>
  <c r="AG437" i="3"/>
  <c r="AU437" i="3" s="1"/>
  <c r="BM437" i="3"/>
  <c r="AU436" i="3"/>
  <c r="AY436" i="3" l="1"/>
  <c r="BA436" i="3"/>
  <c r="BQ436" i="3" s="1"/>
  <c r="Y438" i="3"/>
  <c r="Z438" i="3" s="1"/>
  <c r="AG438" i="3"/>
  <c r="C439" i="3"/>
  <c r="D439" i="3"/>
  <c r="A440" i="3"/>
  <c r="B439" i="3"/>
  <c r="AR439" i="3"/>
  <c r="AQ439" i="3"/>
  <c r="F439" i="3"/>
  <c r="G439" i="3"/>
  <c r="H439" i="3" s="1"/>
  <c r="Q439" i="3"/>
  <c r="S439" i="3"/>
  <c r="O439" i="3"/>
  <c r="U439" i="3"/>
  <c r="M439" i="3"/>
  <c r="AE439" i="3"/>
  <c r="AD439" i="3"/>
  <c r="AK439" i="3"/>
  <c r="AF439" i="3"/>
  <c r="AM439" i="3"/>
  <c r="AN439" i="3" s="1"/>
  <c r="R439" i="3"/>
  <c r="P439" i="3"/>
  <c r="V439" i="3"/>
  <c r="T439" i="3"/>
  <c r="BC435" i="3"/>
  <c r="BQ435" i="3"/>
  <c r="BB435" i="3"/>
  <c r="BF435" i="3"/>
  <c r="BJ434" i="3" s="1"/>
  <c r="BK434" i="3" s="1"/>
  <c r="AO438" i="3"/>
  <c r="BM438" i="3"/>
  <c r="X438" i="3"/>
  <c r="AV436" i="3"/>
  <c r="BC436" i="3" s="1"/>
  <c r="AW437" i="3"/>
  <c r="AT437" i="3"/>
  <c r="AH438" i="3"/>
  <c r="BN438" i="3"/>
  <c r="AX437" i="3"/>
  <c r="BB436" i="3" l="1"/>
  <c r="BF436" i="3"/>
  <c r="BM439" i="3"/>
  <c r="AX438" i="3"/>
  <c r="AY437" i="3"/>
  <c r="X439" i="3"/>
  <c r="AV437" i="3"/>
  <c r="BC437" i="3" s="1"/>
  <c r="BA437" i="3"/>
  <c r="A441" i="3"/>
  <c r="B440" i="3"/>
  <c r="AQ440" i="3"/>
  <c r="AR440" i="3"/>
  <c r="D440" i="3"/>
  <c r="C440" i="3"/>
  <c r="F440" i="3"/>
  <c r="BM440" i="3" s="1"/>
  <c r="G440" i="3"/>
  <c r="H440" i="3" s="1"/>
  <c r="Q440" i="3"/>
  <c r="S440" i="3"/>
  <c r="O440" i="3"/>
  <c r="U440" i="3"/>
  <c r="AE440" i="3"/>
  <c r="AD440" i="3"/>
  <c r="M440" i="3"/>
  <c r="AM440" i="3"/>
  <c r="AK440" i="3"/>
  <c r="AF440" i="3"/>
  <c r="V440" i="3"/>
  <c r="T440" i="3"/>
  <c r="P440" i="3"/>
  <c r="R440" i="3"/>
  <c r="AO439" i="3"/>
  <c r="BN439" i="3"/>
  <c r="AW438" i="3"/>
  <c r="AU438" i="3"/>
  <c r="AT438" i="3"/>
  <c r="BD435" i="3"/>
  <c r="BG435" i="3"/>
  <c r="BH435" i="3" s="1"/>
  <c r="BI435" i="3" s="1"/>
  <c r="AG439" i="3"/>
  <c r="BJ435" i="3"/>
  <c r="BK435" i="3" s="1"/>
  <c r="BD436" i="3"/>
  <c r="BG436" i="3"/>
  <c r="BH436" i="3" s="1"/>
  <c r="BI436" i="3" s="1"/>
  <c r="AH439" i="3"/>
  <c r="Y439" i="3"/>
  <c r="Z439" i="3" s="1"/>
  <c r="AY438" i="3" l="1"/>
  <c r="AX439" i="3"/>
  <c r="AO440" i="3"/>
  <c r="AG440" i="3"/>
  <c r="X440" i="3"/>
  <c r="AV438" i="3"/>
  <c r="BC438" i="3" s="1"/>
  <c r="BA438" i="3"/>
  <c r="Y440" i="3"/>
  <c r="Z440" i="3" s="1"/>
  <c r="AR441" i="3"/>
  <c r="B441" i="3"/>
  <c r="AQ441" i="3"/>
  <c r="A442" i="3"/>
  <c r="D441" i="3"/>
  <c r="C441" i="3"/>
  <c r="G441" i="3"/>
  <c r="H441" i="3" s="1"/>
  <c r="BN441" i="3" s="1"/>
  <c r="F441" i="3"/>
  <c r="BM441" i="3" s="1"/>
  <c r="Q441" i="3"/>
  <c r="S441" i="3"/>
  <c r="O441" i="3"/>
  <c r="U441" i="3"/>
  <c r="AE441" i="3"/>
  <c r="AF441" i="3"/>
  <c r="AD441" i="3"/>
  <c r="AK441" i="3"/>
  <c r="AM441" i="3"/>
  <c r="M441" i="3"/>
  <c r="R441" i="3"/>
  <c r="P441" i="3"/>
  <c r="V441" i="3"/>
  <c r="T441" i="3"/>
  <c r="AN440" i="3"/>
  <c r="BB437" i="3"/>
  <c r="BF437" i="3"/>
  <c r="BJ436" i="3" s="1"/>
  <c r="BK436" i="3" s="1"/>
  <c r="BQ437" i="3"/>
  <c r="BN440" i="3"/>
  <c r="BD437" i="3"/>
  <c r="BG437" i="3"/>
  <c r="BH437" i="3" s="1"/>
  <c r="BI437" i="3" s="1"/>
  <c r="AU439" i="3"/>
  <c r="AW439" i="3"/>
  <c r="AY439" i="3" s="1"/>
  <c r="AT439" i="3"/>
  <c r="AH440" i="3"/>
  <c r="AN441" i="3" l="1"/>
  <c r="AX440" i="3"/>
  <c r="AH441" i="3"/>
  <c r="AV439" i="3"/>
  <c r="BC439" i="3" s="1"/>
  <c r="BA439" i="3"/>
  <c r="AW440" i="3"/>
  <c r="AY440" i="3" s="1"/>
  <c r="AT440" i="3"/>
  <c r="BB438" i="3"/>
  <c r="BQ438" i="3"/>
  <c r="BF438" i="3"/>
  <c r="BJ437" i="3" s="1"/>
  <c r="BK437" i="3" s="1"/>
  <c r="AO441" i="3"/>
  <c r="BD438" i="3"/>
  <c r="BG438" i="3"/>
  <c r="BH438" i="3" s="1"/>
  <c r="BI438" i="3" s="1"/>
  <c r="AG441" i="3"/>
  <c r="AU440" i="3"/>
  <c r="Y441" i="3"/>
  <c r="Z441" i="3" s="1"/>
  <c r="X441" i="3"/>
  <c r="B442" i="3"/>
  <c r="A443" i="3"/>
  <c r="C442" i="3"/>
  <c r="D442" i="3"/>
  <c r="AR442" i="3"/>
  <c r="AQ442" i="3"/>
  <c r="G442" i="3"/>
  <c r="H442" i="3" s="1"/>
  <c r="F442" i="3"/>
  <c r="Q442" i="3"/>
  <c r="S442" i="3"/>
  <c r="O442" i="3"/>
  <c r="U442" i="3"/>
  <c r="AD442" i="3"/>
  <c r="AE442" i="3"/>
  <c r="AF442" i="3"/>
  <c r="M442" i="3"/>
  <c r="AK442" i="3"/>
  <c r="AM442" i="3"/>
  <c r="R442" i="3"/>
  <c r="V442" i="3"/>
  <c r="T442" i="3"/>
  <c r="P442" i="3"/>
  <c r="AN442" i="3" l="1"/>
  <c r="AW441" i="3"/>
  <c r="AH442" i="3"/>
  <c r="X442" i="3"/>
  <c r="BA440" i="3"/>
  <c r="AV440" i="3"/>
  <c r="BC440" i="3" s="1"/>
  <c r="Y442" i="3"/>
  <c r="Z442" i="3" s="1"/>
  <c r="AO442" i="3"/>
  <c r="BF439" i="3"/>
  <c r="BJ438" i="3" s="1"/>
  <c r="BK438" i="3" s="1"/>
  <c r="BQ439" i="3"/>
  <c r="BB439" i="3"/>
  <c r="D443" i="3"/>
  <c r="C443" i="3"/>
  <c r="AR443" i="3"/>
  <c r="B443" i="3"/>
  <c r="AQ443" i="3"/>
  <c r="A444" i="3"/>
  <c r="G443" i="3"/>
  <c r="H443" i="3" s="1"/>
  <c r="F443" i="3"/>
  <c r="Q443" i="3"/>
  <c r="S443" i="3"/>
  <c r="O443" i="3"/>
  <c r="U443" i="3"/>
  <c r="AF443" i="3"/>
  <c r="AE443" i="3"/>
  <c r="AD443" i="3"/>
  <c r="M443" i="3"/>
  <c r="AM443" i="3"/>
  <c r="AK443" i="3"/>
  <c r="R443" i="3"/>
  <c r="P443" i="3"/>
  <c r="T443" i="3"/>
  <c r="V443" i="3"/>
  <c r="BD439" i="3"/>
  <c r="BG439" i="3"/>
  <c r="BH439" i="3" s="1"/>
  <c r="BI439" i="3" s="1"/>
  <c r="BM442" i="3"/>
  <c r="BN442" i="3"/>
  <c r="AT441" i="3"/>
  <c r="AX441" i="3"/>
  <c r="AG442" i="3"/>
  <c r="AU441" i="3"/>
  <c r="AO443" i="3" l="1"/>
  <c r="AY441" i="3"/>
  <c r="AW442" i="3"/>
  <c r="Y443" i="3"/>
  <c r="Z443" i="3" s="1"/>
  <c r="AG443" i="3"/>
  <c r="AU442" i="3"/>
  <c r="AQ444" i="3"/>
  <c r="AR444" i="3"/>
  <c r="B444" i="3"/>
  <c r="A445" i="3"/>
  <c r="D444" i="3"/>
  <c r="C444" i="3"/>
  <c r="F444" i="3"/>
  <c r="BM444" i="3" s="1"/>
  <c r="G444" i="3"/>
  <c r="H444" i="3" s="1"/>
  <c r="Q444" i="3"/>
  <c r="S444" i="3"/>
  <c r="O444" i="3"/>
  <c r="U444" i="3"/>
  <c r="AF444" i="3"/>
  <c r="M444" i="3"/>
  <c r="AD444" i="3"/>
  <c r="AE444" i="3"/>
  <c r="AM444" i="3"/>
  <c r="AK444" i="3"/>
  <c r="AO444" i="3" s="1"/>
  <c r="P444" i="3"/>
  <c r="T444" i="3"/>
  <c r="V444" i="3"/>
  <c r="R444" i="3"/>
  <c r="BD440" i="3"/>
  <c r="BG440" i="3"/>
  <c r="BH440" i="3" s="1"/>
  <c r="BI440" i="3" s="1"/>
  <c r="AV441" i="3"/>
  <c r="BA441" i="3"/>
  <c r="X443" i="3"/>
  <c r="BQ440" i="3"/>
  <c r="BF440" i="3"/>
  <c r="BJ439" i="3" s="1"/>
  <c r="BK439" i="3" s="1"/>
  <c r="BB440" i="3"/>
  <c r="AX442" i="3"/>
  <c r="BM443" i="3"/>
  <c r="AN443" i="3"/>
  <c r="AH443" i="3"/>
  <c r="BN443" i="3"/>
  <c r="AT442" i="3"/>
  <c r="AY442" i="3" l="1"/>
  <c r="BC441" i="3"/>
  <c r="BG441" i="3" s="1"/>
  <c r="BH441" i="3" s="1"/>
  <c r="BI441" i="3" s="1"/>
  <c r="AX443" i="3"/>
  <c r="Y444" i="3"/>
  <c r="Z444" i="3" s="1"/>
  <c r="X444" i="3"/>
  <c r="BF441" i="3"/>
  <c r="BJ440" i="3" s="1"/>
  <c r="BK440" i="3" s="1"/>
  <c r="BB441" i="3"/>
  <c r="BQ441" i="3"/>
  <c r="AN444" i="3"/>
  <c r="BN444" i="3"/>
  <c r="A446" i="3"/>
  <c r="AQ445" i="3"/>
  <c r="B445" i="3"/>
  <c r="AR445" i="3"/>
  <c r="C445" i="3"/>
  <c r="D445" i="3"/>
  <c r="G445" i="3"/>
  <c r="H445" i="3" s="1"/>
  <c r="F445" i="3"/>
  <c r="Q445" i="3"/>
  <c r="S445" i="3"/>
  <c r="O445" i="3"/>
  <c r="U445" i="3"/>
  <c r="AD445" i="3"/>
  <c r="AE445" i="3"/>
  <c r="M445" i="3"/>
  <c r="AF445" i="3"/>
  <c r="AM445" i="3"/>
  <c r="AK445" i="3"/>
  <c r="AO445" i="3" s="1"/>
  <c r="T445" i="3"/>
  <c r="P445" i="3"/>
  <c r="R445" i="3"/>
  <c r="V445" i="3"/>
  <c r="AU443" i="3"/>
  <c r="AH444" i="3"/>
  <c r="AG444" i="3"/>
  <c r="BA442" i="3"/>
  <c r="AV442" i="3"/>
  <c r="BC442" i="3" s="1"/>
  <c r="AT443" i="3"/>
  <c r="AW443" i="3"/>
  <c r="BN445" i="3" l="1"/>
  <c r="AT444" i="3"/>
  <c r="BD441" i="3"/>
  <c r="AY443" i="3"/>
  <c r="AU444" i="3"/>
  <c r="AV444" i="3" s="1"/>
  <c r="BM445" i="3"/>
  <c r="BD442" i="3"/>
  <c r="BG442" i="3"/>
  <c r="BH442" i="3" s="1"/>
  <c r="BI442" i="3" s="1"/>
  <c r="BB442" i="3"/>
  <c r="BF442" i="3"/>
  <c r="BJ441" i="3" s="1"/>
  <c r="BK441" i="3" s="1"/>
  <c r="BQ442" i="3"/>
  <c r="AG445" i="3"/>
  <c r="Y445" i="3"/>
  <c r="Z445" i="3" s="1"/>
  <c r="AH445" i="3"/>
  <c r="X445" i="3"/>
  <c r="AX444" i="3"/>
  <c r="AV443" i="3"/>
  <c r="BC443" i="3" s="1"/>
  <c r="BA443" i="3"/>
  <c r="AW444" i="3"/>
  <c r="AN445" i="3"/>
  <c r="AQ446" i="3"/>
  <c r="AR446" i="3"/>
  <c r="C446" i="3"/>
  <c r="D446" i="3"/>
  <c r="B446" i="3"/>
  <c r="A447" i="3"/>
  <c r="F446" i="3"/>
  <c r="G446" i="3"/>
  <c r="H446" i="3" s="1"/>
  <c r="Q446" i="3"/>
  <c r="S446" i="3"/>
  <c r="O446" i="3"/>
  <c r="U446" i="3"/>
  <c r="M446" i="3"/>
  <c r="AF446" i="3"/>
  <c r="AD446" i="3"/>
  <c r="AE446" i="3"/>
  <c r="AM446" i="3"/>
  <c r="AK446" i="3"/>
  <c r="V446" i="3"/>
  <c r="T446" i="3"/>
  <c r="R446" i="3"/>
  <c r="P446" i="3"/>
  <c r="BA444" i="3" l="1"/>
  <c r="BF444" i="3" s="1"/>
  <c r="AG446" i="3"/>
  <c r="AW445" i="3"/>
  <c r="AO446" i="3"/>
  <c r="BD443" i="3"/>
  <c r="BG443" i="3"/>
  <c r="BH443" i="3" s="1"/>
  <c r="BI443" i="3" s="1"/>
  <c r="AU445" i="3"/>
  <c r="BB443" i="3"/>
  <c r="BF443" i="3"/>
  <c r="BJ442" i="3" s="1"/>
  <c r="BK442" i="3" s="1"/>
  <c r="BQ443" i="3"/>
  <c r="Y446" i="3"/>
  <c r="Z446" i="3" s="1"/>
  <c r="AX445" i="3"/>
  <c r="AY445" i="3" s="1"/>
  <c r="BN446" i="3"/>
  <c r="AH446" i="3"/>
  <c r="AY444" i="3"/>
  <c r="BC444" i="3" s="1"/>
  <c r="X446" i="3"/>
  <c r="AN446" i="3"/>
  <c r="BM446" i="3"/>
  <c r="C447" i="3"/>
  <c r="D447" i="3"/>
  <c r="B447" i="3"/>
  <c r="AQ447" i="3"/>
  <c r="AR447" i="3"/>
  <c r="A448" i="3"/>
  <c r="F447" i="3"/>
  <c r="G447" i="3"/>
  <c r="H447" i="3" s="1"/>
  <c r="Q447" i="3"/>
  <c r="S447" i="3"/>
  <c r="O447" i="3"/>
  <c r="U447" i="3"/>
  <c r="AF447" i="3"/>
  <c r="AD447" i="3"/>
  <c r="AE447" i="3"/>
  <c r="M447" i="3"/>
  <c r="AK447" i="3"/>
  <c r="AM447" i="3"/>
  <c r="AN447" i="3" s="1"/>
  <c r="T447" i="3"/>
  <c r="P447" i="3"/>
  <c r="R447" i="3"/>
  <c r="V447" i="3"/>
  <c r="AT445" i="3"/>
  <c r="BJ443" i="3" l="1"/>
  <c r="BK443" i="3" s="1"/>
  <c r="AU446" i="3"/>
  <c r="BQ444" i="3"/>
  <c r="BB444" i="3"/>
  <c r="BN447" i="3"/>
  <c r="AG447" i="3"/>
  <c r="AW446" i="3"/>
  <c r="AT446" i="3"/>
  <c r="AV445" i="3"/>
  <c r="BC445" i="3" s="1"/>
  <c r="BA445" i="3"/>
  <c r="AR448" i="3"/>
  <c r="B448" i="3"/>
  <c r="AQ448" i="3"/>
  <c r="A449" i="3"/>
  <c r="D448" i="3"/>
  <c r="C448" i="3"/>
  <c r="F448" i="3"/>
  <c r="G448" i="3"/>
  <c r="H448" i="3" s="1"/>
  <c r="Q448" i="3"/>
  <c r="S448" i="3"/>
  <c r="O448" i="3"/>
  <c r="U448" i="3"/>
  <c r="AF448" i="3"/>
  <c r="M448" i="3"/>
  <c r="AE448" i="3"/>
  <c r="AD448" i="3"/>
  <c r="AK448" i="3"/>
  <c r="AM448" i="3"/>
  <c r="P448" i="3"/>
  <c r="T448" i="3"/>
  <c r="V448" i="3"/>
  <c r="R448" i="3"/>
  <c r="BD444" i="3"/>
  <c r="BG444" i="3"/>
  <c r="BH444" i="3" s="1"/>
  <c r="BI444" i="3" s="1"/>
  <c r="AH447" i="3"/>
  <c r="AO447" i="3"/>
  <c r="Y447" i="3"/>
  <c r="Z447" i="3" s="1"/>
  <c r="BM447" i="3"/>
  <c r="X447" i="3"/>
  <c r="AX446" i="3"/>
  <c r="AY446" i="3" s="1"/>
  <c r="BN448" i="3" l="1"/>
  <c r="BM448" i="3"/>
  <c r="AV446" i="3"/>
  <c r="BC446" i="3" s="1"/>
  <c r="AU447" i="3"/>
  <c r="AH448" i="3"/>
  <c r="AN448" i="3"/>
  <c r="X448" i="3"/>
  <c r="AQ449" i="3"/>
  <c r="B449" i="3"/>
  <c r="A450" i="3"/>
  <c r="AR449" i="3"/>
  <c r="C449" i="3"/>
  <c r="D449" i="3"/>
  <c r="F449" i="3"/>
  <c r="G449" i="3"/>
  <c r="H449" i="3" s="1"/>
  <c r="Q449" i="3"/>
  <c r="S449" i="3"/>
  <c r="O449" i="3"/>
  <c r="U449" i="3"/>
  <c r="AD449" i="3"/>
  <c r="AE449" i="3"/>
  <c r="AF449" i="3"/>
  <c r="M449" i="3"/>
  <c r="AK449" i="3"/>
  <c r="AM449" i="3"/>
  <c r="P449" i="3"/>
  <c r="V449" i="3"/>
  <c r="T449" i="3"/>
  <c r="R449" i="3"/>
  <c r="BA446" i="3"/>
  <c r="AW447" i="3"/>
  <c r="BQ445" i="3"/>
  <c r="BB445" i="3"/>
  <c r="BF445" i="3"/>
  <c r="BJ444" i="3" s="1"/>
  <c r="BK444" i="3" s="1"/>
  <c r="AX447" i="3"/>
  <c r="AG448" i="3"/>
  <c r="BD445" i="3"/>
  <c r="BG445" i="3"/>
  <c r="BH445" i="3" s="1"/>
  <c r="BI445" i="3" s="1"/>
  <c r="AO448" i="3"/>
  <c r="AT447" i="3"/>
  <c r="Y448" i="3"/>
  <c r="Z448" i="3" s="1"/>
  <c r="AW448" i="3" l="1"/>
  <c r="BN449" i="3"/>
  <c r="BM449" i="3"/>
  <c r="AN449" i="3"/>
  <c r="AT448" i="3"/>
  <c r="BF446" i="3"/>
  <c r="BJ445" i="3" s="1"/>
  <c r="BK445" i="3" s="1"/>
  <c r="BQ446" i="3"/>
  <c r="BB446" i="3"/>
  <c r="AU448" i="3"/>
  <c r="AG449" i="3"/>
  <c r="Y449" i="3"/>
  <c r="Z449" i="3" s="1"/>
  <c r="A451" i="3"/>
  <c r="AR450" i="3"/>
  <c r="C450" i="3"/>
  <c r="D450" i="3"/>
  <c r="AQ450" i="3"/>
  <c r="B450" i="3"/>
  <c r="G450" i="3"/>
  <c r="H450" i="3" s="1"/>
  <c r="F450" i="3"/>
  <c r="Q450" i="3"/>
  <c r="S450" i="3"/>
  <c r="O450" i="3"/>
  <c r="U450" i="3"/>
  <c r="AE450" i="3"/>
  <c r="AF450" i="3"/>
  <c r="AD450" i="3"/>
  <c r="M450" i="3"/>
  <c r="AM450" i="3"/>
  <c r="AK450" i="3"/>
  <c r="P450" i="3"/>
  <c r="R450" i="3"/>
  <c r="T450" i="3"/>
  <c r="V450" i="3"/>
  <c r="AH449" i="3"/>
  <c r="AU449" i="3" s="1"/>
  <c r="AX448" i="3"/>
  <c r="X449" i="3"/>
  <c r="BD446" i="3"/>
  <c r="BG446" i="3"/>
  <c r="BH446" i="3" s="1"/>
  <c r="BI446" i="3" s="1"/>
  <c r="AV447" i="3"/>
  <c r="BA447" i="3"/>
  <c r="AY447" i="3"/>
  <c r="AO449" i="3"/>
  <c r="AY448" i="3" l="1"/>
  <c r="AO450" i="3"/>
  <c r="BA448" i="3"/>
  <c r="BF448" i="3" s="1"/>
  <c r="AG450" i="3"/>
  <c r="BC447" i="3"/>
  <c r="BD447" i="3" s="1"/>
  <c r="X450" i="3"/>
  <c r="BQ448" i="3"/>
  <c r="BB448" i="3"/>
  <c r="BF447" i="3"/>
  <c r="BJ446" i="3" s="1"/>
  <c r="BK446" i="3" s="1"/>
  <c r="BB447" i="3"/>
  <c r="BQ447" i="3"/>
  <c r="D451" i="3"/>
  <c r="C451" i="3"/>
  <c r="AR451" i="3"/>
  <c r="B451" i="3"/>
  <c r="AQ451" i="3"/>
  <c r="A452" i="3"/>
  <c r="G451" i="3"/>
  <c r="H451" i="3" s="1"/>
  <c r="F451" i="3"/>
  <c r="S451" i="3"/>
  <c r="Q451" i="3"/>
  <c r="O451" i="3"/>
  <c r="U451" i="3"/>
  <c r="AD451" i="3"/>
  <c r="M451" i="3"/>
  <c r="AE451" i="3"/>
  <c r="AF451" i="3"/>
  <c r="AM451" i="3"/>
  <c r="AK451" i="3"/>
  <c r="AO451" i="3" s="1"/>
  <c r="R451" i="3"/>
  <c r="V451" i="3"/>
  <c r="P451" i="3"/>
  <c r="T451" i="3"/>
  <c r="AV448" i="3"/>
  <c r="BN450" i="3"/>
  <c r="AW449" i="3"/>
  <c r="AN450" i="3"/>
  <c r="BM450" i="3"/>
  <c r="AX449" i="3"/>
  <c r="AH450" i="3"/>
  <c r="AU450" i="3" s="1"/>
  <c r="Y450" i="3"/>
  <c r="Z450" i="3" s="1"/>
  <c r="AT449" i="3"/>
  <c r="BC448" i="3" l="1"/>
  <c r="AW450" i="3"/>
  <c r="BG447" i="3"/>
  <c r="BH447" i="3" s="1"/>
  <c r="BI447" i="3" s="1"/>
  <c r="BN451" i="3"/>
  <c r="AT450" i="3"/>
  <c r="AV450" i="3" s="1"/>
  <c r="AG451" i="3"/>
  <c r="AQ452" i="3"/>
  <c r="AR452" i="3"/>
  <c r="B452" i="3"/>
  <c r="A453" i="3"/>
  <c r="D452" i="3"/>
  <c r="C452" i="3"/>
  <c r="G452" i="3"/>
  <c r="H452" i="3" s="1"/>
  <c r="F452" i="3"/>
  <c r="BM452" i="3" s="1"/>
  <c r="Q452" i="3"/>
  <c r="S452" i="3"/>
  <c r="O452" i="3"/>
  <c r="U452" i="3"/>
  <c r="AE452" i="3"/>
  <c r="M452" i="3"/>
  <c r="AF452" i="3"/>
  <c r="AM452" i="3"/>
  <c r="AD452" i="3"/>
  <c r="AK452" i="3"/>
  <c r="P452" i="3"/>
  <c r="T452" i="3"/>
  <c r="V452" i="3"/>
  <c r="R452" i="3"/>
  <c r="X451" i="3"/>
  <c r="AH451" i="3"/>
  <c r="AU451" i="3" s="1"/>
  <c r="Y451" i="3"/>
  <c r="Z451" i="3" s="1"/>
  <c r="BJ447" i="3"/>
  <c r="BK447" i="3" s="1"/>
  <c r="AY449" i="3"/>
  <c r="AV449" i="3"/>
  <c r="BA449" i="3"/>
  <c r="BD448" i="3"/>
  <c r="BG448" i="3"/>
  <c r="BH448" i="3" s="1"/>
  <c r="BI448" i="3" s="1"/>
  <c r="AN451" i="3"/>
  <c r="AX450" i="3"/>
  <c r="AY450" i="3" s="1"/>
  <c r="BM451" i="3"/>
  <c r="AO452" i="3" l="1"/>
  <c r="AG452" i="3"/>
  <c r="AW451" i="3"/>
  <c r="AT451" i="3"/>
  <c r="Y452" i="3"/>
  <c r="Z452" i="3" s="1"/>
  <c r="X452" i="3"/>
  <c r="A454" i="3"/>
  <c r="AQ453" i="3"/>
  <c r="B453" i="3"/>
  <c r="AR453" i="3"/>
  <c r="C453" i="3"/>
  <c r="D453" i="3"/>
  <c r="G453" i="3"/>
  <c r="H453" i="3" s="1"/>
  <c r="F453" i="3"/>
  <c r="Q453" i="3"/>
  <c r="S453" i="3"/>
  <c r="O453" i="3"/>
  <c r="U453" i="3"/>
  <c r="AF453" i="3"/>
  <c r="AD453" i="3"/>
  <c r="M453" i="3"/>
  <c r="AE453" i="3"/>
  <c r="AK453" i="3"/>
  <c r="AM453" i="3"/>
  <c r="V453" i="3"/>
  <c r="P453" i="3"/>
  <c r="R453" i="3"/>
  <c r="T453" i="3"/>
  <c r="AV451" i="3"/>
  <c r="BA451" i="3"/>
  <c r="AH452" i="3"/>
  <c r="BA450" i="3"/>
  <c r="AN452" i="3"/>
  <c r="BN452" i="3"/>
  <c r="BC450" i="3"/>
  <c r="AX451" i="3"/>
  <c r="AY451" i="3" s="1"/>
  <c r="BB449" i="3"/>
  <c r="BQ449" i="3"/>
  <c r="BF449" i="3"/>
  <c r="BJ448" i="3" s="1"/>
  <c r="BK448" i="3" s="1"/>
  <c r="BC449" i="3"/>
  <c r="AN453" i="3" l="1"/>
  <c r="BC451" i="3"/>
  <c r="BG451" i="3" s="1"/>
  <c r="BH451" i="3" s="1"/>
  <c r="BI451" i="3" s="1"/>
  <c r="AH453" i="3"/>
  <c r="X453" i="3"/>
  <c r="BD449" i="3"/>
  <c r="BG449" i="3"/>
  <c r="BH449" i="3" s="1"/>
  <c r="BI449" i="3" s="1"/>
  <c r="AQ454" i="3"/>
  <c r="AR454" i="3"/>
  <c r="C454" i="3"/>
  <c r="D454" i="3"/>
  <c r="B454" i="3"/>
  <c r="A455" i="3"/>
  <c r="G454" i="3"/>
  <c r="H454" i="3" s="1"/>
  <c r="BN454" i="3" s="1"/>
  <c r="F454" i="3"/>
  <c r="Q454" i="3"/>
  <c r="S454" i="3"/>
  <c r="O454" i="3"/>
  <c r="U454" i="3"/>
  <c r="AK454" i="3"/>
  <c r="AD454" i="3"/>
  <c r="AE454" i="3"/>
  <c r="AF454" i="3"/>
  <c r="M454" i="3"/>
  <c r="AM454" i="3"/>
  <c r="V454" i="3"/>
  <c r="P454" i="3"/>
  <c r="R454" i="3"/>
  <c r="T454" i="3"/>
  <c r="Y453" i="3"/>
  <c r="Z453" i="3" s="1"/>
  <c r="AO453" i="3"/>
  <c r="AG453" i="3"/>
  <c r="AX453" i="3" s="1"/>
  <c r="BM453" i="3"/>
  <c r="BF450" i="3"/>
  <c r="BJ449" i="3" s="1"/>
  <c r="BK449" i="3" s="1"/>
  <c r="BQ450" i="3"/>
  <c r="BB450" i="3"/>
  <c r="AX452" i="3"/>
  <c r="BF451" i="3"/>
  <c r="BB451" i="3"/>
  <c r="BQ451" i="3"/>
  <c r="AU452" i="3"/>
  <c r="BD450" i="3"/>
  <c r="BG450" i="3"/>
  <c r="BH450" i="3" s="1"/>
  <c r="BI450" i="3" s="1"/>
  <c r="AT452" i="3"/>
  <c r="BN453" i="3"/>
  <c r="AW452" i="3"/>
  <c r="BD451" i="3" l="1"/>
  <c r="BJ450" i="3"/>
  <c r="BK450" i="3" s="1"/>
  <c r="AO454" i="3"/>
  <c r="X454" i="3"/>
  <c r="AU453" i="3"/>
  <c r="AG454" i="3"/>
  <c r="AU454" i="3" s="1"/>
  <c r="D455" i="3"/>
  <c r="C455" i="3"/>
  <c r="B455" i="3"/>
  <c r="AQ455" i="3"/>
  <c r="AR455" i="3"/>
  <c r="A456" i="3"/>
  <c r="G455" i="3"/>
  <c r="H455" i="3" s="1"/>
  <c r="F455" i="3"/>
  <c r="Q455" i="3"/>
  <c r="S455" i="3"/>
  <c r="O455" i="3"/>
  <c r="U455" i="3"/>
  <c r="AF455" i="3"/>
  <c r="M455" i="3"/>
  <c r="AE455" i="3"/>
  <c r="AD455" i="3"/>
  <c r="AM455" i="3"/>
  <c r="AK455" i="3"/>
  <c r="AO455" i="3" s="1"/>
  <c r="V455" i="3"/>
  <c r="R455" i="3"/>
  <c r="T455" i="3"/>
  <c r="P455" i="3"/>
  <c r="Y454" i="3"/>
  <c r="Z454" i="3" s="1"/>
  <c r="AY452" i="3"/>
  <c r="AW453" i="3"/>
  <c r="AY453" i="3" s="1"/>
  <c r="AT453" i="3"/>
  <c r="AV452" i="3"/>
  <c r="BA452" i="3"/>
  <c r="AN454" i="3"/>
  <c r="AH454" i="3"/>
  <c r="BM454" i="3"/>
  <c r="BN455" i="3" l="1"/>
  <c r="BC452" i="3"/>
  <c r="BD452" i="3" s="1"/>
  <c r="AX454" i="3"/>
  <c r="AG455" i="3"/>
  <c r="BA453" i="3"/>
  <c r="AV453" i="3"/>
  <c r="BC453" i="3" s="1"/>
  <c r="X455" i="3"/>
  <c r="AR456" i="3"/>
  <c r="B456" i="3"/>
  <c r="AQ456" i="3"/>
  <c r="A457" i="3"/>
  <c r="C456" i="3"/>
  <c r="D456" i="3"/>
  <c r="G456" i="3"/>
  <c r="H456" i="3" s="1"/>
  <c r="BN456" i="3" s="1"/>
  <c r="F456" i="3"/>
  <c r="Q456" i="3"/>
  <c r="S456" i="3"/>
  <c r="O456" i="3"/>
  <c r="U456" i="3"/>
  <c r="AE456" i="3"/>
  <c r="AF456" i="3"/>
  <c r="M456" i="3"/>
  <c r="AD456" i="3"/>
  <c r="AK456" i="3"/>
  <c r="AM456" i="3"/>
  <c r="R456" i="3"/>
  <c r="V456" i="3"/>
  <c r="T456" i="3"/>
  <c r="P456" i="3"/>
  <c r="BF452" i="3"/>
  <c r="BJ451" i="3" s="1"/>
  <c r="BK451" i="3" s="1"/>
  <c r="BB452" i="3"/>
  <c r="BQ452" i="3"/>
  <c r="Y455" i="3"/>
  <c r="Z455" i="3" s="1"/>
  <c r="AT454" i="3"/>
  <c r="AN455" i="3"/>
  <c r="AH455" i="3"/>
  <c r="BM455" i="3"/>
  <c r="AW454" i="3"/>
  <c r="AY454" i="3" s="1"/>
  <c r="BG452" i="3" l="1"/>
  <c r="BH452" i="3" s="1"/>
  <c r="BI452" i="3" s="1"/>
  <c r="AX455" i="3"/>
  <c r="AH456" i="3"/>
  <c r="BM456" i="3"/>
  <c r="AN456" i="3"/>
  <c r="AO456" i="3"/>
  <c r="AT455" i="3"/>
  <c r="AU455" i="3"/>
  <c r="BD453" i="3"/>
  <c r="BG453" i="3"/>
  <c r="BH453" i="3" s="1"/>
  <c r="BI453" i="3" s="1"/>
  <c r="X456" i="3"/>
  <c r="BA454" i="3"/>
  <c r="AV454" i="3"/>
  <c r="BC454" i="3" s="1"/>
  <c r="Y456" i="3"/>
  <c r="Z456" i="3" s="1"/>
  <c r="AQ457" i="3"/>
  <c r="B457" i="3"/>
  <c r="A458" i="3"/>
  <c r="AR457" i="3"/>
  <c r="D457" i="3"/>
  <c r="C457" i="3"/>
  <c r="F457" i="3"/>
  <c r="BM457" i="3" s="1"/>
  <c r="G457" i="3"/>
  <c r="H457" i="3" s="1"/>
  <c r="BN457" i="3" s="1"/>
  <c r="Q457" i="3"/>
  <c r="S457" i="3"/>
  <c r="O457" i="3"/>
  <c r="U457" i="3"/>
  <c r="AD457" i="3"/>
  <c r="AE457" i="3"/>
  <c r="AF457" i="3"/>
  <c r="M457" i="3"/>
  <c r="AM457" i="3"/>
  <c r="AK457" i="3"/>
  <c r="P457" i="3"/>
  <c r="V457" i="3"/>
  <c r="T457" i="3"/>
  <c r="R457" i="3"/>
  <c r="BQ453" i="3"/>
  <c r="BB453" i="3"/>
  <c r="BF453" i="3"/>
  <c r="BJ452" i="3" s="1"/>
  <c r="BK452" i="3" s="1"/>
  <c r="AG456" i="3"/>
  <c r="AW456" i="3" s="1"/>
  <c r="AW455" i="3"/>
  <c r="AY455" i="3" l="1"/>
  <c r="AO457" i="3"/>
  <c r="AU456" i="3"/>
  <c r="X457" i="3"/>
  <c r="AT456" i="3"/>
  <c r="BD454" i="3"/>
  <c r="BG454" i="3"/>
  <c r="BH454" i="3" s="1"/>
  <c r="BI454" i="3" s="1"/>
  <c r="AV455" i="3"/>
  <c r="BC455" i="3" s="1"/>
  <c r="BA455" i="3"/>
  <c r="Y457" i="3"/>
  <c r="Z457" i="3" s="1"/>
  <c r="A459" i="3"/>
  <c r="AR458" i="3"/>
  <c r="C458" i="3"/>
  <c r="D458" i="3"/>
  <c r="AQ458" i="3"/>
  <c r="B458" i="3"/>
  <c r="G458" i="3"/>
  <c r="H458" i="3" s="1"/>
  <c r="F458" i="3"/>
  <c r="Q458" i="3"/>
  <c r="S458" i="3"/>
  <c r="O458" i="3"/>
  <c r="U458" i="3"/>
  <c r="AD458" i="3"/>
  <c r="AF458" i="3"/>
  <c r="M458" i="3"/>
  <c r="AE458" i="3"/>
  <c r="AM458" i="3"/>
  <c r="AK458" i="3"/>
  <c r="R458" i="3"/>
  <c r="T458" i="3"/>
  <c r="V458" i="3"/>
  <c r="P458" i="3"/>
  <c r="AG457" i="3"/>
  <c r="BF454" i="3"/>
  <c r="BJ453" i="3" s="1"/>
  <c r="BK453" i="3" s="1"/>
  <c r="BQ454" i="3"/>
  <c r="BB454" i="3"/>
  <c r="AX456" i="3"/>
  <c r="AY456" i="3" s="1"/>
  <c r="AN457" i="3"/>
  <c r="AH457" i="3"/>
  <c r="BN458" i="3" l="1"/>
  <c r="AW457" i="3"/>
  <c r="BM458" i="3"/>
  <c r="AG458" i="3"/>
  <c r="AU457" i="3"/>
  <c r="AO458" i="3"/>
  <c r="BD455" i="3"/>
  <c r="BG455" i="3"/>
  <c r="BH455" i="3" s="1"/>
  <c r="BI455" i="3" s="1"/>
  <c r="BB455" i="3"/>
  <c r="BF455" i="3"/>
  <c r="BJ454" i="3" s="1"/>
  <c r="BK454" i="3" s="1"/>
  <c r="BQ455" i="3"/>
  <c r="Y458" i="3"/>
  <c r="Z458" i="3" s="1"/>
  <c r="AH458" i="3"/>
  <c r="X458" i="3"/>
  <c r="AV456" i="3"/>
  <c r="BC456" i="3" s="1"/>
  <c r="BA456" i="3"/>
  <c r="AX457" i="3"/>
  <c r="AY457" i="3" s="1"/>
  <c r="AN458" i="3"/>
  <c r="D459" i="3"/>
  <c r="C459" i="3"/>
  <c r="AR459" i="3"/>
  <c r="B459" i="3"/>
  <c r="AQ459" i="3"/>
  <c r="A460" i="3"/>
  <c r="G459" i="3"/>
  <c r="H459" i="3" s="1"/>
  <c r="F459" i="3"/>
  <c r="Q459" i="3"/>
  <c r="S459" i="3"/>
  <c r="O459" i="3"/>
  <c r="U459" i="3"/>
  <c r="M459" i="3"/>
  <c r="AD459" i="3"/>
  <c r="AF459" i="3"/>
  <c r="AM459" i="3"/>
  <c r="AK459" i="3"/>
  <c r="AE459" i="3"/>
  <c r="T459" i="3"/>
  <c r="V459" i="3"/>
  <c r="R459" i="3"/>
  <c r="P459" i="3"/>
  <c r="AT457" i="3"/>
  <c r="AT458" i="3" l="1"/>
  <c r="AU458" i="3"/>
  <c r="AV458" i="3" s="1"/>
  <c r="BN459" i="3"/>
  <c r="AW458" i="3"/>
  <c r="AO459" i="3"/>
  <c r="AX458" i="3"/>
  <c r="AY458" i="3" s="1"/>
  <c r="BA457" i="3"/>
  <c r="AV457" i="3"/>
  <c r="BC457" i="3" s="1"/>
  <c r="BB456" i="3"/>
  <c r="BQ456" i="3"/>
  <c r="BF456" i="3"/>
  <c r="BJ455" i="3" s="1"/>
  <c r="BK455" i="3" s="1"/>
  <c r="X459" i="3"/>
  <c r="BD456" i="3"/>
  <c r="BG456" i="3"/>
  <c r="BH456" i="3" s="1"/>
  <c r="BI456" i="3" s="1"/>
  <c r="AQ460" i="3"/>
  <c r="AR460" i="3"/>
  <c r="B460" i="3"/>
  <c r="A461" i="3"/>
  <c r="C460" i="3"/>
  <c r="D460" i="3"/>
  <c r="F460" i="3"/>
  <c r="G460" i="3"/>
  <c r="H460" i="3" s="1"/>
  <c r="Q460" i="3"/>
  <c r="S460" i="3"/>
  <c r="O460" i="3"/>
  <c r="U460" i="3"/>
  <c r="AD460" i="3"/>
  <c r="AE460" i="3"/>
  <c r="M460" i="3"/>
  <c r="AK460" i="3"/>
  <c r="AM460" i="3"/>
  <c r="AF460" i="3"/>
  <c r="P460" i="3"/>
  <c r="T460" i="3"/>
  <c r="V460" i="3"/>
  <c r="R460" i="3"/>
  <c r="AG459" i="3"/>
  <c r="AH459" i="3"/>
  <c r="AT459" i="3" s="1"/>
  <c r="Y459" i="3"/>
  <c r="Z459" i="3" s="1"/>
  <c r="AN459" i="3"/>
  <c r="BM459" i="3"/>
  <c r="AN460" i="3" l="1"/>
  <c r="AG460" i="3"/>
  <c r="BC458" i="3"/>
  <c r="BD458" i="3" s="1"/>
  <c r="BA458" i="3"/>
  <c r="BB458" i="3" s="1"/>
  <c r="Y460" i="3"/>
  <c r="Z460" i="3" s="1"/>
  <c r="AH460" i="3"/>
  <c r="X460" i="3"/>
  <c r="A462" i="3"/>
  <c r="AQ461" i="3"/>
  <c r="B461" i="3"/>
  <c r="AR461" i="3"/>
  <c r="C461" i="3"/>
  <c r="D461" i="3"/>
  <c r="G461" i="3"/>
  <c r="H461" i="3" s="1"/>
  <c r="F461" i="3"/>
  <c r="Q461" i="3"/>
  <c r="S461" i="3"/>
  <c r="O461" i="3"/>
  <c r="U461" i="3"/>
  <c r="M461" i="3"/>
  <c r="AF461" i="3"/>
  <c r="AE461" i="3"/>
  <c r="AD461" i="3"/>
  <c r="AK461" i="3"/>
  <c r="AM461" i="3"/>
  <c r="P461" i="3"/>
  <c r="T461" i="3"/>
  <c r="R461" i="3"/>
  <c r="V461" i="3"/>
  <c r="AO460" i="3"/>
  <c r="BN460" i="3"/>
  <c r="BD457" i="3"/>
  <c r="BG457" i="3"/>
  <c r="BH457" i="3" s="1"/>
  <c r="BI457" i="3" s="1"/>
  <c r="AX459" i="3"/>
  <c r="AW459" i="3"/>
  <c r="AU459" i="3"/>
  <c r="AV459" i="3" s="1"/>
  <c r="BM460" i="3"/>
  <c r="BF457" i="3"/>
  <c r="BJ456" i="3" s="1"/>
  <c r="BK456" i="3" s="1"/>
  <c r="BQ457" i="3"/>
  <c r="BB457" i="3"/>
  <c r="AN461" i="3" l="1"/>
  <c r="BG458" i="3"/>
  <c r="BH458" i="3" s="1"/>
  <c r="BI458" i="3" s="1"/>
  <c r="BF458" i="3"/>
  <c r="BJ457" i="3" s="1"/>
  <c r="BK457" i="3" s="1"/>
  <c r="BQ458" i="3"/>
  <c r="BA459" i="3"/>
  <c r="BF459" i="3" s="1"/>
  <c r="BJ458" i="3" s="1"/>
  <c r="BK458" i="3" s="1"/>
  <c r="AX460" i="3"/>
  <c r="AY459" i="3"/>
  <c r="BC459" i="3" s="1"/>
  <c r="AW460" i="3"/>
  <c r="Y461" i="3"/>
  <c r="Z461" i="3" s="1"/>
  <c r="X461" i="3"/>
  <c r="AO461" i="3"/>
  <c r="AQ462" i="3"/>
  <c r="AR462" i="3"/>
  <c r="D462" i="3"/>
  <c r="C462" i="3"/>
  <c r="B462" i="3"/>
  <c r="A463" i="3"/>
  <c r="F462" i="3"/>
  <c r="G462" i="3"/>
  <c r="H462" i="3" s="1"/>
  <c r="Q462" i="3"/>
  <c r="S462" i="3"/>
  <c r="O462" i="3"/>
  <c r="U462" i="3"/>
  <c r="AF462" i="3"/>
  <c r="M462" i="3"/>
  <c r="AK462" i="3"/>
  <c r="AM462" i="3"/>
  <c r="AN462" i="3" s="1"/>
  <c r="AD462" i="3"/>
  <c r="AE462" i="3"/>
  <c r="P462" i="3"/>
  <c r="V462" i="3"/>
  <c r="T462" i="3"/>
  <c r="R462" i="3"/>
  <c r="AH461" i="3"/>
  <c r="BM461" i="3"/>
  <c r="AU460" i="3"/>
  <c r="AG461" i="3"/>
  <c r="BN461" i="3"/>
  <c r="AT460" i="3"/>
  <c r="BQ459" i="3" l="1"/>
  <c r="BB459" i="3"/>
  <c r="AY460" i="3"/>
  <c r="BD459" i="3"/>
  <c r="BG459" i="3"/>
  <c r="BH459" i="3" s="1"/>
  <c r="BI459" i="3" s="1"/>
  <c r="AG462" i="3"/>
  <c r="Y462" i="3"/>
  <c r="Z462" i="3" s="1"/>
  <c r="X462" i="3"/>
  <c r="AT461" i="3"/>
  <c r="AO462" i="3"/>
  <c r="BN462" i="3"/>
  <c r="AW461" i="3"/>
  <c r="AX461" i="3"/>
  <c r="AY461" i="3" s="1"/>
  <c r="C463" i="3"/>
  <c r="D463" i="3"/>
  <c r="B463" i="3"/>
  <c r="AQ463" i="3"/>
  <c r="AR463" i="3"/>
  <c r="A464" i="3"/>
  <c r="F463" i="3"/>
  <c r="G463" i="3"/>
  <c r="H463" i="3" s="1"/>
  <c r="Q463" i="3"/>
  <c r="S463" i="3"/>
  <c r="O463" i="3"/>
  <c r="U463" i="3"/>
  <c r="AD463" i="3"/>
  <c r="AE463" i="3"/>
  <c r="AF463" i="3"/>
  <c r="AK463" i="3"/>
  <c r="AM463" i="3"/>
  <c r="M463" i="3"/>
  <c r="R463" i="3"/>
  <c r="P463" i="3"/>
  <c r="V463" i="3"/>
  <c r="T463" i="3"/>
  <c r="AV460" i="3"/>
  <c r="BC460" i="3" s="1"/>
  <c r="BA460" i="3"/>
  <c r="AH462" i="3"/>
  <c r="BM462" i="3"/>
  <c r="AU461" i="3"/>
  <c r="AU462" i="3" l="1"/>
  <c r="AW462" i="3"/>
  <c r="BM463" i="3"/>
  <c r="AO463" i="3"/>
  <c r="BA461" i="3"/>
  <c r="BF461" i="3" s="1"/>
  <c r="AG463" i="3"/>
  <c r="AR464" i="3"/>
  <c r="B464" i="3"/>
  <c r="AQ464" i="3"/>
  <c r="A465" i="3"/>
  <c r="D464" i="3"/>
  <c r="C464" i="3"/>
  <c r="G464" i="3"/>
  <c r="H464" i="3" s="1"/>
  <c r="BN464" i="3" s="1"/>
  <c r="F464" i="3"/>
  <c r="BM464" i="3" s="1"/>
  <c r="Q464" i="3"/>
  <c r="S464" i="3"/>
  <c r="O464" i="3"/>
  <c r="U464" i="3"/>
  <c r="AF464" i="3"/>
  <c r="AD464" i="3"/>
  <c r="M464" i="3"/>
  <c r="AE464" i="3"/>
  <c r="AG464" i="3" s="1"/>
  <c r="AM464" i="3"/>
  <c r="AK464" i="3"/>
  <c r="P464" i="3"/>
  <c r="V464" i="3"/>
  <c r="T464" i="3"/>
  <c r="R464" i="3"/>
  <c r="AH463" i="3"/>
  <c r="X463" i="3"/>
  <c r="Y463" i="3"/>
  <c r="Z463" i="3" s="1"/>
  <c r="AX462" i="3"/>
  <c r="AY462" i="3" s="1"/>
  <c r="AN463" i="3"/>
  <c r="AT462" i="3"/>
  <c r="BD460" i="3"/>
  <c r="BG460" i="3"/>
  <c r="BH460" i="3" s="1"/>
  <c r="BI460" i="3" s="1"/>
  <c r="BF460" i="3"/>
  <c r="BJ459" i="3" s="1"/>
  <c r="BK459" i="3" s="1"/>
  <c r="BB460" i="3"/>
  <c r="BQ460" i="3"/>
  <c r="BN463" i="3"/>
  <c r="AV461" i="3"/>
  <c r="BC461" i="3" s="1"/>
  <c r="BB461" i="3" l="1"/>
  <c r="BQ461" i="3"/>
  <c r="AO464" i="3"/>
  <c r="AX463" i="3"/>
  <c r="AU463" i="3"/>
  <c r="AW463" i="3"/>
  <c r="AY463" i="3" s="1"/>
  <c r="AN464" i="3"/>
  <c r="BD461" i="3"/>
  <c r="BG461" i="3"/>
  <c r="BH461" i="3" s="1"/>
  <c r="BI461" i="3" s="1"/>
  <c r="AT463" i="3"/>
  <c r="AV462" i="3"/>
  <c r="BC462" i="3" s="1"/>
  <c r="BA462" i="3"/>
  <c r="AH464" i="3"/>
  <c r="Y464" i="3"/>
  <c r="Z464" i="3" s="1"/>
  <c r="X464" i="3"/>
  <c r="AQ465" i="3"/>
  <c r="B465" i="3"/>
  <c r="A466" i="3"/>
  <c r="AR465" i="3"/>
  <c r="D465" i="3"/>
  <c r="C465" i="3"/>
  <c r="G465" i="3"/>
  <c r="H465" i="3" s="1"/>
  <c r="BN465" i="3" s="1"/>
  <c r="F465" i="3"/>
  <c r="BM465" i="3" s="1"/>
  <c r="Q465" i="3"/>
  <c r="S465" i="3"/>
  <c r="O465" i="3"/>
  <c r="U465" i="3"/>
  <c r="M465" i="3"/>
  <c r="AK465" i="3"/>
  <c r="AD465" i="3"/>
  <c r="AE465" i="3"/>
  <c r="AM465" i="3"/>
  <c r="AN465" i="3" s="1"/>
  <c r="AF465" i="3"/>
  <c r="V465" i="3"/>
  <c r="T465" i="3"/>
  <c r="P465" i="3"/>
  <c r="R465" i="3"/>
  <c r="BJ460" i="3"/>
  <c r="BK460" i="3" s="1"/>
  <c r="BA463" i="3" l="1"/>
  <c r="AV463" i="3"/>
  <c r="BC463" i="3" s="1"/>
  <c r="AH465" i="3"/>
  <c r="AG465" i="3"/>
  <c r="AX464" i="3"/>
  <c r="AW464" i="3"/>
  <c r="AU465" i="3"/>
  <c r="AO465" i="3"/>
  <c r="BF462" i="3"/>
  <c r="BJ461" i="3" s="1"/>
  <c r="BK461" i="3" s="1"/>
  <c r="BQ462" i="3"/>
  <c r="BB462" i="3"/>
  <c r="AT464" i="3"/>
  <c r="X465" i="3"/>
  <c r="Y465" i="3"/>
  <c r="Z465" i="3" s="1"/>
  <c r="A467" i="3"/>
  <c r="AR466" i="3"/>
  <c r="D466" i="3"/>
  <c r="C466" i="3"/>
  <c r="AQ466" i="3"/>
  <c r="B466" i="3"/>
  <c r="G466" i="3"/>
  <c r="H466" i="3" s="1"/>
  <c r="BN466" i="3" s="1"/>
  <c r="F466" i="3"/>
  <c r="BM466" i="3" s="1"/>
  <c r="Q466" i="3"/>
  <c r="S466" i="3"/>
  <c r="O466" i="3"/>
  <c r="U466" i="3"/>
  <c r="AF466" i="3"/>
  <c r="AK466" i="3"/>
  <c r="M466" i="3"/>
  <c r="AD466" i="3"/>
  <c r="AM466" i="3"/>
  <c r="AN466" i="3" s="1"/>
  <c r="AE466" i="3"/>
  <c r="T466" i="3"/>
  <c r="R466" i="3"/>
  <c r="P466" i="3"/>
  <c r="V466" i="3"/>
  <c r="BD462" i="3"/>
  <c r="BG462" i="3"/>
  <c r="BH462" i="3" s="1"/>
  <c r="BI462" i="3" s="1"/>
  <c r="AU464" i="3"/>
  <c r="AH466" i="3" l="1"/>
  <c r="D467" i="3"/>
  <c r="C467" i="3"/>
  <c r="AR467" i="3"/>
  <c r="B467" i="3"/>
  <c r="AQ467" i="3"/>
  <c r="A468" i="3"/>
  <c r="F467" i="3"/>
  <c r="BM467" i="3" s="1"/>
  <c r="G467" i="3"/>
  <c r="H467" i="3" s="1"/>
  <c r="Q467" i="3"/>
  <c r="S467" i="3"/>
  <c r="O467" i="3"/>
  <c r="U467" i="3"/>
  <c r="AD467" i="3"/>
  <c r="M467" i="3"/>
  <c r="AF467" i="3"/>
  <c r="AE467" i="3"/>
  <c r="AK467" i="3"/>
  <c r="AM467" i="3"/>
  <c r="P467" i="3"/>
  <c r="T467" i="3"/>
  <c r="V467" i="3"/>
  <c r="R467" i="3"/>
  <c r="AY464" i="3"/>
  <c r="AO466" i="3"/>
  <c r="AV464" i="3"/>
  <c r="BA464" i="3"/>
  <c r="AW465" i="3"/>
  <c r="AU466" i="3"/>
  <c r="AX465" i="3"/>
  <c r="Y466" i="3"/>
  <c r="Z466" i="3" s="1"/>
  <c r="BD463" i="3"/>
  <c r="BG463" i="3"/>
  <c r="BH463" i="3" s="1"/>
  <c r="BI463" i="3" s="1"/>
  <c r="X466" i="3"/>
  <c r="AG466" i="3"/>
  <c r="AX466" i="3" s="1"/>
  <c r="AT465" i="3"/>
  <c r="BF463" i="3"/>
  <c r="BJ462" i="3" s="1"/>
  <c r="BK462" i="3" s="1"/>
  <c r="BQ463" i="3"/>
  <c r="BB463" i="3"/>
  <c r="AN467" i="3" l="1"/>
  <c r="AT466" i="3"/>
  <c r="AV466" i="3" s="1"/>
  <c r="BN467" i="3"/>
  <c r="AG467" i="3"/>
  <c r="BA465" i="3"/>
  <c r="AV465" i="3"/>
  <c r="AQ468" i="3"/>
  <c r="AR468" i="3"/>
  <c r="B468" i="3"/>
  <c r="A469" i="3"/>
  <c r="D468" i="3"/>
  <c r="C468" i="3"/>
  <c r="F468" i="3"/>
  <c r="BM468" i="3" s="1"/>
  <c r="G468" i="3"/>
  <c r="H468" i="3" s="1"/>
  <c r="BN468" i="3" s="1"/>
  <c r="Q468" i="3"/>
  <c r="S468" i="3"/>
  <c r="O468" i="3"/>
  <c r="U468" i="3"/>
  <c r="AE468" i="3"/>
  <c r="AD468" i="3"/>
  <c r="M468" i="3"/>
  <c r="AF468" i="3"/>
  <c r="AK468" i="3"/>
  <c r="AM468" i="3"/>
  <c r="R468" i="3"/>
  <c r="T468" i="3"/>
  <c r="V468" i="3"/>
  <c r="P468" i="3"/>
  <c r="AH467" i="3"/>
  <c r="AT467" i="3" s="1"/>
  <c r="AY465" i="3"/>
  <c r="Y467" i="3"/>
  <c r="Z467" i="3" s="1"/>
  <c r="X467" i="3"/>
  <c r="AW466" i="3"/>
  <c r="AY466" i="3" s="1"/>
  <c r="BQ464" i="3"/>
  <c r="BB464" i="3"/>
  <c r="BF464" i="3"/>
  <c r="BJ463" i="3" s="1"/>
  <c r="BK463" i="3" s="1"/>
  <c r="BC464" i="3"/>
  <c r="AO467" i="3"/>
  <c r="AN468" i="3" l="1"/>
  <c r="X468" i="3"/>
  <c r="BC466" i="3"/>
  <c r="BG466" i="3" s="1"/>
  <c r="BH466" i="3" s="1"/>
  <c r="BI466" i="3" s="1"/>
  <c r="A470" i="3"/>
  <c r="AQ469" i="3"/>
  <c r="B469" i="3"/>
  <c r="AR469" i="3"/>
  <c r="C469" i="3"/>
  <c r="D469" i="3"/>
  <c r="G469" i="3"/>
  <c r="H469" i="3" s="1"/>
  <c r="BN469" i="3" s="1"/>
  <c r="F469" i="3"/>
  <c r="Q469" i="3"/>
  <c r="S469" i="3"/>
  <c r="O469" i="3"/>
  <c r="U469" i="3"/>
  <c r="AD469" i="3"/>
  <c r="AF469" i="3"/>
  <c r="AE469" i="3"/>
  <c r="M469" i="3"/>
  <c r="AM469" i="3"/>
  <c r="AK469" i="3"/>
  <c r="AO469" i="3" s="1"/>
  <c r="P469" i="3"/>
  <c r="R469" i="3"/>
  <c r="V469" i="3"/>
  <c r="T469" i="3"/>
  <c r="AO468" i="3"/>
  <c r="BC465" i="3"/>
  <c r="BD464" i="3"/>
  <c r="BG464" i="3"/>
  <c r="BH464" i="3" s="1"/>
  <c r="BI464" i="3" s="1"/>
  <c r="BQ465" i="3"/>
  <c r="BB465" i="3"/>
  <c r="BF465" i="3"/>
  <c r="BJ464" i="3" s="1"/>
  <c r="BK464" i="3" s="1"/>
  <c r="AX467" i="3"/>
  <c r="AH468" i="3"/>
  <c r="AU467" i="3"/>
  <c r="AV467" i="3" s="1"/>
  <c r="BA466" i="3"/>
  <c r="Y468" i="3"/>
  <c r="Z468" i="3" s="1"/>
  <c r="AG468" i="3"/>
  <c r="AT468" i="3" s="1"/>
  <c r="AW467" i="3"/>
  <c r="BD466" i="3" l="1"/>
  <c r="AG469" i="3"/>
  <c r="BM469" i="3"/>
  <c r="AY467" i="3"/>
  <c r="BC467" i="3" s="1"/>
  <c r="Y469" i="3"/>
  <c r="Z469" i="3" s="1"/>
  <c r="BB466" i="3"/>
  <c r="BF466" i="3"/>
  <c r="BJ465" i="3" s="1"/>
  <c r="BK465" i="3" s="1"/>
  <c r="BQ466" i="3"/>
  <c r="AX468" i="3"/>
  <c r="BA467" i="3"/>
  <c r="X469" i="3"/>
  <c r="BG465" i="3"/>
  <c r="BH465" i="3" s="1"/>
  <c r="BI465" i="3" s="1"/>
  <c r="BD465" i="3"/>
  <c r="AH469" i="3"/>
  <c r="AW468" i="3"/>
  <c r="AU468" i="3"/>
  <c r="AV468" i="3" s="1"/>
  <c r="AN469" i="3"/>
  <c r="AQ470" i="3"/>
  <c r="AR470" i="3"/>
  <c r="D470" i="3"/>
  <c r="C470" i="3"/>
  <c r="B470" i="3"/>
  <c r="A471" i="3"/>
  <c r="F470" i="3"/>
  <c r="BM470" i="3" s="1"/>
  <c r="G470" i="3"/>
  <c r="H470" i="3" s="1"/>
  <c r="Q470" i="3"/>
  <c r="S470" i="3"/>
  <c r="O470" i="3"/>
  <c r="U470" i="3"/>
  <c r="AF470" i="3"/>
  <c r="AM470" i="3"/>
  <c r="AD470" i="3"/>
  <c r="AE470" i="3"/>
  <c r="M470" i="3"/>
  <c r="AK470" i="3"/>
  <c r="V470" i="3"/>
  <c r="P470" i="3"/>
  <c r="R470" i="3"/>
  <c r="T470" i="3"/>
  <c r="AX469" i="3" l="1"/>
  <c r="BD467" i="3"/>
  <c r="BG467" i="3"/>
  <c r="BH467" i="3" s="1"/>
  <c r="BI467" i="3" s="1"/>
  <c r="Y470" i="3"/>
  <c r="Z470" i="3" s="1"/>
  <c r="AO470" i="3"/>
  <c r="AG470" i="3"/>
  <c r="BA468" i="3"/>
  <c r="BB468" i="3" s="1"/>
  <c r="BN470" i="3"/>
  <c r="AW469" i="3"/>
  <c r="AY469" i="3" s="1"/>
  <c r="AT469" i="3"/>
  <c r="AY468" i="3"/>
  <c r="AH470" i="3"/>
  <c r="AN470" i="3"/>
  <c r="C471" i="3"/>
  <c r="D471" i="3"/>
  <c r="B471" i="3"/>
  <c r="AQ471" i="3"/>
  <c r="AR471" i="3"/>
  <c r="A472" i="3"/>
  <c r="G471" i="3"/>
  <c r="H471" i="3" s="1"/>
  <c r="F471" i="3"/>
  <c r="Q471" i="3"/>
  <c r="S471" i="3"/>
  <c r="O471" i="3"/>
  <c r="U471" i="3"/>
  <c r="M471" i="3"/>
  <c r="AK471" i="3"/>
  <c r="AE471" i="3"/>
  <c r="AD471" i="3"/>
  <c r="AF471" i="3"/>
  <c r="AM471" i="3"/>
  <c r="P471" i="3"/>
  <c r="R471" i="3"/>
  <c r="V471" i="3"/>
  <c r="T471" i="3"/>
  <c r="BC468" i="3"/>
  <c r="X470" i="3"/>
  <c r="AU469" i="3"/>
  <c r="BQ467" i="3"/>
  <c r="BF467" i="3"/>
  <c r="BJ466" i="3" s="1"/>
  <c r="BK466" i="3" s="1"/>
  <c r="BB467" i="3"/>
  <c r="BM471" i="3" l="1"/>
  <c r="AG471" i="3"/>
  <c r="BQ468" i="3"/>
  <c r="AT470" i="3"/>
  <c r="BF468" i="3"/>
  <c r="BJ467" i="3" s="1"/>
  <c r="BK467" i="3" s="1"/>
  <c r="AN471" i="3"/>
  <c r="BA469" i="3"/>
  <c r="AV469" i="3"/>
  <c r="BC469" i="3" s="1"/>
  <c r="X471" i="3"/>
  <c r="AH471" i="3"/>
  <c r="BG468" i="3"/>
  <c r="BH468" i="3" s="1"/>
  <c r="BI468" i="3" s="1"/>
  <c r="BD468" i="3"/>
  <c r="AX470" i="3"/>
  <c r="AO471" i="3"/>
  <c r="AU470" i="3"/>
  <c r="BN471" i="3"/>
  <c r="Y471" i="3"/>
  <c r="Z471" i="3" s="1"/>
  <c r="AR472" i="3"/>
  <c r="B472" i="3"/>
  <c r="AQ472" i="3"/>
  <c r="A473" i="3"/>
  <c r="D472" i="3"/>
  <c r="C472" i="3"/>
  <c r="F472" i="3"/>
  <c r="BM472" i="3" s="1"/>
  <c r="G472" i="3"/>
  <c r="H472" i="3" s="1"/>
  <c r="Q472" i="3"/>
  <c r="S472" i="3"/>
  <c r="O472" i="3"/>
  <c r="U472" i="3"/>
  <c r="AD472" i="3"/>
  <c r="AE472" i="3"/>
  <c r="AF472" i="3"/>
  <c r="M472" i="3"/>
  <c r="AK472" i="3"/>
  <c r="AM472" i="3"/>
  <c r="R472" i="3"/>
  <c r="P472" i="3"/>
  <c r="V472" i="3"/>
  <c r="T472" i="3"/>
  <c r="AW470" i="3"/>
  <c r="AX471" i="3" l="1"/>
  <c r="AN472" i="3"/>
  <c r="AU471" i="3"/>
  <c r="AT471" i="3"/>
  <c r="BA470" i="3"/>
  <c r="BF470" i="3" s="1"/>
  <c r="AY470" i="3"/>
  <c r="Y472" i="3"/>
  <c r="Z472" i="3" s="1"/>
  <c r="BQ470" i="3"/>
  <c r="X472" i="3"/>
  <c r="BD469" i="3"/>
  <c r="BG469" i="3"/>
  <c r="BH469" i="3" s="1"/>
  <c r="BI469" i="3" s="1"/>
  <c r="AW471" i="3"/>
  <c r="AY471" i="3" s="1"/>
  <c r="BF469" i="3"/>
  <c r="BJ468" i="3" s="1"/>
  <c r="BK468" i="3" s="1"/>
  <c r="BQ469" i="3"/>
  <c r="BB469" i="3"/>
  <c r="AO472" i="3"/>
  <c r="AV470" i="3"/>
  <c r="AG472" i="3"/>
  <c r="AH472" i="3"/>
  <c r="AU472" i="3" s="1"/>
  <c r="AQ473" i="3"/>
  <c r="B473" i="3"/>
  <c r="A474" i="3"/>
  <c r="AR473" i="3"/>
  <c r="C473" i="3"/>
  <c r="D473" i="3"/>
  <c r="G473" i="3"/>
  <c r="H473" i="3" s="1"/>
  <c r="BN473" i="3" s="1"/>
  <c r="F473" i="3"/>
  <c r="Q473" i="3"/>
  <c r="S473" i="3"/>
  <c r="O473" i="3"/>
  <c r="U473" i="3"/>
  <c r="AD473" i="3"/>
  <c r="M473" i="3"/>
  <c r="AF473" i="3"/>
  <c r="AE473" i="3"/>
  <c r="AK473" i="3"/>
  <c r="AM473" i="3"/>
  <c r="AN473" i="3" s="1"/>
  <c r="T473" i="3"/>
  <c r="R473" i="3"/>
  <c r="V473" i="3"/>
  <c r="P473" i="3"/>
  <c r="BN472" i="3"/>
  <c r="BB470" i="3" l="1"/>
  <c r="BA471" i="3"/>
  <c r="BF471" i="3" s="1"/>
  <c r="BJ470" i="3" s="1"/>
  <c r="BK470" i="3" s="1"/>
  <c r="AV471" i="3"/>
  <c r="BC471" i="3" s="1"/>
  <c r="BC470" i="3"/>
  <c r="BG470" i="3" s="1"/>
  <c r="BH470" i="3" s="1"/>
  <c r="BI470" i="3" s="1"/>
  <c r="Y473" i="3"/>
  <c r="Z473" i="3" s="1"/>
  <c r="AT472" i="3"/>
  <c r="X473" i="3"/>
  <c r="AV472" i="3"/>
  <c r="A475" i="3"/>
  <c r="AR474" i="3"/>
  <c r="C474" i="3"/>
  <c r="D474" i="3"/>
  <c r="AQ474" i="3"/>
  <c r="B474" i="3"/>
  <c r="F474" i="3"/>
  <c r="G474" i="3"/>
  <c r="H474" i="3" s="1"/>
  <c r="Q474" i="3"/>
  <c r="S474" i="3"/>
  <c r="O474" i="3"/>
  <c r="U474" i="3"/>
  <c r="AF474" i="3"/>
  <c r="AD474" i="3"/>
  <c r="AE474" i="3"/>
  <c r="AM474" i="3"/>
  <c r="M474" i="3"/>
  <c r="AK474" i="3"/>
  <c r="R474" i="3"/>
  <c r="T474" i="3"/>
  <c r="V474" i="3"/>
  <c r="P474" i="3"/>
  <c r="BQ471" i="3"/>
  <c r="AG473" i="3"/>
  <c r="BJ469" i="3"/>
  <c r="BK469" i="3" s="1"/>
  <c r="BM473" i="3"/>
  <c r="AW472" i="3"/>
  <c r="AO473" i="3"/>
  <c r="AX472" i="3"/>
  <c r="AH473" i="3"/>
  <c r="BG471" i="3" l="1"/>
  <c r="BH471" i="3" s="1"/>
  <c r="BI471" i="3" s="1"/>
  <c r="BD471" i="3"/>
  <c r="BD470" i="3"/>
  <c r="BB471" i="3"/>
  <c r="AO474" i="3"/>
  <c r="AW473" i="3"/>
  <c r="Y474" i="3"/>
  <c r="Z474" i="3" s="1"/>
  <c r="C475" i="3"/>
  <c r="D475" i="3"/>
  <c r="AR475" i="3"/>
  <c r="B475" i="3"/>
  <c r="AQ475" i="3"/>
  <c r="A476" i="3"/>
  <c r="F475" i="3"/>
  <c r="G475" i="3"/>
  <c r="H475" i="3" s="1"/>
  <c r="Q475" i="3"/>
  <c r="S475" i="3"/>
  <c r="O475" i="3"/>
  <c r="U475" i="3"/>
  <c r="AE475" i="3"/>
  <c r="M475" i="3"/>
  <c r="AF475" i="3"/>
  <c r="AM475" i="3"/>
  <c r="AK475" i="3"/>
  <c r="AO475" i="3" s="1"/>
  <c r="AD475" i="3"/>
  <c r="T475" i="3"/>
  <c r="V475" i="3"/>
  <c r="P475" i="3"/>
  <c r="R475" i="3"/>
  <c r="AX473" i="3"/>
  <c r="BN474" i="3"/>
  <c r="AT473" i="3"/>
  <c r="X474" i="3"/>
  <c r="AU473" i="3"/>
  <c r="AG474" i="3"/>
  <c r="BM474" i="3"/>
  <c r="AY472" i="3"/>
  <c r="BC472" i="3" s="1"/>
  <c r="AN474" i="3"/>
  <c r="AH474" i="3"/>
  <c r="BA472" i="3"/>
  <c r="AW474" i="3" l="1"/>
  <c r="AY473" i="3"/>
  <c r="AG475" i="3"/>
  <c r="B476" i="3"/>
  <c r="AQ476" i="3"/>
  <c r="AR476" i="3"/>
  <c r="A477" i="3"/>
  <c r="D476" i="3"/>
  <c r="C476" i="3"/>
  <c r="G476" i="3"/>
  <c r="H476" i="3" s="1"/>
  <c r="F476" i="3"/>
  <c r="Q476" i="3"/>
  <c r="S476" i="3"/>
  <c r="O476" i="3"/>
  <c r="U476" i="3"/>
  <c r="M476" i="3"/>
  <c r="AM476" i="3"/>
  <c r="AF476" i="3"/>
  <c r="AD476" i="3"/>
  <c r="AE476" i="3"/>
  <c r="AK476" i="3"/>
  <c r="P476" i="3"/>
  <c r="V476" i="3"/>
  <c r="R476" i="3"/>
  <c r="T476" i="3"/>
  <c r="BD472" i="3"/>
  <c r="BG472" i="3"/>
  <c r="BH472" i="3" s="1"/>
  <c r="BI472" i="3" s="1"/>
  <c r="BF472" i="3"/>
  <c r="BJ471" i="3" s="1"/>
  <c r="BK471" i="3" s="1"/>
  <c r="BB472" i="3"/>
  <c r="BQ472" i="3"/>
  <c r="Y475" i="3"/>
  <c r="Z475" i="3" s="1"/>
  <c r="BA473" i="3"/>
  <c r="AV473" i="3"/>
  <c r="X475" i="3"/>
  <c r="AX474" i="3"/>
  <c r="AN475" i="3"/>
  <c r="BN475" i="3"/>
  <c r="AU474" i="3"/>
  <c r="AH475" i="3"/>
  <c r="AU475" i="3" s="1"/>
  <c r="BM475" i="3"/>
  <c r="AT474" i="3"/>
  <c r="BN476" i="3" l="1"/>
  <c r="AN476" i="3"/>
  <c r="AY474" i="3"/>
  <c r="BC473" i="3"/>
  <c r="BD473" i="3" s="1"/>
  <c r="BM476" i="3"/>
  <c r="AW475" i="3"/>
  <c r="AT475" i="3"/>
  <c r="AH476" i="3"/>
  <c r="Y476" i="3"/>
  <c r="Z476" i="3" s="1"/>
  <c r="X476" i="3"/>
  <c r="AQ477" i="3"/>
  <c r="B477" i="3"/>
  <c r="A478" i="3"/>
  <c r="AR477" i="3"/>
  <c r="C477" i="3"/>
  <c r="D477" i="3"/>
  <c r="G477" i="3"/>
  <c r="H477" i="3" s="1"/>
  <c r="F477" i="3"/>
  <c r="Q477" i="3"/>
  <c r="S477" i="3"/>
  <c r="O477" i="3"/>
  <c r="U477" i="3"/>
  <c r="AD477" i="3"/>
  <c r="AE477" i="3"/>
  <c r="AF477" i="3"/>
  <c r="M477" i="3"/>
  <c r="AM477" i="3"/>
  <c r="AK477" i="3"/>
  <c r="AO477" i="3" s="1"/>
  <c r="P477" i="3"/>
  <c r="R477" i="3"/>
  <c r="V477" i="3"/>
  <c r="T477" i="3"/>
  <c r="AV475" i="3"/>
  <c r="AO476" i="3"/>
  <c r="AV474" i="3"/>
  <c r="BA474" i="3"/>
  <c r="AX475" i="3"/>
  <c r="BF473" i="3"/>
  <c r="BJ472" i="3" s="1"/>
  <c r="BK472" i="3" s="1"/>
  <c r="BB473" i="3"/>
  <c r="BQ473" i="3"/>
  <c r="AG476" i="3"/>
  <c r="AW476" i="3" s="1"/>
  <c r="BC474" i="3" l="1"/>
  <c r="AY475" i="3"/>
  <c r="BG473" i="3"/>
  <c r="BH473" i="3" s="1"/>
  <c r="BI473" i="3" s="1"/>
  <c r="AN477" i="3"/>
  <c r="AG477" i="3"/>
  <c r="Y477" i="3"/>
  <c r="Z477" i="3" s="1"/>
  <c r="AQ478" i="3"/>
  <c r="AR478" i="3"/>
  <c r="C478" i="3"/>
  <c r="D478" i="3"/>
  <c r="B478" i="3"/>
  <c r="A479" i="3"/>
  <c r="G478" i="3"/>
  <c r="H478" i="3" s="1"/>
  <c r="F478" i="3"/>
  <c r="Q478" i="3"/>
  <c r="S478" i="3"/>
  <c r="O478" i="3"/>
  <c r="U478" i="3"/>
  <c r="AE478" i="3"/>
  <c r="M478" i="3"/>
  <c r="AK478" i="3"/>
  <c r="AD478" i="3"/>
  <c r="AF478" i="3"/>
  <c r="AM478" i="3"/>
  <c r="AN478" i="3" s="1"/>
  <c r="R478" i="3"/>
  <c r="P478" i="3"/>
  <c r="T478" i="3"/>
  <c r="V478" i="3"/>
  <c r="BQ474" i="3"/>
  <c r="BB474" i="3"/>
  <c r="BF474" i="3"/>
  <c r="BJ473" i="3" s="1"/>
  <c r="BK473" i="3" s="1"/>
  <c r="BD474" i="3"/>
  <c r="BG474" i="3"/>
  <c r="BH474" i="3" s="1"/>
  <c r="BI474" i="3" s="1"/>
  <c r="X477" i="3"/>
  <c r="AX476" i="3"/>
  <c r="AY476" i="3" s="1"/>
  <c r="AU476" i="3"/>
  <c r="BM477" i="3"/>
  <c r="AH477" i="3"/>
  <c r="AX477" i="3" s="1"/>
  <c r="BA475" i="3"/>
  <c r="BC475" i="3"/>
  <c r="AT476" i="3"/>
  <c r="BN477" i="3"/>
  <c r="AW477" i="3" l="1"/>
  <c r="AY477" i="3" s="1"/>
  <c r="X478" i="3"/>
  <c r="BD475" i="3"/>
  <c r="BG475" i="3"/>
  <c r="BH475" i="3" s="1"/>
  <c r="BI475" i="3" s="1"/>
  <c r="AH478" i="3"/>
  <c r="BN478" i="3"/>
  <c r="AT477" i="3"/>
  <c r="BM478" i="3"/>
  <c r="Y478" i="3"/>
  <c r="Z478" i="3" s="1"/>
  <c r="C479" i="3"/>
  <c r="D479" i="3"/>
  <c r="AR479" i="3"/>
  <c r="B479" i="3"/>
  <c r="AQ479" i="3"/>
  <c r="A480" i="3"/>
  <c r="G479" i="3"/>
  <c r="H479" i="3" s="1"/>
  <c r="F479" i="3"/>
  <c r="BM479" i="3" s="1"/>
  <c r="Q479" i="3"/>
  <c r="S479" i="3"/>
  <c r="O479" i="3"/>
  <c r="U479" i="3"/>
  <c r="AD479" i="3"/>
  <c r="AK479" i="3"/>
  <c r="M479" i="3"/>
  <c r="AE479" i="3"/>
  <c r="AF479" i="3"/>
  <c r="AM479" i="3"/>
  <c r="R479" i="3"/>
  <c r="V479" i="3"/>
  <c r="P479" i="3"/>
  <c r="T479" i="3"/>
  <c r="BB475" i="3"/>
  <c r="BF475" i="3"/>
  <c r="BJ474" i="3" s="1"/>
  <c r="BK474" i="3" s="1"/>
  <c r="BQ475" i="3"/>
  <c r="AO478" i="3"/>
  <c r="AU477" i="3"/>
  <c r="BA476" i="3"/>
  <c r="AV476" i="3"/>
  <c r="BC476" i="3" s="1"/>
  <c r="AG478" i="3"/>
  <c r="AH479" i="3" l="1"/>
  <c r="AX478" i="3"/>
  <c r="X479" i="3"/>
  <c r="AN479" i="3"/>
  <c r="BQ476" i="3"/>
  <c r="BF476" i="3"/>
  <c r="BJ475" i="3" s="1"/>
  <c r="BK475" i="3" s="1"/>
  <c r="BB476" i="3"/>
  <c r="AU478" i="3"/>
  <c r="Y479" i="3"/>
  <c r="Z479" i="3" s="1"/>
  <c r="AT478" i="3"/>
  <c r="BG476" i="3"/>
  <c r="BH476" i="3" s="1"/>
  <c r="BI476" i="3" s="1"/>
  <c r="BD476" i="3"/>
  <c r="AG479" i="3"/>
  <c r="BN479" i="3"/>
  <c r="AW478" i="3"/>
  <c r="AO479" i="3"/>
  <c r="B480" i="3"/>
  <c r="AQ480" i="3"/>
  <c r="AR480" i="3"/>
  <c r="A481" i="3"/>
  <c r="C480" i="3"/>
  <c r="D480" i="3"/>
  <c r="F480" i="3"/>
  <c r="BM480" i="3" s="1"/>
  <c r="G480" i="3"/>
  <c r="H480" i="3" s="1"/>
  <c r="BN480" i="3" s="1"/>
  <c r="Q480" i="3"/>
  <c r="S480" i="3"/>
  <c r="O480" i="3"/>
  <c r="U480" i="3"/>
  <c r="M480" i="3"/>
  <c r="AD480" i="3"/>
  <c r="AE480" i="3"/>
  <c r="AM480" i="3"/>
  <c r="AN480" i="3" s="1"/>
  <c r="AF480" i="3"/>
  <c r="AK480" i="3"/>
  <c r="R480" i="3"/>
  <c r="P480" i="3"/>
  <c r="V480" i="3"/>
  <c r="T480" i="3"/>
  <c r="AV477" i="3"/>
  <c r="BC477" i="3" s="1"/>
  <c r="BA477" i="3"/>
  <c r="AY478" i="3" l="1"/>
  <c r="AT479" i="3"/>
  <c r="AG480" i="3"/>
  <c r="BQ477" i="3"/>
  <c r="BF477" i="3"/>
  <c r="BJ476" i="3" s="1"/>
  <c r="BK476" i="3" s="1"/>
  <c r="BB477" i="3"/>
  <c r="AV478" i="3"/>
  <c r="BC478" i="3" s="1"/>
  <c r="BA478" i="3"/>
  <c r="X480" i="3"/>
  <c r="BD477" i="3"/>
  <c r="BG477" i="3"/>
  <c r="BH477" i="3" s="1"/>
  <c r="BI477" i="3" s="1"/>
  <c r="Y480" i="3"/>
  <c r="Z480" i="3" s="1"/>
  <c r="AQ481" i="3"/>
  <c r="B481" i="3"/>
  <c r="A482" i="3"/>
  <c r="AR481" i="3"/>
  <c r="D481" i="3"/>
  <c r="C481" i="3"/>
  <c r="F481" i="3"/>
  <c r="BM481" i="3" s="1"/>
  <c r="G481" i="3"/>
  <c r="H481" i="3" s="1"/>
  <c r="Q481" i="3"/>
  <c r="S481" i="3"/>
  <c r="O481" i="3"/>
  <c r="U481" i="3"/>
  <c r="AF481" i="3"/>
  <c r="AE481" i="3"/>
  <c r="AD481" i="3"/>
  <c r="M481" i="3"/>
  <c r="AK481" i="3"/>
  <c r="AM481" i="3"/>
  <c r="AN481" i="3" s="1"/>
  <c r="P481" i="3"/>
  <c r="T481" i="3"/>
  <c r="R481" i="3"/>
  <c r="V481" i="3"/>
  <c r="AO480" i="3"/>
  <c r="AW479" i="3"/>
  <c r="AH480" i="3"/>
  <c r="AX479" i="3"/>
  <c r="AU479" i="3"/>
  <c r="AV479" i="3" s="1"/>
  <c r="BN481" i="3" l="1"/>
  <c r="AH481" i="3"/>
  <c r="AX480" i="3"/>
  <c r="AY479" i="3"/>
  <c r="BC479" i="3" s="1"/>
  <c r="AQ482" i="3"/>
  <c r="AR482" i="3"/>
  <c r="C482" i="3"/>
  <c r="D482" i="3"/>
  <c r="B482" i="3"/>
  <c r="A483" i="3"/>
  <c r="F482" i="3"/>
  <c r="G482" i="3"/>
  <c r="H482" i="3" s="1"/>
  <c r="Q482" i="3"/>
  <c r="S482" i="3"/>
  <c r="O482" i="3"/>
  <c r="U482" i="3"/>
  <c r="M482" i="3"/>
  <c r="AD482" i="3"/>
  <c r="AK482" i="3"/>
  <c r="AE482" i="3"/>
  <c r="AM482" i="3"/>
  <c r="AN482" i="3" s="1"/>
  <c r="AF482" i="3"/>
  <c r="P482" i="3"/>
  <c r="R482" i="3"/>
  <c r="T482" i="3"/>
  <c r="V482" i="3"/>
  <c r="AU480" i="3"/>
  <c r="BD478" i="3"/>
  <c r="BG478" i="3"/>
  <c r="BH478" i="3" s="1"/>
  <c r="BI478" i="3" s="1"/>
  <c r="AW480" i="3"/>
  <c r="AY480" i="3" s="1"/>
  <c r="BB478" i="3"/>
  <c r="BQ478" i="3"/>
  <c r="BF478" i="3"/>
  <c r="BJ477" i="3" s="1"/>
  <c r="BK477" i="3" s="1"/>
  <c r="AT480" i="3"/>
  <c r="Y481" i="3"/>
  <c r="Z481" i="3" s="1"/>
  <c r="AO481" i="3"/>
  <c r="BA479" i="3"/>
  <c r="AG481" i="3"/>
  <c r="AW481" i="3" s="1"/>
  <c r="X481" i="3"/>
  <c r="BD479" i="3" l="1"/>
  <c r="BG479" i="3"/>
  <c r="BH479" i="3" s="1"/>
  <c r="BI479" i="3" s="1"/>
  <c r="AH482" i="3"/>
  <c r="Y482" i="3"/>
  <c r="Z482" i="3" s="1"/>
  <c r="C483" i="3"/>
  <c r="D483" i="3"/>
  <c r="AR483" i="3"/>
  <c r="B483" i="3"/>
  <c r="AQ483" i="3"/>
  <c r="A484" i="3"/>
  <c r="F483" i="3"/>
  <c r="G483" i="3"/>
  <c r="H483" i="3" s="1"/>
  <c r="Q483" i="3"/>
  <c r="S483" i="3"/>
  <c r="O483" i="3"/>
  <c r="U483" i="3"/>
  <c r="M483" i="3"/>
  <c r="AD483" i="3"/>
  <c r="AE483" i="3"/>
  <c r="AK483" i="3"/>
  <c r="AF483" i="3"/>
  <c r="AM483" i="3"/>
  <c r="P483" i="3"/>
  <c r="V483" i="3"/>
  <c r="T483" i="3"/>
  <c r="R483" i="3"/>
  <c r="AV480" i="3"/>
  <c r="BC480" i="3" s="1"/>
  <c r="BA480" i="3"/>
  <c r="AU481" i="3"/>
  <c r="X482" i="3"/>
  <c r="BF479" i="3"/>
  <c r="BJ478" i="3" s="1"/>
  <c r="BK478" i="3" s="1"/>
  <c r="BB479" i="3"/>
  <c r="BQ479" i="3"/>
  <c r="AG482" i="3"/>
  <c r="BN482" i="3"/>
  <c r="AT481" i="3"/>
  <c r="AX481" i="3"/>
  <c r="AY481" i="3" s="1"/>
  <c r="AO482" i="3"/>
  <c r="BM482" i="3"/>
  <c r="AT482" i="3" l="1"/>
  <c r="AU482" i="3"/>
  <c r="BM483" i="3"/>
  <c r="AN483" i="3"/>
  <c r="AG483" i="3"/>
  <c r="X483" i="3"/>
  <c r="AH483" i="3"/>
  <c r="BA481" i="3"/>
  <c r="AV481" i="3"/>
  <c r="BC481" i="3" s="1"/>
  <c r="BF480" i="3"/>
  <c r="BJ479" i="3" s="1"/>
  <c r="BK479" i="3" s="1"/>
  <c r="BB480" i="3"/>
  <c r="BQ480" i="3"/>
  <c r="B484" i="3"/>
  <c r="AQ484" i="3"/>
  <c r="AR484" i="3"/>
  <c r="A485" i="3"/>
  <c r="C484" i="3"/>
  <c r="D484" i="3"/>
  <c r="G484" i="3"/>
  <c r="H484" i="3" s="1"/>
  <c r="BN484" i="3" s="1"/>
  <c r="F484" i="3"/>
  <c r="Q484" i="3"/>
  <c r="S484" i="3"/>
  <c r="O484" i="3"/>
  <c r="U484" i="3"/>
  <c r="AE484" i="3"/>
  <c r="AF484" i="3"/>
  <c r="M484" i="3"/>
  <c r="AK484" i="3"/>
  <c r="AD484" i="3"/>
  <c r="AM484" i="3"/>
  <c r="AN484" i="3" s="1"/>
  <c r="P484" i="3"/>
  <c r="R484" i="3"/>
  <c r="V484" i="3"/>
  <c r="T484" i="3"/>
  <c r="Y483" i="3"/>
  <c r="Z483" i="3" s="1"/>
  <c r="AW482" i="3"/>
  <c r="BD480" i="3"/>
  <c r="BG480" i="3"/>
  <c r="BH480" i="3" s="1"/>
  <c r="BI480" i="3" s="1"/>
  <c r="AO483" i="3"/>
  <c r="BN483" i="3"/>
  <c r="AX482" i="3"/>
  <c r="AV482" i="3" l="1"/>
  <c r="BM484" i="3"/>
  <c r="AH484" i="3"/>
  <c r="AY482" i="3"/>
  <c r="BF481" i="3"/>
  <c r="BJ480" i="3" s="1"/>
  <c r="BK480" i="3" s="1"/>
  <c r="BB481" i="3"/>
  <c r="BQ481" i="3"/>
  <c r="AX483" i="3"/>
  <c r="AT483" i="3"/>
  <c r="BG481" i="3"/>
  <c r="BH481" i="3" s="1"/>
  <c r="BI481" i="3" s="1"/>
  <c r="BD481" i="3"/>
  <c r="Y484" i="3"/>
  <c r="Z484" i="3" s="1"/>
  <c r="AG484" i="3"/>
  <c r="AU484" i="3" s="1"/>
  <c r="BA482" i="3"/>
  <c r="AW483" i="3"/>
  <c r="AO484" i="3"/>
  <c r="X484" i="3"/>
  <c r="AQ485" i="3"/>
  <c r="B485" i="3"/>
  <c r="A486" i="3"/>
  <c r="AR485" i="3"/>
  <c r="D485" i="3"/>
  <c r="C485" i="3"/>
  <c r="F485" i="3"/>
  <c r="BM485" i="3" s="1"/>
  <c r="G485" i="3"/>
  <c r="H485" i="3" s="1"/>
  <c r="Q485" i="3"/>
  <c r="S485" i="3"/>
  <c r="O485" i="3"/>
  <c r="U485" i="3"/>
  <c r="AK485" i="3"/>
  <c r="AD485" i="3"/>
  <c r="AE485" i="3"/>
  <c r="AG485" i="3" s="1"/>
  <c r="M485" i="3"/>
  <c r="AF485" i="3"/>
  <c r="AM485" i="3"/>
  <c r="P485" i="3"/>
  <c r="R485" i="3"/>
  <c r="T485" i="3"/>
  <c r="V485" i="3"/>
  <c r="BC482" i="3"/>
  <c r="AU483" i="3"/>
  <c r="AO485" i="3" l="1"/>
  <c r="AX484" i="3"/>
  <c r="Y485" i="3"/>
  <c r="Z485" i="3" s="1"/>
  <c r="BD482" i="3"/>
  <c r="BG482" i="3"/>
  <c r="BH482" i="3" s="1"/>
  <c r="BI482" i="3" s="1"/>
  <c r="AY483" i="3"/>
  <c r="X485" i="3"/>
  <c r="AQ486" i="3"/>
  <c r="AR486" i="3"/>
  <c r="D486" i="3"/>
  <c r="C486" i="3"/>
  <c r="B486" i="3"/>
  <c r="A487" i="3"/>
  <c r="G486" i="3"/>
  <c r="H486" i="3" s="1"/>
  <c r="F486" i="3"/>
  <c r="BM486" i="3" s="1"/>
  <c r="Q486" i="3"/>
  <c r="S486" i="3"/>
  <c r="O486" i="3"/>
  <c r="U486" i="3"/>
  <c r="M486" i="3"/>
  <c r="AE486" i="3"/>
  <c r="AK486" i="3"/>
  <c r="AM486" i="3"/>
  <c r="AN486" i="3" s="1"/>
  <c r="AF486" i="3"/>
  <c r="AD486" i="3"/>
  <c r="T486" i="3"/>
  <c r="V486" i="3"/>
  <c r="R486" i="3"/>
  <c r="P486" i="3"/>
  <c r="BB482" i="3"/>
  <c r="BF482" i="3"/>
  <c r="BJ481" i="3" s="1"/>
  <c r="BK481" i="3" s="1"/>
  <c r="BQ482" i="3"/>
  <c r="AN485" i="3"/>
  <c r="AW484" i="3"/>
  <c r="AY484" i="3" s="1"/>
  <c r="BA483" i="3"/>
  <c r="AV483" i="3"/>
  <c r="AH485" i="3"/>
  <c r="BN485" i="3"/>
  <c r="AT484" i="3"/>
  <c r="AH486" i="3" l="1"/>
  <c r="BC483" i="3"/>
  <c r="BD483" i="3" s="1"/>
  <c r="BN486" i="3"/>
  <c r="AV484" i="3"/>
  <c r="BC484" i="3" s="1"/>
  <c r="BA484" i="3"/>
  <c r="AX485" i="3"/>
  <c r="AT485" i="3"/>
  <c r="AO486" i="3"/>
  <c r="D487" i="3"/>
  <c r="C487" i="3"/>
  <c r="AR487" i="3"/>
  <c r="B487" i="3"/>
  <c r="AQ487" i="3"/>
  <c r="A488" i="3"/>
  <c r="G487" i="3"/>
  <c r="H487" i="3" s="1"/>
  <c r="F487" i="3"/>
  <c r="Q487" i="3"/>
  <c r="S487" i="3"/>
  <c r="O487" i="3"/>
  <c r="U487" i="3"/>
  <c r="M487" i="3"/>
  <c r="AD487" i="3"/>
  <c r="AE487" i="3"/>
  <c r="AF487" i="3"/>
  <c r="AM487" i="3"/>
  <c r="AK487" i="3"/>
  <c r="V487" i="3"/>
  <c r="T487" i="3"/>
  <c r="P487" i="3"/>
  <c r="R487" i="3"/>
  <c r="BQ483" i="3"/>
  <c r="BB483" i="3"/>
  <c r="BF483" i="3"/>
  <c r="BJ482" i="3" s="1"/>
  <c r="BK482" i="3" s="1"/>
  <c r="AU485" i="3"/>
  <c r="AG486" i="3"/>
  <c r="AU486" i="3" s="1"/>
  <c r="Y486" i="3"/>
  <c r="Z486" i="3" s="1"/>
  <c r="X486" i="3"/>
  <c r="AW485" i="3"/>
  <c r="AO487" i="3" l="1"/>
  <c r="BG483" i="3"/>
  <c r="BH483" i="3" s="1"/>
  <c r="BI483" i="3" s="1"/>
  <c r="AY485" i="3"/>
  <c r="AG487" i="3"/>
  <c r="BD484" i="3"/>
  <c r="BG484" i="3"/>
  <c r="BH484" i="3" s="1"/>
  <c r="BI484" i="3" s="1"/>
  <c r="AN487" i="3"/>
  <c r="AX486" i="3"/>
  <c r="BN487" i="3"/>
  <c r="AW486" i="3"/>
  <c r="BQ484" i="3"/>
  <c r="BF484" i="3"/>
  <c r="BJ483" i="3" s="1"/>
  <c r="BK483" i="3" s="1"/>
  <c r="BB484" i="3"/>
  <c r="AT486" i="3"/>
  <c r="BM487" i="3"/>
  <c r="AH487" i="3"/>
  <c r="AU487" i="3" s="1"/>
  <c r="B488" i="3"/>
  <c r="AQ488" i="3"/>
  <c r="AR488" i="3"/>
  <c r="A489" i="3"/>
  <c r="C488" i="3"/>
  <c r="D488" i="3"/>
  <c r="G488" i="3"/>
  <c r="H488" i="3" s="1"/>
  <c r="BN488" i="3" s="1"/>
  <c r="F488" i="3"/>
  <c r="BM488" i="3" s="1"/>
  <c r="Q488" i="3"/>
  <c r="S488" i="3"/>
  <c r="O488" i="3"/>
  <c r="U488" i="3"/>
  <c r="AF488" i="3"/>
  <c r="M488" i="3"/>
  <c r="AD488" i="3"/>
  <c r="AE488" i="3"/>
  <c r="AM488" i="3"/>
  <c r="AK488" i="3"/>
  <c r="R488" i="3"/>
  <c r="T488" i="3"/>
  <c r="V488" i="3"/>
  <c r="P488" i="3"/>
  <c r="Y487" i="3"/>
  <c r="Z487" i="3" s="1"/>
  <c r="X487" i="3"/>
  <c r="AV485" i="3"/>
  <c r="BA485" i="3"/>
  <c r="BC485" i="3" l="1"/>
  <c r="AO488" i="3"/>
  <c r="BD485" i="3"/>
  <c r="BG485" i="3"/>
  <c r="BH485" i="3" s="1"/>
  <c r="BI485" i="3" s="1"/>
  <c r="AW487" i="3"/>
  <c r="AX487" i="3"/>
  <c r="AY486" i="3"/>
  <c r="BA486" i="3"/>
  <c r="AV486" i="3"/>
  <c r="AT487" i="3"/>
  <c r="Y488" i="3"/>
  <c r="Z488" i="3" s="1"/>
  <c r="AN488" i="3"/>
  <c r="AH488" i="3"/>
  <c r="X488" i="3"/>
  <c r="AQ489" i="3"/>
  <c r="B489" i="3"/>
  <c r="A490" i="3"/>
  <c r="AR489" i="3"/>
  <c r="D489" i="3"/>
  <c r="C489" i="3"/>
  <c r="G489" i="3"/>
  <c r="H489" i="3" s="1"/>
  <c r="BN489" i="3" s="1"/>
  <c r="F489" i="3"/>
  <c r="BM489" i="3" s="1"/>
  <c r="Q489" i="3"/>
  <c r="S489" i="3"/>
  <c r="O489" i="3"/>
  <c r="U489" i="3"/>
  <c r="AE489" i="3"/>
  <c r="AD489" i="3"/>
  <c r="M489" i="3"/>
  <c r="AK489" i="3"/>
  <c r="AF489" i="3"/>
  <c r="AM489" i="3"/>
  <c r="AN489" i="3" s="1"/>
  <c r="V489" i="3"/>
  <c r="P489" i="3"/>
  <c r="T489" i="3"/>
  <c r="R489" i="3"/>
  <c r="AG488" i="3"/>
  <c r="BF485" i="3"/>
  <c r="BJ484" i="3" s="1"/>
  <c r="BK484" i="3" s="1"/>
  <c r="BQ485" i="3"/>
  <c r="BB485" i="3"/>
  <c r="AY487" i="3" l="1"/>
  <c r="BC486" i="3"/>
  <c r="BD486" i="3" s="1"/>
  <c r="AO489" i="3"/>
  <c r="AW488" i="3"/>
  <c r="AX488" i="3"/>
  <c r="AH489" i="3"/>
  <c r="AX489" i="3" s="1"/>
  <c r="BB486" i="3"/>
  <c r="BQ486" i="3"/>
  <c r="BF486" i="3"/>
  <c r="BJ485" i="3" s="1"/>
  <c r="BK485" i="3" s="1"/>
  <c r="AU488" i="3"/>
  <c r="AG489" i="3"/>
  <c r="X489" i="3"/>
  <c r="AT488" i="3"/>
  <c r="Y489" i="3"/>
  <c r="Z489" i="3" s="1"/>
  <c r="AQ490" i="3"/>
  <c r="AR490" i="3"/>
  <c r="D490" i="3"/>
  <c r="C490" i="3"/>
  <c r="B490" i="3"/>
  <c r="A491" i="3"/>
  <c r="G490" i="3"/>
  <c r="H490" i="3" s="1"/>
  <c r="BN490" i="3" s="1"/>
  <c r="F490" i="3"/>
  <c r="Q490" i="3"/>
  <c r="S490" i="3"/>
  <c r="O490" i="3"/>
  <c r="U490" i="3"/>
  <c r="M490" i="3"/>
  <c r="AE490" i="3"/>
  <c r="AF490" i="3"/>
  <c r="AK490" i="3"/>
  <c r="AD490" i="3"/>
  <c r="AM490" i="3"/>
  <c r="V490" i="3"/>
  <c r="P490" i="3"/>
  <c r="T490" i="3"/>
  <c r="R490" i="3"/>
  <c r="AV487" i="3"/>
  <c r="BC487" i="3" s="1"/>
  <c r="BA487" i="3"/>
  <c r="BG486" i="3" l="1"/>
  <c r="BH486" i="3" s="1"/>
  <c r="BI486" i="3" s="1"/>
  <c r="AN490" i="3"/>
  <c r="AY488" i="3"/>
  <c r="AG490" i="3"/>
  <c r="BA488" i="3"/>
  <c r="AV488" i="3"/>
  <c r="BD487" i="3"/>
  <c r="BG487" i="3"/>
  <c r="BH487" i="3" s="1"/>
  <c r="BI487" i="3" s="1"/>
  <c r="X490" i="3"/>
  <c r="AU489" i="3"/>
  <c r="D491" i="3"/>
  <c r="C491" i="3"/>
  <c r="AR491" i="3"/>
  <c r="B491" i="3"/>
  <c r="AQ491" i="3"/>
  <c r="A492" i="3"/>
  <c r="G491" i="3"/>
  <c r="H491" i="3" s="1"/>
  <c r="F491" i="3"/>
  <c r="S491" i="3"/>
  <c r="Q491" i="3"/>
  <c r="O491" i="3"/>
  <c r="U491" i="3"/>
  <c r="AF491" i="3"/>
  <c r="AE491" i="3"/>
  <c r="M491" i="3"/>
  <c r="AD491" i="3"/>
  <c r="AM491" i="3"/>
  <c r="AK491" i="3"/>
  <c r="V491" i="3"/>
  <c r="P491" i="3"/>
  <c r="T491" i="3"/>
  <c r="R491" i="3"/>
  <c r="Y490" i="3"/>
  <c r="Z490" i="3" s="1"/>
  <c r="AH490" i="3"/>
  <c r="AT489" i="3"/>
  <c r="AW489" i="3"/>
  <c r="AY489" i="3" s="1"/>
  <c r="BQ487" i="3"/>
  <c r="BB487" i="3"/>
  <c r="BF487" i="3"/>
  <c r="BJ486" i="3" s="1"/>
  <c r="BK486" i="3" s="1"/>
  <c r="AO490" i="3"/>
  <c r="BM490" i="3"/>
  <c r="BM491" i="3" l="1"/>
  <c r="BN491" i="3"/>
  <c r="AU490" i="3"/>
  <c r="BC488" i="3"/>
  <c r="BG488" i="3" s="1"/>
  <c r="BH488" i="3" s="1"/>
  <c r="BI488" i="3" s="1"/>
  <c r="AH491" i="3"/>
  <c r="AG491" i="3"/>
  <c r="AT490" i="3"/>
  <c r="AW490" i="3"/>
  <c r="AO491" i="3"/>
  <c r="AV490" i="3"/>
  <c r="X491" i="3"/>
  <c r="BA489" i="3"/>
  <c r="AV489" i="3"/>
  <c r="BC489" i="3" s="1"/>
  <c r="B492" i="3"/>
  <c r="AQ492" i="3"/>
  <c r="AR492" i="3"/>
  <c r="A493" i="3"/>
  <c r="D492" i="3"/>
  <c r="C492" i="3"/>
  <c r="G492" i="3"/>
  <c r="H492" i="3" s="1"/>
  <c r="BN492" i="3" s="1"/>
  <c r="F492" i="3"/>
  <c r="BM492" i="3" s="1"/>
  <c r="Q492" i="3"/>
  <c r="S492" i="3"/>
  <c r="O492" i="3"/>
  <c r="U492" i="3"/>
  <c r="AF492" i="3"/>
  <c r="M492" i="3"/>
  <c r="AE492" i="3"/>
  <c r="AK492" i="3"/>
  <c r="AD492" i="3"/>
  <c r="AM492" i="3"/>
  <c r="AN492" i="3" s="1"/>
  <c r="V492" i="3"/>
  <c r="R492" i="3"/>
  <c r="T492" i="3"/>
  <c r="P492" i="3"/>
  <c r="Y491" i="3"/>
  <c r="Z491" i="3" s="1"/>
  <c r="AX490" i="3"/>
  <c r="AN491" i="3"/>
  <c r="BQ488" i="3"/>
  <c r="BB488" i="3"/>
  <c r="BF488" i="3"/>
  <c r="BJ487" i="3" s="1"/>
  <c r="BK487" i="3" s="1"/>
  <c r="AU491" i="3" l="1"/>
  <c r="AW491" i="3"/>
  <c r="AT491" i="3"/>
  <c r="AV491" i="3" s="1"/>
  <c r="AY490" i="3"/>
  <c r="BC490" i="3" s="1"/>
  <c r="BD488" i="3"/>
  <c r="X492" i="3"/>
  <c r="AQ493" i="3"/>
  <c r="B493" i="3"/>
  <c r="A494" i="3"/>
  <c r="AR493" i="3"/>
  <c r="C493" i="3"/>
  <c r="D493" i="3"/>
  <c r="G493" i="3"/>
  <c r="H493" i="3" s="1"/>
  <c r="F493" i="3"/>
  <c r="Q493" i="3"/>
  <c r="S493" i="3"/>
  <c r="O493" i="3"/>
  <c r="U493" i="3"/>
  <c r="AE493" i="3"/>
  <c r="AM493" i="3"/>
  <c r="M493" i="3"/>
  <c r="AD493" i="3"/>
  <c r="AF493" i="3"/>
  <c r="AK493" i="3"/>
  <c r="R493" i="3"/>
  <c r="V493" i="3"/>
  <c r="T493" i="3"/>
  <c r="P493" i="3"/>
  <c r="BF489" i="3"/>
  <c r="BJ488" i="3" s="1"/>
  <c r="BK488" i="3" s="1"/>
  <c r="BQ489" i="3"/>
  <c r="BB489" i="3"/>
  <c r="AX491" i="3"/>
  <c r="AO492" i="3"/>
  <c r="AG492" i="3"/>
  <c r="BA490" i="3"/>
  <c r="Y492" i="3"/>
  <c r="Z492" i="3" s="1"/>
  <c r="AH492" i="3"/>
  <c r="BD489" i="3"/>
  <c r="BG489" i="3"/>
  <c r="BH489" i="3" s="1"/>
  <c r="BI489" i="3" s="1"/>
  <c r="AY491" i="3" l="1"/>
  <c r="AN493" i="3"/>
  <c r="AW492" i="3"/>
  <c r="BA491" i="3"/>
  <c r="BF491" i="3" s="1"/>
  <c r="AG493" i="3"/>
  <c r="BN493" i="3"/>
  <c r="BD490" i="3"/>
  <c r="BG490" i="3"/>
  <c r="BH490" i="3" s="1"/>
  <c r="BI490" i="3" s="1"/>
  <c r="X493" i="3"/>
  <c r="AX492" i="3"/>
  <c r="AQ494" i="3"/>
  <c r="AR494" i="3"/>
  <c r="C494" i="3"/>
  <c r="D494" i="3"/>
  <c r="B494" i="3"/>
  <c r="A495" i="3"/>
  <c r="F494" i="3"/>
  <c r="G494" i="3"/>
  <c r="H494" i="3" s="1"/>
  <c r="Q494" i="3"/>
  <c r="S494" i="3"/>
  <c r="O494" i="3"/>
  <c r="U494" i="3"/>
  <c r="AE494" i="3"/>
  <c r="AK494" i="3"/>
  <c r="AO494" i="3" s="1"/>
  <c r="AD494" i="3"/>
  <c r="AF494" i="3"/>
  <c r="M494" i="3"/>
  <c r="AM494" i="3"/>
  <c r="T494" i="3"/>
  <c r="P494" i="3"/>
  <c r="R494" i="3"/>
  <c r="V494" i="3"/>
  <c r="Y493" i="3"/>
  <c r="Z493" i="3" s="1"/>
  <c r="BQ490" i="3"/>
  <c r="BF490" i="3"/>
  <c r="BJ489" i="3" s="1"/>
  <c r="BK489" i="3" s="1"/>
  <c r="BB490" i="3"/>
  <c r="AU492" i="3"/>
  <c r="AO493" i="3"/>
  <c r="AT492" i="3"/>
  <c r="BQ491" i="3"/>
  <c r="BC491" i="3"/>
  <c r="AH493" i="3"/>
  <c r="BM493" i="3"/>
  <c r="BM494" i="3" l="1"/>
  <c r="BB491" i="3"/>
  <c r="AY492" i="3"/>
  <c r="AU493" i="3"/>
  <c r="AT493" i="3"/>
  <c r="AV493" i="3" s="1"/>
  <c r="AH494" i="3"/>
  <c r="BJ490" i="3"/>
  <c r="BK490" i="3" s="1"/>
  <c r="D495" i="3"/>
  <c r="C495" i="3"/>
  <c r="AR495" i="3"/>
  <c r="B495" i="3"/>
  <c r="AQ495" i="3"/>
  <c r="A496" i="3"/>
  <c r="F495" i="3"/>
  <c r="G495" i="3"/>
  <c r="H495" i="3" s="1"/>
  <c r="Q495" i="3"/>
  <c r="S495" i="3"/>
  <c r="O495" i="3"/>
  <c r="U495" i="3"/>
  <c r="AD495" i="3"/>
  <c r="M495" i="3"/>
  <c r="AE495" i="3"/>
  <c r="AF495" i="3"/>
  <c r="AM495" i="3"/>
  <c r="AK495" i="3"/>
  <c r="AO495" i="3" s="1"/>
  <c r="R495" i="3"/>
  <c r="T495" i="3"/>
  <c r="P495" i="3"/>
  <c r="V495" i="3"/>
  <c r="Y494" i="3"/>
  <c r="Z494" i="3" s="1"/>
  <c r="AG494" i="3"/>
  <c r="AU494" i="3" s="1"/>
  <c r="X494" i="3"/>
  <c r="AW493" i="3"/>
  <c r="AN494" i="3"/>
  <c r="BD491" i="3"/>
  <c r="BG491" i="3"/>
  <c r="BH491" i="3" s="1"/>
  <c r="BI491" i="3" s="1"/>
  <c r="AV492" i="3"/>
  <c r="BC492" i="3" s="1"/>
  <c r="BA492" i="3"/>
  <c r="AX493" i="3"/>
  <c r="BN494" i="3"/>
  <c r="BA493" i="3" l="1"/>
  <c r="BQ493" i="3" s="1"/>
  <c r="AT494" i="3"/>
  <c r="AV494" i="3" s="1"/>
  <c r="AX494" i="3"/>
  <c r="BN495" i="3"/>
  <c r="BM495" i="3"/>
  <c r="BF493" i="3"/>
  <c r="B496" i="3"/>
  <c r="AQ496" i="3"/>
  <c r="AR496" i="3"/>
  <c r="A497" i="3"/>
  <c r="C496" i="3"/>
  <c r="D496" i="3"/>
  <c r="F496" i="3"/>
  <c r="G496" i="3"/>
  <c r="H496" i="3" s="1"/>
  <c r="BN496" i="3" s="1"/>
  <c r="Q496" i="3"/>
  <c r="S496" i="3"/>
  <c r="O496" i="3"/>
  <c r="U496" i="3"/>
  <c r="M496" i="3"/>
  <c r="AF496" i="3"/>
  <c r="AE496" i="3"/>
  <c r="AD496" i="3"/>
  <c r="AK496" i="3"/>
  <c r="AM496" i="3"/>
  <c r="AN496" i="3" s="1"/>
  <c r="T496" i="3"/>
  <c r="V496" i="3"/>
  <c r="P496" i="3"/>
  <c r="R496" i="3"/>
  <c r="AH495" i="3"/>
  <c r="Y495" i="3"/>
  <c r="Z495" i="3" s="1"/>
  <c r="X495" i="3"/>
  <c r="AY493" i="3"/>
  <c r="BC493" i="3" s="1"/>
  <c r="BQ492" i="3"/>
  <c r="BB492" i="3"/>
  <c r="BF492" i="3"/>
  <c r="BJ491" i="3" s="1"/>
  <c r="BK491" i="3" s="1"/>
  <c r="BD492" i="3"/>
  <c r="BG492" i="3"/>
  <c r="BH492" i="3" s="1"/>
  <c r="BI492" i="3" s="1"/>
  <c r="AG495" i="3"/>
  <c r="AW494" i="3"/>
  <c r="AN495" i="3"/>
  <c r="BB493" i="3" l="1"/>
  <c r="AY494" i="3"/>
  <c r="BC494" i="3" s="1"/>
  <c r="AH496" i="3"/>
  <c r="X496" i="3"/>
  <c r="AW495" i="3"/>
  <c r="BA494" i="3"/>
  <c r="BB494" i="3" s="1"/>
  <c r="AT495" i="3"/>
  <c r="AQ497" i="3"/>
  <c r="B497" i="3"/>
  <c r="A498" i="3"/>
  <c r="AR497" i="3"/>
  <c r="C497" i="3"/>
  <c r="D497" i="3"/>
  <c r="F497" i="3"/>
  <c r="G497" i="3"/>
  <c r="H497" i="3" s="1"/>
  <c r="Q497" i="3"/>
  <c r="S497" i="3"/>
  <c r="O497" i="3"/>
  <c r="U497" i="3"/>
  <c r="AD497" i="3"/>
  <c r="M497" i="3"/>
  <c r="AK497" i="3"/>
  <c r="AE497" i="3"/>
  <c r="AF497" i="3"/>
  <c r="AM497" i="3"/>
  <c r="P497" i="3"/>
  <c r="R497" i="3"/>
  <c r="T497" i="3"/>
  <c r="V497" i="3"/>
  <c r="AO496" i="3"/>
  <c r="BD493" i="3"/>
  <c r="BG493" i="3"/>
  <c r="BH493" i="3" s="1"/>
  <c r="BI493" i="3" s="1"/>
  <c r="BJ492" i="3"/>
  <c r="BK492" i="3" s="1"/>
  <c r="Y496" i="3"/>
  <c r="Z496" i="3" s="1"/>
  <c r="BM496" i="3"/>
  <c r="AU495" i="3"/>
  <c r="AX495" i="3"/>
  <c r="AG496" i="3"/>
  <c r="AN497" i="3" l="1"/>
  <c r="BQ494" i="3"/>
  <c r="AU496" i="3"/>
  <c r="BD494" i="3"/>
  <c r="BG494" i="3"/>
  <c r="BH494" i="3" s="1"/>
  <c r="BI494" i="3" s="1"/>
  <c r="BF494" i="3"/>
  <c r="BJ493" i="3" s="1"/>
  <c r="BK493" i="3" s="1"/>
  <c r="AV495" i="3"/>
  <c r="AY495" i="3"/>
  <c r="Y497" i="3"/>
  <c r="Z497" i="3" s="1"/>
  <c r="AQ498" i="3"/>
  <c r="AR498" i="3"/>
  <c r="C498" i="3"/>
  <c r="D498" i="3"/>
  <c r="B498" i="3"/>
  <c r="A499" i="3"/>
  <c r="G498" i="3"/>
  <c r="H498" i="3" s="1"/>
  <c r="F498" i="3"/>
  <c r="Q498" i="3"/>
  <c r="S498" i="3"/>
  <c r="O498" i="3"/>
  <c r="U498" i="3"/>
  <c r="AD498" i="3"/>
  <c r="AF498" i="3"/>
  <c r="AK498" i="3"/>
  <c r="M498" i="3"/>
  <c r="AE498" i="3"/>
  <c r="AM498" i="3"/>
  <c r="P498" i="3"/>
  <c r="V498" i="3"/>
  <c r="T498" i="3"/>
  <c r="R498" i="3"/>
  <c r="X497" i="3"/>
  <c r="AG497" i="3"/>
  <c r="BN497" i="3"/>
  <c r="BA495" i="3"/>
  <c r="AH497" i="3"/>
  <c r="AW496" i="3"/>
  <c r="AX496" i="3"/>
  <c r="AT496" i="3"/>
  <c r="AO497" i="3"/>
  <c r="BM497" i="3"/>
  <c r="BC495" i="3" l="1"/>
  <c r="BD495" i="3" s="1"/>
  <c r="AN498" i="3"/>
  <c r="AX497" i="3"/>
  <c r="BG495" i="3"/>
  <c r="BH495" i="3" s="1"/>
  <c r="BI495" i="3" s="1"/>
  <c r="AG498" i="3"/>
  <c r="Y498" i="3"/>
  <c r="Z498" i="3" s="1"/>
  <c r="X498" i="3"/>
  <c r="BF495" i="3"/>
  <c r="BJ494" i="3" s="1"/>
  <c r="BK494" i="3" s="1"/>
  <c r="BB495" i="3"/>
  <c r="BQ495" i="3"/>
  <c r="BM498" i="3"/>
  <c r="AT497" i="3"/>
  <c r="AO498" i="3"/>
  <c r="BN498" i="3"/>
  <c r="AW497" i="3"/>
  <c r="AV496" i="3"/>
  <c r="BA496" i="3"/>
  <c r="AU497" i="3"/>
  <c r="D499" i="3"/>
  <c r="C499" i="3"/>
  <c r="AR499" i="3"/>
  <c r="B499" i="3"/>
  <c r="AQ499" i="3"/>
  <c r="A500" i="3"/>
  <c r="F499" i="3"/>
  <c r="G499" i="3"/>
  <c r="H499" i="3" s="1"/>
  <c r="Q499" i="3"/>
  <c r="S499" i="3"/>
  <c r="O499" i="3"/>
  <c r="U499" i="3"/>
  <c r="M499" i="3"/>
  <c r="AF499" i="3"/>
  <c r="AD499" i="3"/>
  <c r="AE499" i="3"/>
  <c r="AK499" i="3"/>
  <c r="AM499" i="3"/>
  <c r="AN499" i="3" s="1"/>
  <c r="T499" i="3"/>
  <c r="V499" i="3"/>
  <c r="P499" i="3"/>
  <c r="R499" i="3"/>
  <c r="AY496" i="3"/>
  <c r="AH498" i="3"/>
  <c r="BN499" i="3" l="1"/>
  <c r="BM499" i="3"/>
  <c r="AX498" i="3"/>
  <c r="AY497" i="3"/>
  <c r="AG499" i="3"/>
  <c r="BF496" i="3"/>
  <c r="BJ495" i="3" s="1"/>
  <c r="BK495" i="3" s="1"/>
  <c r="BB496" i="3"/>
  <c r="BQ496" i="3"/>
  <c r="BC496" i="3"/>
  <c r="AU498" i="3"/>
  <c r="B500" i="3"/>
  <c r="AQ500" i="3"/>
  <c r="AR500" i="3"/>
  <c r="A501" i="3"/>
  <c r="D500" i="3"/>
  <c r="C500" i="3"/>
  <c r="F500" i="3"/>
  <c r="G500" i="3"/>
  <c r="H500" i="3" s="1"/>
  <c r="Q500" i="3"/>
  <c r="S500" i="3"/>
  <c r="O500" i="3"/>
  <c r="U500" i="3"/>
  <c r="AF500" i="3"/>
  <c r="AD500" i="3"/>
  <c r="AE500" i="3"/>
  <c r="M500" i="3"/>
  <c r="AK500" i="3"/>
  <c r="AM500" i="3"/>
  <c r="V500" i="3"/>
  <c r="P500" i="3"/>
  <c r="T500" i="3"/>
  <c r="R500" i="3"/>
  <c r="AW498" i="3"/>
  <c r="AY498" i="3" s="1"/>
  <c r="Y499" i="3"/>
  <c r="Z499" i="3" s="1"/>
  <c r="X499" i="3"/>
  <c r="AT498" i="3"/>
  <c r="AH499" i="3"/>
  <c r="AO499" i="3"/>
  <c r="BA497" i="3"/>
  <c r="AV497" i="3"/>
  <c r="BN500" i="3" l="1"/>
  <c r="BM500" i="3"/>
  <c r="AN500" i="3"/>
  <c r="AW499" i="3"/>
  <c r="BC497" i="3"/>
  <c r="BG497" i="3" s="1"/>
  <c r="BH497" i="3" s="1"/>
  <c r="BI497" i="3" s="1"/>
  <c r="AV498" i="3"/>
  <c r="BC498" i="3" s="1"/>
  <c r="BA498" i="3"/>
  <c r="AO500" i="3"/>
  <c r="BD496" i="3"/>
  <c r="BG496" i="3"/>
  <c r="BH496" i="3" s="1"/>
  <c r="BI496" i="3" s="1"/>
  <c r="BF497" i="3"/>
  <c r="BJ496" i="3" s="1"/>
  <c r="BK496" i="3" s="1"/>
  <c r="BB497" i="3"/>
  <c r="BQ497" i="3"/>
  <c r="AX499" i="3"/>
  <c r="AY499" i="3" s="1"/>
  <c r="AG500" i="3"/>
  <c r="Y500" i="3"/>
  <c r="Z500" i="3" s="1"/>
  <c r="AH500" i="3"/>
  <c r="AU500" i="3" s="1"/>
  <c r="AT499" i="3"/>
  <c r="AU499" i="3"/>
  <c r="X500" i="3"/>
  <c r="AQ501" i="3"/>
  <c r="B501" i="3"/>
  <c r="A502" i="3"/>
  <c r="AR501" i="3"/>
  <c r="C501" i="3"/>
  <c r="D501" i="3"/>
  <c r="G501" i="3"/>
  <c r="H501" i="3" s="1"/>
  <c r="BN501" i="3" s="1"/>
  <c r="F501" i="3"/>
  <c r="Q501" i="3"/>
  <c r="S501" i="3"/>
  <c r="O501" i="3"/>
  <c r="U501" i="3"/>
  <c r="AF501" i="3"/>
  <c r="AD501" i="3"/>
  <c r="M501" i="3"/>
  <c r="AE501" i="3"/>
  <c r="AM501" i="3"/>
  <c r="AK501" i="3"/>
  <c r="V501" i="3"/>
  <c r="R501" i="3"/>
  <c r="T501" i="3"/>
  <c r="P501" i="3"/>
  <c r="AO501" i="3" l="1"/>
  <c r="BD497" i="3"/>
  <c r="BM501" i="3"/>
  <c r="X501" i="3"/>
  <c r="AW500" i="3"/>
  <c r="AG501" i="3"/>
  <c r="Y501" i="3"/>
  <c r="Z501" i="3" s="1"/>
  <c r="AQ502" i="3"/>
  <c r="AR502" i="3"/>
  <c r="C502" i="3"/>
  <c r="D502" i="3"/>
  <c r="B502" i="3"/>
  <c r="A503" i="3"/>
  <c r="G502" i="3"/>
  <c r="H502" i="3" s="1"/>
  <c r="BN502" i="3" s="1"/>
  <c r="F502" i="3"/>
  <c r="Q502" i="3"/>
  <c r="S502" i="3"/>
  <c r="O502" i="3"/>
  <c r="U502" i="3"/>
  <c r="AE502" i="3"/>
  <c r="M502" i="3"/>
  <c r="AD502" i="3"/>
  <c r="AF502" i="3"/>
  <c r="AK502" i="3"/>
  <c r="AM502" i="3"/>
  <c r="V502" i="3"/>
  <c r="P502" i="3"/>
  <c r="T502" i="3"/>
  <c r="R502" i="3"/>
  <c r="AN501" i="3"/>
  <c r="BQ498" i="3"/>
  <c r="BF498" i="3"/>
  <c r="BJ497" i="3" s="1"/>
  <c r="BK497" i="3" s="1"/>
  <c r="BB498" i="3"/>
  <c r="AH501" i="3"/>
  <c r="BA499" i="3"/>
  <c r="AV499" i="3"/>
  <c r="BC499" i="3" s="1"/>
  <c r="BD498" i="3"/>
  <c r="BG498" i="3"/>
  <c r="BH498" i="3" s="1"/>
  <c r="BI498" i="3" s="1"/>
  <c r="AX500" i="3"/>
  <c r="AT500" i="3"/>
  <c r="AN502" i="3" l="1"/>
  <c r="AX501" i="3"/>
  <c r="AY500" i="3"/>
  <c r="AT501" i="3"/>
  <c r="AH502" i="3"/>
  <c r="AV500" i="3"/>
  <c r="BA500" i="3"/>
  <c r="AG502" i="3"/>
  <c r="C503" i="3"/>
  <c r="D503" i="3"/>
  <c r="AR503" i="3"/>
  <c r="B503" i="3"/>
  <c r="AQ503" i="3"/>
  <c r="A504" i="3"/>
  <c r="F503" i="3"/>
  <c r="G503" i="3"/>
  <c r="H503" i="3" s="1"/>
  <c r="Q503" i="3"/>
  <c r="S503" i="3"/>
  <c r="O503" i="3"/>
  <c r="U503" i="3"/>
  <c r="AF503" i="3"/>
  <c r="M503" i="3"/>
  <c r="AE503" i="3"/>
  <c r="AD503" i="3"/>
  <c r="AM503" i="3"/>
  <c r="AK503" i="3"/>
  <c r="AO503" i="3" s="1"/>
  <c r="R503" i="3"/>
  <c r="P503" i="3"/>
  <c r="T503" i="3"/>
  <c r="V503" i="3"/>
  <c r="X502" i="3"/>
  <c r="Y502" i="3"/>
  <c r="Z502" i="3" s="1"/>
  <c r="AW501" i="3"/>
  <c r="BD499" i="3"/>
  <c r="BG499" i="3"/>
  <c r="BH499" i="3" s="1"/>
  <c r="BI499" i="3" s="1"/>
  <c r="AO502" i="3"/>
  <c r="AU501" i="3"/>
  <c r="BB499" i="3"/>
  <c r="BQ499" i="3"/>
  <c r="BF499" i="3"/>
  <c r="BJ498" i="3" s="1"/>
  <c r="BK498" i="3" s="1"/>
  <c r="BM502" i="3"/>
  <c r="AY501" i="3" l="1"/>
  <c r="BC500" i="3"/>
  <c r="BD500" i="3" s="1"/>
  <c r="AV501" i="3"/>
  <c r="BC501" i="3" s="1"/>
  <c r="BN503" i="3"/>
  <c r="AT502" i="3"/>
  <c r="AU502" i="3"/>
  <c r="AX502" i="3"/>
  <c r="X503" i="3"/>
  <c r="AN503" i="3"/>
  <c r="BA501" i="3"/>
  <c r="AW502" i="3"/>
  <c r="AG503" i="3"/>
  <c r="BM503" i="3"/>
  <c r="BF500" i="3"/>
  <c r="BJ499" i="3" s="1"/>
  <c r="BK499" i="3" s="1"/>
  <c r="BQ500" i="3"/>
  <c r="BB500" i="3"/>
  <c r="AH503" i="3"/>
  <c r="Y503" i="3"/>
  <c r="Z503" i="3" s="1"/>
  <c r="B504" i="3"/>
  <c r="AQ504" i="3"/>
  <c r="AR504" i="3"/>
  <c r="A505" i="3"/>
  <c r="D504" i="3"/>
  <c r="C504" i="3"/>
  <c r="F504" i="3"/>
  <c r="G504" i="3"/>
  <c r="H504" i="3" s="1"/>
  <c r="Q504" i="3"/>
  <c r="S504" i="3"/>
  <c r="O504" i="3"/>
  <c r="U504" i="3"/>
  <c r="M504" i="3"/>
  <c r="AE504" i="3"/>
  <c r="AD504" i="3"/>
  <c r="AK504" i="3"/>
  <c r="AF504" i="3"/>
  <c r="AM504" i="3"/>
  <c r="T504" i="3"/>
  <c r="R504" i="3"/>
  <c r="V504" i="3"/>
  <c r="P504" i="3"/>
  <c r="BM504" i="3" l="1"/>
  <c r="AV502" i="3"/>
  <c r="BG500" i="3"/>
  <c r="BH500" i="3" s="1"/>
  <c r="BI500" i="3" s="1"/>
  <c r="BA502" i="3"/>
  <c r="BF502" i="3" s="1"/>
  <c r="AG504" i="3"/>
  <c r="AY502" i="3"/>
  <c r="BC502" i="3" s="1"/>
  <c r="Y504" i="3"/>
  <c r="Z504" i="3" s="1"/>
  <c r="AH504" i="3"/>
  <c r="AU504" i="3" s="1"/>
  <c r="AX503" i="3"/>
  <c r="AN504" i="3"/>
  <c r="AT503" i="3"/>
  <c r="X504" i="3"/>
  <c r="AW503" i="3"/>
  <c r="AU503" i="3"/>
  <c r="AQ505" i="3"/>
  <c r="B505" i="3"/>
  <c r="A506" i="3"/>
  <c r="AR505" i="3"/>
  <c r="D505" i="3"/>
  <c r="C505" i="3"/>
  <c r="G505" i="3"/>
  <c r="H505" i="3" s="1"/>
  <c r="BN505" i="3" s="1"/>
  <c r="F505" i="3"/>
  <c r="BM505" i="3" s="1"/>
  <c r="Q505" i="3"/>
  <c r="S505" i="3"/>
  <c r="O505" i="3"/>
  <c r="U505" i="3"/>
  <c r="AK505" i="3"/>
  <c r="AE505" i="3"/>
  <c r="M505" i="3"/>
  <c r="AD505" i="3"/>
  <c r="AF505" i="3"/>
  <c r="AM505" i="3"/>
  <c r="T505" i="3"/>
  <c r="P505" i="3"/>
  <c r="R505" i="3"/>
  <c r="V505" i="3"/>
  <c r="AO504" i="3"/>
  <c r="BN504" i="3"/>
  <c r="BQ501" i="3"/>
  <c r="BB501" i="3"/>
  <c r="BF501" i="3"/>
  <c r="BD501" i="3"/>
  <c r="BG501" i="3"/>
  <c r="BH501" i="3" s="1"/>
  <c r="BI501" i="3" s="1"/>
  <c r="BB502" i="3" l="1"/>
  <c r="BQ502" i="3"/>
  <c r="AY503" i="3"/>
  <c r="AT504" i="3"/>
  <c r="AV504" i="3" s="1"/>
  <c r="AW504" i="3"/>
  <c r="AN505" i="3"/>
  <c r="AQ506" i="3"/>
  <c r="AR506" i="3"/>
  <c r="C506" i="3"/>
  <c r="D506" i="3"/>
  <c r="B506" i="3"/>
  <c r="A507" i="3"/>
  <c r="G506" i="3"/>
  <c r="H506" i="3" s="1"/>
  <c r="F506" i="3"/>
  <c r="Q506" i="3"/>
  <c r="S506" i="3"/>
  <c r="O506" i="3"/>
  <c r="U506" i="3"/>
  <c r="AF506" i="3"/>
  <c r="AD506" i="3"/>
  <c r="AE506" i="3"/>
  <c r="AK506" i="3"/>
  <c r="M506" i="3"/>
  <c r="AM506" i="3"/>
  <c r="AN506" i="3" s="1"/>
  <c r="T506" i="3"/>
  <c r="P506" i="3"/>
  <c r="R506" i="3"/>
  <c r="V506" i="3"/>
  <c r="AX504" i="3"/>
  <c r="BJ501" i="3"/>
  <c r="BK501" i="3" s="1"/>
  <c r="BJ500" i="3"/>
  <c r="BK500" i="3" s="1"/>
  <c r="BD502" i="3"/>
  <c r="BG502" i="3"/>
  <c r="BH502" i="3" s="1"/>
  <c r="BI502" i="3" s="1"/>
  <c r="AH505" i="3"/>
  <c r="AG505" i="3"/>
  <c r="AO505" i="3"/>
  <c r="Y505" i="3"/>
  <c r="Z505" i="3" s="1"/>
  <c r="X505" i="3"/>
  <c r="BA503" i="3"/>
  <c r="AV503" i="3"/>
  <c r="BC503" i="3" s="1"/>
  <c r="X506" i="3" l="1"/>
  <c r="AY504" i="3"/>
  <c r="BC504" i="3" s="1"/>
  <c r="AG506" i="3"/>
  <c r="AX505" i="3"/>
  <c r="BN506" i="3"/>
  <c r="Y506" i="3"/>
  <c r="Z506" i="3" s="1"/>
  <c r="BD503" i="3"/>
  <c r="BG503" i="3"/>
  <c r="BH503" i="3" s="1"/>
  <c r="BI503" i="3" s="1"/>
  <c r="BQ503" i="3"/>
  <c r="BB503" i="3"/>
  <c r="BF503" i="3"/>
  <c r="BJ502" i="3" s="1"/>
  <c r="BK502" i="3" s="1"/>
  <c r="D507" i="3"/>
  <c r="C507" i="3"/>
  <c r="AR507" i="3"/>
  <c r="B507" i="3"/>
  <c r="AQ507" i="3"/>
  <c r="A508" i="3"/>
  <c r="G507" i="3"/>
  <c r="H507" i="3" s="1"/>
  <c r="F507" i="3"/>
  <c r="Q507" i="3"/>
  <c r="S507" i="3"/>
  <c r="O507" i="3"/>
  <c r="U507" i="3"/>
  <c r="AE507" i="3"/>
  <c r="M507" i="3"/>
  <c r="AD507" i="3"/>
  <c r="AK507" i="3"/>
  <c r="AM507" i="3"/>
  <c r="AF507" i="3"/>
  <c r="P507" i="3"/>
  <c r="T507" i="3"/>
  <c r="R507" i="3"/>
  <c r="V507" i="3"/>
  <c r="BA504" i="3"/>
  <c r="AH506" i="3"/>
  <c r="AT505" i="3"/>
  <c r="AU505" i="3"/>
  <c r="AW505" i="3"/>
  <c r="AY505" i="3" s="1"/>
  <c r="AO506" i="3"/>
  <c r="BM506" i="3"/>
  <c r="X507" i="3" l="1"/>
  <c r="AN507" i="3"/>
  <c r="AG507" i="3"/>
  <c r="AW506" i="3"/>
  <c r="AV505" i="3"/>
  <c r="BC505" i="3" s="1"/>
  <c r="BA505" i="3"/>
  <c r="BD504" i="3"/>
  <c r="BG504" i="3"/>
  <c r="BH504" i="3" s="1"/>
  <c r="BI504" i="3" s="1"/>
  <c r="AO507" i="3"/>
  <c r="BM507" i="3"/>
  <c r="AT506" i="3"/>
  <c r="AX506" i="3"/>
  <c r="BN507" i="3"/>
  <c r="AU506" i="3"/>
  <c r="BB504" i="3"/>
  <c r="BQ504" i="3"/>
  <c r="BF504" i="3"/>
  <c r="BJ503" i="3" s="1"/>
  <c r="BK503" i="3" s="1"/>
  <c r="AH507" i="3"/>
  <c r="Y507" i="3"/>
  <c r="Z507" i="3" s="1"/>
  <c r="B508" i="3"/>
  <c r="AQ508" i="3"/>
  <c r="AR508" i="3"/>
  <c r="A509" i="3"/>
  <c r="D508" i="3"/>
  <c r="C508" i="3"/>
  <c r="G508" i="3"/>
  <c r="H508" i="3" s="1"/>
  <c r="F508" i="3"/>
  <c r="Q508" i="3"/>
  <c r="S508" i="3"/>
  <c r="O508" i="3"/>
  <c r="U508" i="3"/>
  <c r="AF508" i="3"/>
  <c r="AE508" i="3"/>
  <c r="AD508" i="3"/>
  <c r="M508" i="3"/>
  <c r="AK508" i="3"/>
  <c r="AM508" i="3"/>
  <c r="T508" i="3"/>
  <c r="P508" i="3"/>
  <c r="R508" i="3"/>
  <c r="V508" i="3"/>
  <c r="AN508" i="3" l="1"/>
  <c r="X508" i="3"/>
  <c r="BM508" i="3"/>
  <c r="BN508" i="3"/>
  <c r="AY506" i="3"/>
  <c r="AX507" i="3"/>
  <c r="AH508" i="3"/>
  <c r="AQ509" i="3"/>
  <c r="B509" i="3"/>
  <c r="A510" i="3"/>
  <c r="AR509" i="3"/>
  <c r="C509" i="3"/>
  <c r="D509" i="3"/>
  <c r="G509" i="3"/>
  <c r="H509" i="3" s="1"/>
  <c r="BN509" i="3" s="1"/>
  <c r="F509" i="3"/>
  <c r="BM509" i="3" s="1"/>
  <c r="Q509" i="3"/>
  <c r="S509" i="3"/>
  <c r="O509" i="3"/>
  <c r="U509" i="3"/>
  <c r="AF509" i="3"/>
  <c r="AD509" i="3"/>
  <c r="M509" i="3"/>
  <c r="AK509" i="3"/>
  <c r="AE509" i="3"/>
  <c r="AM509" i="3"/>
  <c r="P509" i="3"/>
  <c r="T509" i="3"/>
  <c r="R509" i="3"/>
  <c r="V509" i="3"/>
  <c r="BB505" i="3"/>
  <c r="BF505" i="3"/>
  <c r="BJ504" i="3" s="1"/>
  <c r="BK504" i="3" s="1"/>
  <c r="BQ505" i="3"/>
  <c r="BA506" i="3"/>
  <c r="AV506" i="3"/>
  <c r="BD505" i="3"/>
  <c r="BG505" i="3"/>
  <c r="BH505" i="3" s="1"/>
  <c r="BI505" i="3" s="1"/>
  <c r="AT507" i="3"/>
  <c r="AO508" i="3"/>
  <c r="Y508" i="3"/>
  <c r="Z508" i="3" s="1"/>
  <c r="AU507" i="3"/>
  <c r="AG508" i="3"/>
  <c r="AW507" i="3"/>
  <c r="AW508" i="3" l="1"/>
  <c r="AY507" i="3"/>
  <c r="BC506" i="3"/>
  <c r="BG506" i="3" s="1"/>
  <c r="BH506" i="3" s="1"/>
  <c r="BI506" i="3" s="1"/>
  <c r="AX508" i="3"/>
  <c r="AY508" i="3" s="1"/>
  <c r="AH509" i="3"/>
  <c r="AO509" i="3"/>
  <c r="Y509" i="3"/>
  <c r="Z509" i="3" s="1"/>
  <c r="BD506" i="3"/>
  <c r="AQ510" i="3"/>
  <c r="AR510" i="3"/>
  <c r="D510" i="3"/>
  <c r="C510" i="3"/>
  <c r="B510" i="3"/>
  <c r="A511" i="3"/>
  <c r="G510" i="3"/>
  <c r="H510" i="3" s="1"/>
  <c r="BN510" i="3" s="1"/>
  <c r="F510" i="3"/>
  <c r="BM510" i="3" s="1"/>
  <c r="Q510" i="3"/>
  <c r="S510" i="3"/>
  <c r="O510" i="3"/>
  <c r="U510" i="3"/>
  <c r="AE510" i="3"/>
  <c r="M510" i="3"/>
  <c r="AF510" i="3"/>
  <c r="AD510" i="3"/>
  <c r="AM510" i="3"/>
  <c r="AK510" i="3"/>
  <c r="P510" i="3"/>
  <c r="T510" i="3"/>
  <c r="V510" i="3"/>
  <c r="R510" i="3"/>
  <c r="BB506" i="3"/>
  <c r="BQ506" i="3"/>
  <c r="BF506" i="3"/>
  <c r="BJ505" i="3" s="1"/>
  <c r="BK505" i="3" s="1"/>
  <c r="X509" i="3"/>
  <c r="AT508" i="3"/>
  <c r="AN509" i="3"/>
  <c r="AU508" i="3"/>
  <c r="AV507" i="3"/>
  <c r="BC507" i="3" s="1"/>
  <c r="BA507" i="3"/>
  <c r="AG509" i="3"/>
  <c r="AU509" i="3" l="1"/>
  <c r="AH510" i="3"/>
  <c r="AN510" i="3"/>
  <c r="D511" i="3"/>
  <c r="C511" i="3"/>
  <c r="AR511" i="3"/>
  <c r="B511" i="3"/>
  <c r="AQ511" i="3"/>
  <c r="A512" i="3"/>
  <c r="G511" i="3"/>
  <c r="H511" i="3" s="1"/>
  <c r="F511" i="3"/>
  <c r="Q511" i="3"/>
  <c r="S511" i="3"/>
  <c r="O511" i="3"/>
  <c r="U511" i="3"/>
  <c r="AF511" i="3"/>
  <c r="AD511" i="3"/>
  <c r="AE511" i="3"/>
  <c r="AK511" i="3"/>
  <c r="M511" i="3"/>
  <c r="AM511" i="3"/>
  <c r="AN511" i="3" s="1"/>
  <c r="R511" i="3"/>
  <c r="P511" i="3"/>
  <c r="T511" i="3"/>
  <c r="V511" i="3"/>
  <c r="AT509" i="3"/>
  <c r="BD507" i="3"/>
  <c r="BG507" i="3"/>
  <c r="BH507" i="3" s="1"/>
  <c r="BI507" i="3" s="1"/>
  <c r="AG510" i="3"/>
  <c r="AW509" i="3"/>
  <c r="AV508" i="3"/>
  <c r="BC508" i="3" s="1"/>
  <c r="BA508" i="3"/>
  <c r="X510" i="3"/>
  <c r="Y510" i="3"/>
  <c r="Z510" i="3" s="1"/>
  <c r="BF507" i="3"/>
  <c r="BJ506" i="3" s="1"/>
  <c r="BK506" i="3" s="1"/>
  <c r="BB507" i="3"/>
  <c r="BQ507" i="3"/>
  <c r="AX509" i="3"/>
  <c r="AO510" i="3"/>
  <c r="AT510" i="3"/>
  <c r="BN511" i="3" l="1"/>
  <c r="X511" i="3"/>
  <c r="AG511" i="3"/>
  <c r="AY509" i="3"/>
  <c r="BD508" i="3"/>
  <c r="BG508" i="3"/>
  <c r="BH508" i="3" s="1"/>
  <c r="BI508" i="3" s="1"/>
  <c r="Y511" i="3"/>
  <c r="Z511" i="3" s="1"/>
  <c r="AH511" i="3"/>
  <c r="AU511" i="3" s="1"/>
  <c r="AW510" i="3"/>
  <c r="BA509" i="3"/>
  <c r="AV509" i="3"/>
  <c r="B512" i="3"/>
  <c r="AQ512" i="3"/>
  <c r="AR512" i="3"/>
  <c r="A513" i="3"/>
  <c r="C512" i="3"/>
  <c r="D512" i="3"/>
  <c r="F512" i="3"/>
  <c r="G512" i="3"/>
  <c r="H512" i="3" s="1"/>
  <c r="Q512" i="3"/>
  <c r="S512" i="3"/>
  <c r="O512" i="3"/>
  <c r="U512" i="3"/>
  <c r="AF512" i="3"/>
  <c r="M512" i="3"/>
  <c r="AE512" i="3"/>
  <c r="AK512" i="3"/>
  <c r="AM512" i="3"/>
  <c r="AD512" i="3"/>
  <c r="T512" i="3"/>
  <c r="R512" i="3"/>
  <c r="P512" i="3"/>
  <c r="V512" i="3"/>
  <c r="BF508" i="3"/>
  <c r="BJ507" i="3" s="1"/>
  <c r="BK507" i="3" s="1"/>
  <c r="BQ508" i="3"/>
  <c r="BB508" i="3"/>
  <c r="AX510" i="3"/>
  <c r="AO511" i="3"/>
  <c r="BM511" i="3"/>
  <c r="AU510" i="3"/>
  <c r="AV510" i="3" s="1"/>
  <c r="BM512" i="3" l="1"/>
  <c r="AT511" i="3"/>
  <c r="BC509" i="3"/>
  <c r="AG512" i="3"/>
  <c r="AO512" i="3"/>
  <c r="Y512" i="3"/>
  <c r="Z512" i="3" s="1"/>
  <c r="BF509" i="3"/>
  <c r="BJ508" i="3" s="1"/>
  <c r="BK508" i="3" s="1"/>
  <c r="BB509" i="3"/>
  <c r="BQ509" i="3"/>
  <c r="AY510" i="3"/>
  <c r="BC510" i="3" s="1"/>
  <c r="X512" i="3"/>
  <c r="AQ513" i="3"/>
  <c r="B513" i="3"/>
  <c r="A514" i="3"/>
  <c r="AR513" i="3"/>
  <c r="C513" i="3"/>
  <c r="D513" i="3"/>
  <c r="F513" i="3"/>
  <c r="G513" i="3"/>
  <c r="H513" i="3" s="1"/>
  <c r="BN513" i="3" s="1"/>
  <c r="Q513" i="3"/>
  <c r="S513" i="3"/>
  <c r="O513" i="3"/>
  <c r="U513" i="3"/>
  <c r="AM513" i="3"/>
  <c r="AD513" i="3"/>
  <c r="AE513" i="3"/>
  <c r="AF513" i="3"/>
  <c r="M513" i="3"/>
  <c r="AK513" i="3"/>
  <c r="T513" i="3"/>
  <c r="R513" i="3"/>
  <c r="V513" i="3"/>
  <c r="P513" i="3"/>
  <c r="AX511" i="3"/>
  <c r="AH512" i="3"/>
  <c r="AN512" i="3"/>
  <c r="AV511" i="3"/>
  <c r="BA510" i="3"/>
  <c r="BN512" i="3"/>
  <c r="BD509" i="3"/>
  <c r="BG509" i="3"/>
  <c r="BH509" i="3" s="1"/>
  <c r="BI509" i="3" s="1"/>
  <c r="AW511" i="3"/>
  <c r="BM513" i="3" l="1"/>
  <c r="AO513" i="3"/>
  <c r="AX512" i="3"/>
  <c r="BA511" i="3"/>
  <c r="BF511" i="3" s="1"/>
  <c r="BD510" i="3"/>
  <c r="BG510" i="3"/>
  <c r="BH510" i="3" s="1"/>
  <c r="BI510" i="3" s="1"/>
  <c r="AT512" i="3"/>
  <c r="AH513" i="3"/>
  <c r="Y513" i="3"/>
  <c r="Z513" i="3" s="1"/>
  <c r="AW512" i="3"/>
  <c r="AY511" i="3"/>
  <c r="BC511" i="3" s="1"/>
  <c r="BQ510" i="3"/>
  <c r="BF510" i="3"/>
  <c r="BJ509" i="3" s="1"/>
  <c r="BK509" i="3" s="1"/>
  <c r="BB510" i="3"/>
  <c r="AG513" i="3"/>
  <c r="AN513" i="3"/>
  <c r="X513" i="3"/>
  <c r="AU512" i="3"/>
  <c r="AQ514" i="3"/>
  <c r="AR514" i="3"/>
  <c r="C514" i="3"/>
  <c r="D514" i="3"/>
  <c r="B514" i="3"/>
  <c r="A515" i="3"/>
  <c r="G514" i="3"/>
  <c r="H514" i="3" s="1"/>
  <c r="F514" i="3"/>
  <c r="Q514" i="3"/>
  <c r="S514" i="3"/>
  <c r="O514" i="3"/>
  <c r="U514" i="3"/>
  <c r="M514" i="3"/>
  <c r="AE514" i="3"/>
  <c r="AD514" i="3"/>
  <c r="AF514" i="3"/>
  <c r="AK514" i="3"/>
  <c r="AM514" i="3"/>
  <c r="AN514" i="3" s="1"/>
  <c r="R514" i="3"/>
  <c r="T514" i="3"/>
  <c r="V514" i="3"/>
  <c r="P514" i="3"/>
  <c r="AY512" i="3" l="1"/>
  <c r="BQ511" i="3"/>
  <c r="BB511" i="3"/>
  <c r="BN514" i="3"/>
  <c r="AX513" i="3"/>
  <c r="BD511" i="3"/>
  <c r="BG511" i="3"/>
  <c r="BH511" i="3" s="1"/>
  <c r="BI511" i="3" s="1"/>
  <c r="AO514" i="3"/>
  <c r="AT513" i="3"/>
  <c r="AH514" i="3"/>
  <c r="AG514" i="3"/>
  <c r="D515" i="3"/>
  <c r="C515" i="3"/>
  <c r="AR515" i="3"/>
  <c r="B515" i="3"/>
  <c r="AQ515" i="3"/>
  <c r="A516" i="3"/>
  <c r="F515" i="3"/>
  <c r="G515" i="3"/>
  <c r="H515" i="3" s="1"/>
  <c r="Q515" i="3"/>
  <c r="S515" i="3"/>
  <c r="O515" i="3"/>
  <c r="U515" i="3"/>
  <c r="AD515" i="3"/>
  <c r="M515" i="3"/>
  <c r="AF515" i="3"/>
  <c r="AE515" i="3"/>
  <c r="AK515" i="3"/>
  <c r="AM515" i="3"/>
  <c r="V515" i="3"/>
  <c r="R515" i="3"/>
  <c r="P515" i="3"/>
  <c r="T515" i="3"/>
  <c r="AU513" i="3"/>
  <c r="BM514" i="3"/>
  <c r="AW513" i="3"/>
  <c r="AV512" i="3"/>
  <c r="BC512" i="3" s="1"/>
  <c r="BA512" i="3"/>
  <c r="Y514" i="3"/>
  <c r="Z514" i="3" s="1"/>
  <c r="X514" i="3"/>
  <c r="BJ510" i="3"/>
  <c r="BK510" i="3" s="1"/>
  <c r="BN515" i="3" l="1"/>
  <c r="BM515" i="3"/>
  <c r="AG515" i="3"/>
  <c r="AW514" i="3"/>
  <c r="AY513" i="3"/>
  <c r="AO515" i="3"/>
  <c r="AU514" i="3"/>
  <c r="B516" i="3"/>
  <c r="AQ516" i="3"/>
  <c r="AR516" i="3"/>
  <c r="A517" i="3"/>
  <c r="C516" i="3"/>
  <c r="D516" i="3"/>
  <c r="G516" i="3"/>
  <c r="H516" i="3" s="1"/>
  <c r="F516" i="3"/>
  <c r="S516" i="3"/>
  <c r="Q516" i="3"/>
  <c r="O516" i="3"/>
  <c r="U516" i="3"/>
  <c r="AE516" i="3"/>
  <c r="AF516" i="3"/>
  <c r="M516" i="3"/>
  <c r="AK516" i="3"/>
  <c r="AD516" i="3"/>
  <c r="AM516" i="3"/>
  <c r="AN516" i="3" s="1"/>
  <c r="V516" i="3"/>
  <c r="P516" i="3"/>
  <c r="T516" i="3"/>
  <c r="R516" i="3"/>
  <c r="BA513" i="3"/>
  <c r="AV513" i="3"/>
  <c r="BC513" i="3" s="1"/>
  <c r="X515" i="3"/>
  <c r="AX514" i="3"/>
  <c r="AY514" i="3" s="1"/>
  <c r="AH515" i="3"/>
  <c r="Y515" i="3"/>
  <c r="Z515" i="3" s="1"/>
  <c r="BF512" i="3"/>
  <c r="BJ511" i="3" s="1"/>
  <c r="BK511" i="3" s="1"/>
  <c r="BQ512" i="3"/>
  <c r="BB512" i="3"/>
  <c r="BD512" i="3"/>
  <c r="BG512" i="3"/>
  <c r="BH512" i="3" s="1"/>
  <c r="BI512" i="3" s="1"/>
  <c r="AT514" i="3"/>
  <c r="AN515" i="3"/>
  <c r="AH516" i="3" l="1"/>
  <c r="X516" i="3"/>
  <c r="AX515" i="3"/>
  <c r="AQ517" i="3"/>
  <c r="B517" i="3"/>
  <c r="A518" i="3"/>
  <c r="AR517" i="3"/>
  <c r="D517" i="3"/>
  <c r="C517" i="3"/>
  <c r="F517" i="3"/>
  <c r="G517" i="3"/>
  <c r="H517" i="3" s="1"/>
  <c r="Q517" i="3"/>
  <c r="S517" i="3"/>
  <c r="O517" i="3"/>
  <c r="U517" i="3"/>
  <c r="AF517" i="3"/>
  <c r="M517" i="3"/>
  <c r="AE517" i="3"/>
  <c r="AD517" i="3"/>
  <c r="AK517" i="3"/>
  <c r="AM517" i="3"/>
  <c r="AN517" i="3" s="1"/>
  <c r="P517" i="3"/>
  <c r="V517" i="3"/>
  <c r="T517" i="3"/>
  <c r="R517" i="3"/>
  <c r="AG516" i="3"/>
  <c r="AV514" i="3"/>
  <c r="BC514" i="3" s="1"/>
  <c r="BA514" i="3"/>
  <c r="BB513" i="3"/>
  <c r="BQ513" i="3"/>
  <c r="BF513" i="3"/>
  <c r="BJ512" i="3" s="1"/>
  <c r="BK512" i="3" s="1"/>
  <c r="Y516" i="3"/>
  <c r="Z516" i="3" s="1"/>
  <c r="BD513" i="3"/>
  <c r="BG513" i="3"/>
  <c r="BH513" i="3" s="1"/>
  <c r="BI513" i="3" s="1"/>
  <c r="AO516" i="3"/>
  <c r="BM516" i="3"/>
  <c r="AW515" i="3"/>
  <c r="AY515" i="3" s="1"/>
  <c r="AU515" i="3"/>
  <c r="AT515" i="3"/>
  <c r="BN516" i="3"/>
  <c r="BM517" i="3" l="1"/>
  <c r="AW516" i="3"/>
  <c r="AG517" i="3"/>
  <c r="AV515" i="3"/>
  <c r="BC515" i="3" s="1"/>
  <c r="BA515" i="3"/>
  <c r="AX516" i="3"/>
  <c r="Y517" i="3"/>
  <c r="Z517" i="3" s="1"/>
  <c r="BF514" i="3"/>
  <c r="BJ513" i="3" s="1"/>
  <c r="BK513" i="3" s="1"/>
  <c r="BB514" i="3"/>
  <c r="BQ514" i="3"/>
  <c r="AQ518" i="3"/>
  <c r="AR518" i="3"/>
  <c r="C518" i="3"/>
  <c r="D518" i="3"/>
  <c r="B518" i="3"/>
  <c r="A519" i="3"/>
  <c r="G518" i="3"/>
  <c r="H518" i="3" s="1"/>
  <c r="F518" i="3"/>
  <c r="Q518" i="3"/>
  <c r="S518" i="3"/>
  <c r="O518" i="3"/>
  <c r="U518" i="3"/>
  <c r="AF518" i="3"/>
  <c r="M518" i="3"/>
  <c r="AE518" i="3"/>
  <c r="AK518" i="3"/>
  <c r="AM518" i="3"/>
  <c r="AD518" i="3"/>
  <c r="P518" i="3"/>
  <c r="T518" i="3"/>
  <c r="R518" i="3"/>
  <c r="V518" i="3"/>
  <c r="AH517" i="3"/>
  <c r="BD514" i="3"/>
  <c r="BG514" i="3"/>
  <c r="BH514" i="3" s="1"/>
  <c r="BI514" i="3" s="1"/>
  <c r="X517" i="3"/>
  <c r="AO517" i="3"/>
  <c r="AU516" i="3"/>
  <c r="AT516" i="3"/>
  <c r="BN517" i="3"/>
  <c r="AU517" i="3" l="1"/>
  <c r="AY516" i="3"/>
  <c r="AW517" i="3"/>
  <c r="AG518" i="3"/>
  <c r="BN518" i="3"/>
  <c r="AT517" i="3"/>
  <c r="AO518" i="3"/>
  <c r="AV517" i="3"/>
  <c r="BA516" i="3"/>
  <c r="AV516" i="3"/>
  <c r="Y518" i="3"/>
  <c r="Z518" i="3" s="1"/>
  <c r="D519" i="3"/>
  <c r="C519" i="3"/>
  <c r="AR519" i="3"/>
  <c r="B519" i="3"/>
  <c r="AQ519" i="3"/>
  <c r="A520" i="3"/>
  <c r="F519" i="3"/>
  <c r="G519" i="3"/>
  <c r="H519" i="3" s="1"/>
  <c r="S519" i="3"/>
  <c r="Q519" i="3"/>
  <c r="O519" i="3"/>
  <c r="U519" i="3"/>
  <c r="AD519" i="3"/>
  <c r="AE519" i="3"/>
  <c r="AF519" i="3"/>
  <c r="M519" i="3"/>
  <c r="AM519" i="3"/>
  <c r="AK519" i="3"/>
  <c r="P519" i="3"/>
  <c r="T519" i="3"/>
  <c r="V519" i="3"/>
  <c r="R519" i="3"/>
  <c r="AH518" i="3"/>
  <c r="AN518" i="3"/>
  <c r="BF515" i="3"/>
  <c r="BJ514" i="3" s="1"/>
  <c r="BK514" i="3" s="1"/>
  <c r="BB515" i="3"/>
  <c r="BQ515" i="3"/>
  <c r="X518" i="3"/>
  <c r="AX517" i="3"/>
  <c r="BM518" i="3"/>
  <c r="BD515" i="3"/>
  <c r="BG515" i="3"/>
  <c r="BH515" i="3" s="1"/>
  <c r="BI515" i="3" s="1"/>
  <c r="BM519" i="3" l="1"/>
  <c r="BC516" i="3"/>
  <c r="BD516" i="3" s="1"/>
  <c r="AY517" i="3"/>
  <c r="BC517" i="3" s="1"/>
  <c r="AN519" i="3"/>
  <c r="AX518" i="3"/>
  <c r="AT518" i="3"/>
  <c r="BN519" i="3"/>
  <c r="AW518" i="3"/>
  <c r="Y519" i="3"/>
  <c r="Z519" i="3" s="1"/>
  <c r="BQ516" i="3"/>
  <c r="BF516" i="3"/>
  <c r="BJ515" i="3" s="1"/>
  <c r="BK515" i="3" s="1"/>
  <c r="BB516" i="3"/>
  <c r="AH519" i="3"/>
  <c r="AG519" i="3"/>
  <c r="AT519" i="3" s="1"/>
  <c r="B520" i="3"/>
  <c r="AQ520" i="3"/>
  <c r="AR520" i="3"/>
  <c r="A521" i="3"/>
  <c r="C520" i="3"/>
  <c r="D520" i="3"/>
  <c r="G520" i="3"/>
  <c r="H520" i="3" s="1"/>
  <c r="BN520" i="3" s="1"/>
  <c r="F520" i="3"/>
  <c r="BM520" i="3" s="1"/>
  <c r="Q520" i="3"/>
  <c r="S520" i="3"/>
  <c r="O520" i="3"/>
  <c r="U520" i="3"/>
  <c r="AF520" i="3"/>
  <c r="AD520" i="3"/>
  <c r="AE520" i="3"/>
  <c r="M520" i="3"/>
  <c r="AK520" i="3"/>
  <c r="AM520" i="3"/>
  <c r="V520" i="3"/>
  <c r="R520" i="3"/>
  <c r="T520" i="3"/>
  <c r="P520" i="3"/>
  <c r="AU518" i="3"/>
  <c r="AO519" i="3"/>
  <c r="X519" i="3"/>
  <c r="BA517" i="3"/>
  <c r="BG516" i="3" l="1"/>
  <c r="BH516" i="3" s="1"/>
  <c r="BI516" i="3" s="1"/>
  <c r="AG520" i="3"/>
  <c r="AY518" i="3"/>
  <c r="AO520" i="3"/>
  <c r="AH520" i="3"/>
  <c r="AX519" i="3"/>
  <c r="X520" i="3"/>
  <c r="AQ521" i="3"/>
  <c r="B521" i="3"/>
  <c r="A522" i="3"/>
  <c r="AR521" i="3"/>
  <c r="C521" i="3"/>
  <c r="D521" i="3"/>
  <c r="F521" i="3"/>
  <c r="BM521" i="3" s="1"/>
  <c r="G521" i="3"/>
  <c r="H521" i="3" s="1"/>
  <c r="BN521" i="3" s="1"/>
  <c r="Q521" i="3"/>
  <c r="S521" i="3"/>
  <c r="O521" i="3"/>
  <c r="U521" i="3"/>
  <c r="AD521" i="3"/>
  <c r="AE521" i="3"/>
  <c r="AM521" i="3"/>
  <c r="M521" i="3"/>
  <c r="AK521" i="3"/>
  <c r="AO521" i="3" s="1"/>
  <c r="AF521" i="3"/>
  <c r="T521" i="3"/>
  <c r="P521" i="3"/>
  <c r="V521" i="3"/>
  <c r="R521" i="3"/>
  <c r="AU519" i="3"/>
  <c r="AV519" i="3" s="1"/>
  <c r="Y520" i="3"/>
  <c r="Z520" i="3" s="1"/>
  <c r="AT520" i="3"/>
  <c r="BA518" i="3"/>
  <c r="AV518" i="3"/>
  <c r="AW519" i="3"/>
  <c r="BD517" i="3"/>
  <c r="BG517" i="3"/>
  <c r="BH517" i="3" s="1"/>
  <c r="BI517" i="3" s="1"/>
  <c r="BB517" i="3"/>
  <c r="BF517" i="3"/>
  <c r="BJ516" i="3" s="1"/>
  <c r="BK516" i="3" s="1"/>
  <c r="BQ517" i="3"/>
  <c r="AN520" i="3"/>
  <c r="AW520" i="3" l="1"/>
  <c r="BC518" i="3"/>
  <c r="AY519" i="3"/>
  <c r="BC519" i="3"/>
  <c r="BG519" i="3" s="1"/>
  <c r="BH519" i="3" s="1"/>
  <c r="BI519" i="3" s="1"/>
  <c r="AG521" i="3"/>
  <c r="AX520" i="3"/>
  <c r="AY520" i="3" s="1"/>
  <c r="AN521" i="3"/>
  <c r="X521" i="3"/>
  <c r="Y521" i="3"/>
  <c r="Z521" i="3" s="1"/>
  <c r="AU520" i="3"/>
  <c r="AV520" i="3" s="1"/>
  <c r="BD518" i="3"/>
  <c r="BG518" i="3"/>
  <c r="BH518" i="3" s="1"/>
  <c r="BI518" i="3" s="1"/>
  <c r="AQ522" i="3"/>
  <c r="AR522" i="3"/>
  <c r="C522" i="3"/>
  <c r="D522" i="3"/>
  <c r="B522" i="3"/>
  <c r="A523" i="3"/>
  <c r="F522" i="3"/>
  <c r="G522" i="3"/>
  <c r="H522" i="3" s="1"/>
  <c r="Q522" i="3"/>
  <c r="S522" i="3"/>
  <c r="O522" i="3"/>
  <c r="U522" i="3"/>
  <c r="AD522" i="3"/>
  <c r="AF522" i="3"/>
  <c r="AE522" i="3"/>
  <c r="M522" i="3"/>
  <c r="AM522" i="3"/>
  <c r="AK522" i="3"/>
  <c r="AO522" i="3" s="1"/>
  <c r="P522" i="3"/>
  <c r="R522" i="3"/>
  <c r="T522" i="3"/>
  <c r="V522" i="3"/>
  <c r="BA519" i="3"/>
  <c r="BQ518" i="3"/>
  <c r="BF518" i="3"/>
  <c r="BJ517" i="3" s="1"/>
  <c r="BK517" i="3" s="1"/>
  <c r="BB518" i="3"/>
  <c r="AH521" i="3"/>
  <c r="BA520" i="3" l="1"/>
  <c r="BB520" i="3" s="1"/>
  <c r="BD519" i="3"/>
  <c r="AG522" i="3"/>
  <c r="AT521" i="3"/>
  <c r="BN522" i="3"/>
  <c r="AW521" i="3"/>
  <c r="BC520" i="3"/>
  <c r="BG520" i="3" s="1"/>
  <c r="BH520" i="3" s="1"/>
  <c r="BI520" i="3" s="1"/>
  <c r="AN522" i="3"/>
  <c r="BQ520" i="3"/>
  <c r="BF520" i="3"/>
  <c r="Y522" i="3"/>
  <c r="Z522" i="3" s="1"/>
  <c r="C523" i="3"/>
  <c r="D523" i="3"/>
  <c r="AR523" i="3"/>
  <c r="B523" i="3"/>
  <c r="AQ523" i="3"/>
  <c r="A524" i="3"/>
  <c r="F523" i="3"/>
  <c r="G523" i="3"/>
  <c r="H523" i="3" s="1"/>
  <c r="Q523" i="3"/>
  <c r="S523" i="3"/>
  <c r="O523" i="3"/>
  <c r="U523" i="3"/>
  <c r="AD523" i="3"/>
  <c r="AE523" i="3"/>
  <c r="AM523" i="3"/>
  <c r="AF523" i="3"/>
  <c r="M523" i="3"/>
  <c r="AK523" i="3"/>
  <c r="P523" i="3"/>
  <c r="R523" i="3"/>
  <c r="T523" i="3"/>
  <c r="V523" i="3"/>
  <c r="AU521" i="3"/>
  <c r="BB519" i="3"/>
  <c r="BQ519" i="3"/>
  <c r="BF519" i="3"/>
  <c r="BJ518" i="3" s="1"/>
  <c r="BK518" i="3" s="1"/>
  <c r="AH522" i="3"/>
  <c r="AT522" i="3" s="1"/>
  <c r="BM522" i="3"/>
  <c r="AX521" i="3"/>
  <c r="X522" i="3"/>
  <c r="BD520" i="3" l="1"/>
  <c r="AV521" i="3"/>
  <c r="AY521" i="3"/>
  <c r="BC521" i="3" s="1"/>
  <c r="AG523" i="3"/>
  <c r="Y523" i="3"/>
  <c r="Z523" i="3" s="1"/>
  <c r="BJ519" i="3"/>
  <c r="BK519" i="3" s="1"/>
  <c r="X523" i="3"/>
  <c r="AO523" i="3"/>
  <c r="B524" i="3"/>
  <c r="AQ524" i="3"/>
  <c r="AR524" i="3"/>
  <c r="A525" i="3"/>
  <c r="C524" i="3"/>
  <c r="D524" i="3"/>
  <c r="G524" i="3"/>
  <c r="H524" i="3" s="1"/>
  <c r="F524" i="3"/>
  <c r="Q524" i="3"/>
  <c r="S524" i="3"/>
  <c r="O524" i="3"/>
  <c r="U524" i="3"/>
  <c r="AD524" i="3"/>
  <c r="M524" i="3"/>
  <c r="AF524" i="3"/>
  <c r="AE524" i="3"/>
  <c r="AM524" i="3"/>
  <c r="AK524" i="3"/>
  <c r="R524" i="3"/>
  <c r="P524" i="3"/>
  <c r="V524" i="3"/>
  <c r="T524" i="3"/>
  <c r="AH523" i="3"/>
  <c r="AU523" i="3" s="1"/>
  <c r="AW522" i="3"/>
  <c r="AX522" i="3"/>
  <c r="BN523" i="3"/>
  <c r="BA521" i="3"/>
  <c r="AN523" i="3"/>
  <c r="BM523" i="3"/>
  <c r="AU522" i="3"/>
  <c r="AV522" i="3" s="1"/>
  <c r="BG521" i="3" l="1"/>
  <c r="BH521" i="3" s="1"/>
  <c r="BI521" i="3" s="1"/>
  <c r="BD521" i="3"/>
  <c r="AO524" i="3"/>
  <c r="AY522" i="3"/>
  <c r="BC522" i="3" s="1"/>
  <c r="AH524" i="3"/>
  <c r="X524" i="3"/>
  <c r="AQ525" i="3"/>
  <c r="B525" i="3"/>
  <c r="A526" i="3"/>
  <c r="AR525" i="3"/>
  <c r="C525" i="3"/>
  <c r="D525" i="3"/>
  <c r="F525" i="3"/>
  <c r="BM525" i="3" s="1"/>
  <c r="G525" i="3"/>
  <c r="H525" i="3" s="1"/>
  <c r="BN525" i="3" s="1"/>
  <c r="Q525" i="3"/>
  <c r="S525" i="3"/>
  <c r="O525" i="3"/>
  <c r="U525" i="3"/>
  <c r="AE525" i="3"/>
  <c r="M525" i="3"/>
  <c r="AD525" i="3"/>
  <c r="AF525" i="3"/>
  <c r="AK525" i="3"/>
  <c r="AM525" i="3"/>
  <c r="R525" i="3"/>
  <c r="P525" i="3"/>
  <c r="V525" i="3"/>
  <c r="T525" i="3"/>
  <c r="Y524" i="3"/>
  <c r="Z524" i="3" s="1"/>
  <c r="AX523" i="3"/>
  <c r="AN524" i="3"/>
  <c r="BA522" i="3"/>
  <c r="AT523" i="3"/>
  <c r="BM524" i="3"/>
  <c r="AG524" i="3"/>
  <c r="BB521" i="3"/>
  <c r="BQ521" i="3"/>
  <c r="BF521" i="3"/>
  <c r="BJ520" i="3" s="1"/>
  <c r="BK520" i="3" s="1"/>
  <c r="AW523" i="3"/>
  <c r="BN524" i="3"/>
  <c r="BD522" i="3" l="1"/>
  <c r="BG522" i="3"/>
  <c r="BH522" i="3" s="1"/>
  <c r="BI522" i="3" s="1"/>
  <c r="AU524" i="3"/>
  <c r="AH525" i="3"/>
  <c r="AX524" i="3"/>
  <c r="AY523" i="3"/>
  <c r="AN525" i="3"/>
  <c r="X525" i="3"/>
  <c r="AQ526" i="3"/>
  <c r="AR526" i="3"/>
  <c r="C526" i="3"/>
  <c r="D526" i="3"/>
  <c r="B526" i="3"/>
  <c r="A527" i="3"/>
  <c r="G526" i="3"/>
  <c r="H526" i="3" s="1"/>
  <c r="F526" i="3"/>
  <c r="Q526" i="3"/>
  <c r="S526" i="3"/>
  <c r="O526" i="3"/>
  <c r="U526" i="3"/>
  <c r="AF526" i="3"/>
  <c r="M526" i="3"/>
  <c r="AD526" i="3"/>
  <c r="AE526" i="3"/>
  <c r="AM526" i="3"/>
  <c r="AK526" i="3"/>
  <c r="T526" i="3"/>
  <c r="P526" i="3"/>
  <c r="V526" i="3"/>
  <c r="R526" i="3"/>
  <c r="AW524" i="3"/>
  <c r="AO525" i="3"/>
  <c r="AT524" i="3"/>
  <c r="AV523" i="3"/>
  <c r="BA523" i="3"/>
  <c r="BB522" i="3"/>
  <c r="BQ522" i="3"/>
  <c r="BF522" i="3"/>
  <c r="BJ521" i="3" s="1"/>
  <c r="BK521" i="3" s="1"/>
  <c r="Y525" i="3"/>
  <c r="Z525" i="3" s="1"/>
  <c r="AG525" i="3"/>
  <c r="BC523" i="3" l="1"/>
  <c r="AY524" i="3"/>
  <c r="AO526" i="3"/>
  <c r="AW525" i="3"/>
  <c r="Y526" i="3"/>
  <c r="Z526" i="3" s="1"/>
  <c r="AR527" i="3"/>
  <c r="C527" i="3"/>
  <c r="D527" i="3"/>
  <c r="B527" i="3"/>
  <c r="AQ527" i="3"/>
  <c r="A528" i="3"/>
  <c r="G527" i="3"/>
  <c r="H527" i="3" s="1"/>
  <c r="F527" i="3"/>
  <c r="Q527" i="3"/>
  <c r="S527" i="3"/>
  <c r="O527" i="3"/>
  <c r="U527" i="3"/>
  <c r="AE527" i="3"/>
  <c r="M527" i="3"/>
  <c r="AM527" i="3"/>
  <c r="AD527" i="3"/>
  <c r="AF527" i="3"/>
  <c r="AK527" i="3"/>
  <c r="P527" i="3"/>
  <c r="V527" i="3"/>
  <c r="R527" i="3"/>
  <c r="T527" i="3"/>
  <c r="BQ523" i="3"/>
  <c r="BB523" i="3"/>
  <c r="BF523" i="3"/>
  <c r="BJ522" i="3" s="1"/>
  <c r="BK522" i="3" s="1"/>
  <c r="BA524" i="3"/>
  <c r="AV524" i="3"/>
  <c r="BC524" i="3" s="1"/>
  <c r="BD523" i="3"/>
  <c r="BG523" i="3"/>
  <c r="BH523" i="3" s="1"/>
  <c r="BI523" i="3" s="1"/>
  <c r="AN526" i="3"/>
  <c r="X526" i="3"/>
  <c r="AX525" i="3"/>
  <c r="AY525" i="3" s="1"/>
  <c r="AG526" i="3"/>
  <c r="BM526" i="3"/>
  <c r="AU525" i="3"/>
  <c r="AH526" i="3"/>
  <c r="BN526" i="3"/>
  <c r="AT525" i="3"/>
  <c r="BN527" i="3" l="1"/>
  <c r="AN527" i="3"/>
  <c r="BM527" i="3"/>
  <c r="AH527" i="3"/>
  <c r="B528" i="3"/>
  <c r="AQ528" i="3"/>
  <c r="AR528" i="3"/>
  <c r="A529" i="3"/>
  <c r="D528" i="3"/>
  <c r="C528" i="3"/>
  <c r="G528" i="3"/>
  <c r="H528" i="3" s="1"/>
  <c r="F528" i="3"/>
  <c r="Q528" i="3"/>
  <c r="S528" i="3"/>
  <c r="O528" i="3"/>
  <c r="U528" i="3"/>
  <c r="AD528" i="3"/>
  <c r="M528" i="3"/>
  <c r="AE528" i="3"/>
  <c r="AM528" i="3"/>
  <c r="AF528" i="3"/>
  <c r="AK528" i="3"/>
  <c r="P528" i="3"/>
  <c r="T528" i="3"/>
  <c r="R528" i="3"/>
  <c r="V528" i="3"/>
  <c r="AX526" i="3"/>
  <c r="AT526" i="3"/>
  <c r="AW526" i="3"/>
  <c r="X527" i="3"/>
  <c r="AG527" i="3"/>
  <c r="BD524" i="3"/>
  <c r="BG524" i="3"/>
  <c r="BH524" i="3" s="1"/>
  <c r="BI524" i="3" s="1"/>
  <c r="BF524" i="3"/>
  <c r="BJ523" i="3" s="1"/>
  <c r="BK523" i="3" s="1"/>
  <c r="BQ524" i="3"/>
  <c r="BB524" i="3"/>
  <c r="AO527" i="3"/>
  <c r="Y527" i="3"/>
  <c r="Z527" i="3" s="1"/>
  <c r="AV525" i="3"/>
  <c r="BC525" i="3" s="1"/>
  <c r="BA525" i="3"/>
  <c r="AU526" i="3"/>
  <c r="AW527" i="3" l="1"/>
  <c r="BM528" i="3"/>
  <c r="AG528" i="3"/>
  <c r="BN528" i="3"/>
  <c r="AN528" i="3"/>
  <c r="BF525" i="3"/>
  <c r="BJ524" i="3" s="1"/>
  <c r="BK524" i="3" s="1"/>
  <c r="BQ525" i="3"/>
  <c r="BB525" i="3"/>
  <c r="BD525" i="3"/>
  <c r="BG525" i="3"/>
  <c r="BH525" i="3" s="1"/>
  <c r="BI525" i="3" s="1"/>
  <c r="BA526" i="3"/>
  <c r="AV526" i="3"/>
  <c r="AX527" i="3"/>
  <c r="AY527" i="3" s="1"/>
  <c r="X528" i="3"/>
  <c r="AQ529" i="3"/>
  <c r="B529" i="3"/>
  <c r="A530" i="3"/>
  <c r="AR529" i="3"/>
  <c r="D529" i="3"/>
  <c r="C529" i="3"/>
  <c r="F529" i="3"/>
  <c r="G529" i="3"/>
  <c r="H529" i="3" s="1"/>
  <c r="Q529" i="3"/>
  <c r="S529" i="3"/>
  <c r="O529" i="3"/>
  <c r="U529" i="3"/>
  <c r="AF529" i="3"/>
  <c r="M529" i="3"/>
  <c r="AE529" i="3"/>
  <c r="AD529" i="3"/>
  <c r="AM529" i="3"/>
  <c r="AK529" i="3"/>
  <c r="AO529" i="3" s="1"/>
  <c r="R529" i="3"/>
  <c r="V529" i="3"/>
  <c r="P529" i="3"/>
  <c r="T529" i="3"/>
  <c r="AO528" i="3"/>
  <c r="Y528" i="3"/>
  <c r="Z528" i="3" s="1"/>
  <c r="AY526" i="3"/>
  <c r="AT527" i="3"/>
  <c r="AU527" i="3"/>
  <c r="AH528" i="3"/>
  <c r="AU528" i="3" l="1"/>
  <c r="AW528" i="3"/>
  <c r="AN529" i="3"/>
  <c r="AV527" i="3"/>
  <c r="BC527" i="3" s="1"/>
  <c r="BA527" i="3"/>
  <c r="BC526" i="3"/>
  <c r="BQ526" i="3"/>
  <c r="BF526" i="3"/>
  <c r="BJ525" i="3" s="1"/>
  <c r="BK525" i="3" s="1"/>
  <c r="BB526" i="3"/>
  <c r="AQ530" i="3"/>
  <c r="AR530" i="3"/>
  <c r="D530" i="3"/>
  <c r="C530" i="3"/>
  <c r="A531" i="3"/>
  <c r="B530" i="3"/>
  <c r="G530" i="3"/>
  <c r="H530" i="3" s="1"/>
  <c r="BN530" i="3" s="1"/>
  <c r="F530" i="3"/>
  <c r="Q530" i="3"/>
  <c r="S530" i="3"/>
  <c r="O530" i="3"/>
  <c r="U530" i="3"/>
  <c r="AD530" i="3"/>
  <c r="AF530" i="3"/>
  <c r="M530" i="3"/>
  <c r="AE530" i="3"/>
  <c r="AM530" i="3"/>
  <c r="AK530" i="3"/>
  <c r="V530" i="3"/>
  <c r="T530" i="3"/>
  <c r="R530" i="3"/>
  <c r="P530" i="3"/>
  <c r="Y529" i="3"/>
  <c r="Z529" i="3" s="1"/>
  <c r="AX528" i="3"/>
  <c r="AT528" i="3"/>
  <c r="AH529" i="3"/>
  <c r="BN529" i="3"/>
  <c r="X529" i="3"/>
  <c r="AG529" i="3"/>
  <c r="AW529" i="3" s="1"/>
  <c r="BM529" i="3"/>
  <c r="BM530" i="3" l="1"/>
  <c r="AY528" i="3"/>
  <c r="AU529" i="3"/>
  <c r="AG530" i="3"/>
  <c r="AT529" i="3"/>
  <c r="AV529" i="3" s="1"/>
  <c r="AO530" i="3"/>
  <c r="AH530" i="3"/>
  <c r="C531" i="3"/>
  <c r="D531" i="3"/>
  <c r="A532" i="3"/>
  <c r="AR531" i="3"/>
  <c r="B531" i="3"/>
  <c r="AQ531" i="3"/>
  <c r="G531" i="3"/>
  <c r="H531" i="3" s="1"/>
  <c r="F531" i="3"/>
  <c r="Q531" i="3"/>
  <c r="S531" i="3"/>
  <c r="O531" i="3"/>
  <c r="U531" i="3"/>
  <c r="AD531" i="3"/>
  <c r="AE531" i="3"/>
  <c r="M531" i="3"/>
  <c r="AM531" i="3"/>
  <c r="AF531" i="3"/>
  <c r="AK531" i="3"/>
  <c r="AO531" i="3" s="1"/>
  <c r="T531" i="3"/>
  <c r="P531" i="3"/>
  <c r="R531" i="3"/>
  <c r="V531" i="3"/>
  <c r="X530" i="3"/>
  <c r="AX529" i="3"/>
  <c r="AY529" i="3" s="1"/>
  <c r="BD526" i="3"/>
  <c r="BG526" i="3"/>
  <c r="BH526" i="3" s="1"/>
  <c r="BI526" i="3" s="1"/>
  <c r="Y530" i="3"/>
  <c r="Z530" i="3" s="1"/>
  <c r="AV528" i="3"/>
  <c r="BA528" i="3"/>
  <c r="BQ527" i="3"/>
  <c r="BB527" i="3"/>
  <c r="BF527" i="3"/>
  <c r="BJ526" i="3" s="1"/>
  <c r="BK526" i="3" s="1"/>
  <c r="AN530" i="3"/>
  <c r="AU530" i="3"/>
  <c r="BD527" i="3"/>
  <c r="BG527" i="3"/>
  <c r="BH527" i="3" s="1"/>
  <c r="BI527" i="3" s="1"/>
  <c r="BM531" i="3" l="1"/>
  <c r="BC528" i="3"/>
  <c r="AH531" i="3"/>
  <c r="B532" i="3"/>
  <c r="AQ532" i="3"/>
  <c r="AR532" i="3"/>
  <c r="A533" i="3"/>
  <c r="C532" i="3"/>
  <c r="D532" i="3"/>
  <c r="G532" i="3"/>
  <c r="H532" i="3" s="1"/>
  <c r="BN532" i="3" s="1"/>
  <c r="F532" i="3"/>
  <c r="Q532" i="3"/>
  <c r="S532" i="3"/>
  <c r="O532" i="3"/>
  <c r="U532" i="3"/>
  <c r="M532" i="3"/>
  <c r="AF532" i="3"/>
  <c r="AD532" i="3"/>
  <c r="AE532" i="3"/>
  <c r="AM532" i="3"/>
  <c r="AK532" i="3"/>
  <c r="P532" i="3"/>
  <c r="T532" i="3"/>
  <c r="R532" i="3"/>
  <c r="V532" i="3"/>
  <c r="X531" i="3"/>
  <c r="BD528" i="3"/>
  <c r="BG528" i="3"/>
  <c r="BH528" i="3" s="1"/>
  <c r="BI528" i="3" s="1"/>
  <c r="AX530" i="3"/>
  <c r="BN531" i="3"/>
  <c r="AW530" i="3"/>
  <c r="AY530" i="3" s="1"/>
  <c r="AN531" i="3"/>
  <c r="Y531" i="3"/>
  <c r="Z531" i="3" s="1"/>
  <c r="AG531" i="3"/>
  <c r="BA529" i="3"/>
  <c r="AT530" i="3"/>
  <c r="BB528" i="3"/>
  <c r="BF528" i="3"/>
  <c r="BJ527" i="3" s="1"/>
  <c r="BK527" i="3" s="1"/>
  <c r="BQ528" i="3"/>
  <c r="BC529" i="3"/>
  <c r="AO532" i="3" l="1"/>
  <c r="AU531" i="3"/>
  <c r="AH532" i="3"/>
  <c r="Y532" i="3"/>
  <c r="Z532" i="3" s="1"/>
  <c r="AX531" i="3"/>
  <c r="BA530" i="3"/>
  <c r="AV530" i="3"/>
  <c r="BC530" i="3" s="1"/>
  <c r="X532" i="3"/>
  <c r="AQ533" i="3"/>
  <c r="B533" i="3"/>
  <c r="A534" i="3"/>
  <c r="AR533" i="3"/>
  <c r="C533" i="3"/>
  <c r="D533" i="3"/>
  <c r="G533" i="3"/>
  <c r="H533" i="3" s="1"/>
  <c r="BN533" i="3" s="1"/>
  <c r="F533" i="3"/>
  <c r="BM533" i="3" s="1"/>
  <c r="Q533" i="3"/>
  <c r="S533" i="3"/>
  <c r="O533" i="3"/>
  <c r="U533" i="3"/>
  <c r="AK533" i="3"/>
  <c r="AD533" i="3"/>
  <c r="AE533" i="3"/>
  <c r="M533" i="3"/>
  <c r="AF533" i="3"/>
  <c r="AM533" i="3"/>
  <c r="V533" i="3"/>
  <c r="P533" i="3"/>
  <c r="R533" i="3"/>
  <c r="T533" i="3"/>
  <c r="BF529" i="3"/>
  <c r="BJ528" i="3" s="1"/>
  <c r="BK528" i="3" s="1"/>
  <c r="BQ529" i="3"/>
  <c r="BB529" i="3"/>
  <c r="AW531" i="3"/>
  <c r="AN532" i="3"/>
  <c r="BD529" i="3"/>
  <c r="BG529" i="3"/>
  <c r="BH529" i="3" s="1"/>
  <c r="BI529" i="3" s="1"/>
  <c r="AG532" i="3"/>
  <c r="BM532" i="3"/>
  <c r="AT531" i="3"/>
  <c r="AN533" i="3" l="1"/>
  <c r="AU532" i="3"/>
  <c r="AW532" i="3"/>
  <c r="AX532" i="3"/>
  <c r="AY532" i="3" s="1"/>
  <c r="AY531" i="3"/>
  <c r="BA531" i="3"/>
  <c r="AV531" i="3"/>
  <c r="BC531" i="3" s="1"/>
  <c r="BG530" i="3"/>
  <c r="BH530" i="3" s="1"/>
  <c r="BI530" i="3" s="1"/>
  <c r="BD530" i="3"/>
  <c r="AH533" i="3"/>
  <c r="Y533" i="3"/>
  <c r="Z533" i="3" s="1"/>
  <c r="BF530" i="3"/>
  <c r="BJ529" i="3" s="1"/>
  <c r="BK529" i="3" s="1"/>
  <c r="BQ530" i="3"/>
  <c r="BB530" i="3"/>
  <c r="AQ534" i="3"/>
  <c r="AR534" i="3"/>
  <c r="D534" i="3"/>
  <c r="C534" i="3"/>
  <c r="A535" i="3"/>
  <c r="B534" i="3"/>
  <c r="G534" i="3"/>
  <c r="H534" i="3" s="1"/>
  <c r="F534" i="3"/>
  <c r="Q534" i="3"/>
  <c r="S534" i="3"/>
  <c r="O534" i="3"/>
  <c r="U534" i="3"/>
  <c r="AM534" i="3"/>
  <c r="AD534" i="3"/>
  <c r="M534" i="3"/>
  <c r="AK534" i="3"/>
  <c r="AE534" i="3"/>
  <c r="AF534" i="3"/>
  <c r="T534" i="3"/>
  <c r="V534" i="3"/>
  <c r="P534" i="3"/>
  <c r="R534" i="3"/>
  <c r="AT532" i="3"/>
  <c r="AG533" i="3"/>
  <c r="AO533" i="3"/>
  <c r="X533" i="3"/>
  <c r="AO534" i="3" l="1"/>
  <c r="AH534" i="3"/>
  <c r="AX533" i="3"/>
  <c r="X534" i="3"/>
  <c r="Y534" i="3"/>
  <c r="Z534" i="3" s="1"/>
  <c r="AT533" i="3"/>
  <c r="AW533" i="3"/>
  <c r="AY533" i="3" s="1"/>
  <c r="BN534" i="3"/>
  <c r="BB531" i="3"/>
  <c r="BF531" i="3"/>
  <c r="BJ530" i="3" s="1"/>
  <c r="BK530" i="3" s="1"/>
  <c r="BQ531" i="3"/>
  <c r="AG534" i="3"/>
  <c r="AU533" i="3"/>
  <c r="BM534" i="3"/>
  <c r="BD531" i="3"/>
  <c r="BG531" i="3"/>
  <c r="BH531" i="3" s="1"/>
  <c r="BI531" i="3" s="1"/>
  <c r="AV532" i="3"/>
  <c r="BC532" i="3" s="1"/>
  <c r="BA532" i="3"/>
  <c r="AN534" i="3"/>
  <c r="D535" i="3"/>
  <c r="C535" i="3"/>
  <c r="AR535" i="3"/>
  <c r="B535" i="3"/>
  <c r="A536" i="3"/>
  <c r="AQ535" i="3"/>
  <c r="G535" i="3"/>
  <c r="H535" i="3" s="1"/>
  <c r="F535" i="3"/>
  <c r="Q535" i="3"/>
  <c r="S535" i="3"/>
  <c r="O535" i="3"/>
  <c r="U535" i="3"/>
  <c r="AF535" i="3"/>
  <c r="AD535" i="3"/>
  <c r="AE535" i="3"/>
  <c r="M535" i="3"/>
  <c r="AK535" i="3"/>
  <c r="AM535" i="3"/>
  <c r="V535" i="3"/>
  <c r="R535" i="3"/>
  <c r="P535" i="3"/>
  <c r="T535" i="3"/>
  <c r="AU534" i="3" l="1"/>
  <c r="AN535" i="3"/>
  <c r="AX534" i="3"/>
  <c r="AT534" i="3"/>
  <c r="BA533" i="3"/>
  <c r="BQ533" i="3" s="1"/>
  <c r="X535" i="3"/>
  <c r="BM535" i="3"/>
  <c r="AW534" i="3"/>
  <c r="AV533" i="3"/>
  <c r="BC533" i="3" s="1"/>
  <c r="AO535" i="3"/>
  <c r="AG535" i="3"/>
  <c r="BN535" i="3"/>
  <c r="BQ532" i="3"/>
  <c r="BB532" i="3"/>
  <c r="BF532" i="3"/>
  <c r="BJ531" i="3" s="1"/>
  <c r="BK531" i="3" s="1"/>
  <c r="B536" i="3"/>
  <c r="AQ536" i="3"/>
  <c r="AR536" i="3"/>
  <c r="A537" i="3"/>
  <c r="D536" i="3"/>
  <c r="C536" i="3"/>
  <c r="G536" i="3"/>
  <c r="H536" i="3" s="1"/>
  <c r="F536" i="3"/>
  <c r="Q536" i="3"/>
  <c r="S536" i="3"/>
  <c r="O536" i="3"/>
  <c r="U536" i="3"/>
  <c r="M536" i="3"/>
  <c r="AD536" i="3"/>
  <c r="AF536" i="3"/>
  <c r="AK536" i="3"/>
  <c r="AM536" i="3"/>
  <c r="AE536" i="3"/>
  <c r="R536" i="3"/>
  <c r="V536" i="3"/>
  <c r="P536" i="3"/>
  <c r="T536" i="3"/>
  <c r="Y535" i="3"/>
  <c r="Z535" i="3" s="1"/>
  <c r="AH535" i="3"/>
  <c r="AT535" i="3" s="1"/>
  <c r="BD532" i="3"/>
  <c r="BG532" i="3"/>
  <c r="BH532" i="3" s="1"/>
  <c r="BI532" i="3" s="1"/>
  <c r="AV534" i="3" l="1"/>
  <c r="AU535" i="3"/>
  <c r="AV535" i="3" s="1"/>
  <c r="BA534" i="3"/>
  <c r="BB534" i="3" s="1"/>
  <c r="BB533" i="3"/>
  <c r="AY534" i="3"/>
  <c r="BC534" i="3" s="1"/>
  <c r="BF533" i="3"/>
  <c r="BJ532" i="3" s="1"/>
  <c r="BK532" i="3" s="1"/>
  <c r="AO536" i="3"/>
  <c r="BM536" i="3"/>
  <c r="AH536" i="3"/>
  <c r="AX535" i="3"/>
  <c r="BN536" i="3"/>
  <c r="X536" i="3"/>
  <c r="AQ537" i="3"/>
  <c r="B537" i="3"/>
  <c r="A538" i="3"/>
  <c r="AR537" i="3"/>
  <c r="D537" i="3"/>
  <c r="C537" i="3"/>
  <c r="G537" i="3"/>
  <c r="H537" i="3" s="1"/>
  <c r="F537" i="3"/>
  <c r="BM537" i="3" s="1"/>
  <c r="Q537" i="3"/>
  <c r="S537" i="3"/>
  <c r="O537" i="3"/>
  <c r="U537" i="3"/>
  <c r="AD537" i="3"/>
  <c r="AF537" i="3"/>
  <c r="AM537" i="3"/>
  <c r="AK537" i="3"/>
  <c r="AE537" i="3"/>
  <c r="M537" i="3"/>
  <c r="T537" i="3"/>
  <c r="R537" i="3"/>
  <c r="P537" i="3"/>
  <c r="V537" i="3"/>
  <c r="AW535" i="3"/>
  <c r="Y536" i="3"/>
  <c r="Z536" i="3" s="1"/>
  <c r="AG536" i="3"/>
  <c r="BD533" i="3"/>
  <c r="BG533" i="3"/>
  <c r="BH533" i="3" s="1"/>
  <c r="BI533" i="3" s="1"/>
  <c r="AN536" i="3"/>
  <c r="AU536" i="3" l="1"/>
  <c r="BQ534" i="3"/>
  <c r="BF534" i="3"/>
  <c r="BJ533" i="3" s="1"/>
  <c r="BK533" i="3" s="1"/>
  <c r="AY535" i="3"/>
  <c r="AO537" i="3"/>
  <c r="AT536" i="3"/>
  <c r="AV536" i="3" s="1"/>
  <c r="AX536" i="3"/>
  <c r="BA535" i="3"/>
  <c r="BF535" i="3" s="1"/>
  <c r="X537" i="3"/>
  <c r="AQ538" i="3"/>
  <c r="A539" i="3"/>
  <c r="AR538" i="3"/>
  <c r="C538" i="3"/>
  <c r="D538" i="3"/>
  <c r="B538" i="3"/>
  <c r="G538" i="3"/>
  <c r="H538" i="3" s="1"/>
  <c r="F538" i="3"/>
  <c r="Q538" i="3"/>
  <c r="S538" i="3"/>
  <c r="O538" i="3"/>
  <c r="U538" i="3"/>
  <c r="AD538" i="3"/>
  <c r="AE538" i="3"/>
  <c r="M538" i="3"/>
  <c r="AK538" i="3"/>
  <c r="AM538" i="3"/>
  <c r="AF538" i="3"/>
  <c r="P538" i="3"/>
  <c r="R538" i="3"/>
  <c r="V538" i="3"/>
  <c r="T538" i="3"/>
  <c r="BC535" i="3"/>
  <c r="AG537" i="3"/>
  <c r="BD534" i="3"/>
  <c r="BG534" i="3"/>
  <c r="BH534" i="3" s="1"/>
  <c r="BI534" i="3" s="1"/>
  <c r="AN537" i="3"/>
  <c r="BN537" i="3"/>
  <c r="AW536" i="3"/>
  <c r="Y537" i="3"/>
  <c r="Z537" i="3" s="1"/>
  <c r="AH537" i="3"/>
  <c r="BJ534" i="3" l="1"/>
  <c r="BK534" i="3" s="1"/>
  <c r="AY536" i="3"/>
  <c r="BC536" i="3" s="1"/>
  <c r="BQ535" i="3"/>
  <c r="BB535" i="3"/>
  <c r="AN538" i="3"/>
  <c r="Y538" i="3"/>
  <c r="Z538" i="3" s="1"/>
  <c r="X538" i="3"/>
  <c r="AX537" i="3"/>
  <c r="AH538" i="3"/>
  <c r="AW537" i="3"/>
  <c r="C539" i="3"/>
  <c r="D539" i="3"/>
  <c r="AR539" i="3"/>
  <c r="A540" i="3"/>
  <c r="B539" i="3"/>
  <c r="AQ539" i="3"/>
  <c r="G539" i="3"/>
  <c r="H539" i="3" s="1"/>
  <c r="F539" i="3"/>
  <c r="Q539" i="3"/>
  <c r="S539" i="3"/>
  <c r="O539" i="3"/>
  <c r="U539" i="3"/>
  <c r="AF539" i="3"/>
  <c r="AD539" i="3"/>
  <c r="M539" i="3"/>
  <c r="AE539" i="3"/>
  <c r="AM539" i="3"/>
  <c r="AK539" i="3"/>
  <c r="P539" i="3"/>
  <c r="V539" i="3"/>
  <c r="R539" i="3"/>
  <c r="T539" i="3"/>
  <c r="AU537" i="3"/>
  <c r="BM538" i="3"/>
  <c r="BA536" i="3"/>
  <c r="AO538" i="3"/>
  <c r="BD535" i="3"/>
  <c r="BG535" i="3"/>
  <c r="BH535" i="3" s="1"/>
  <c r="BI535" i="3" s="1"/>
  <c r="BN538" i="3"/>
  <c r="AG538" i="3"/>
  <c r="AT537" i="3"/>
  <c r="AY537" i="3" l="1"/>
  <c r="AO539" i="3"/>
  <c r="BM539" i="3"/>
  <c r="X539" i="3"/>
  <c r="Y539" i="3"/>
  <c r="Z539" i="3" s="1"/>
  <c r="AW538" i="3"/>
  <c r="AT538" i="3"/>
  <c r="B540" i="3"/>
  <c r="AQ540" i="3"/>
  <c r="AR540" i="3"/>
  <c r="A541" i="3"/>
  <c r="D540" i="3"/>
  <c r="C540" i="3"/>
  <c r="F540" i="3"/>
  <c r="BM540" i="3" s="1"/>
  <c r="G540" i="3"/>
  <c r="H540" i="3" s="1"/>
  <c r="BN540" i="3" s="1"/>
  <c r="Q540" i="3"/>
  <c r="S540" i="3"/>
  <c r="O540" i="3"/>
  <c r="U540" i="3"/>
  <c r="AF540" i="3"/>
  <c r="M540" i="3"/>
  <c r="AD540" i="3"/>
  <c r="AE540" i="3"/>
  <c r="AK540" i="3"/>
  <c r="AM540" i="3"/>
  <c r="R540" i="3"/>
  <c r="T540" i="3"/>
  <c r="P540" i="3"/>
  <c r="V540" i="3"/>
  <c r="BA537" i="3"/>
  <c r="AV537" i="3"/>
  <c r="BB536" i="3"/>
  <c r="BF536" i="3"/>
  <c r="BJ535" i="3" s="1"/>
  <c r="BK535" i="3" s="1"/>
  <c r="BQ536" i="3"/>
  <c r="AU538" i="3"/>
  <c r="BN539" i="3"/>
  <c r="AN539" i="3"/>
  <c r="AG539" i="3"/>
  <c r="BD536" i="3"/>
  <c r="BG536" i="3"/>
  <c r="BH536" i="3" s="1"/>
  <c r="BI536" i="3" s="1"/>
  <c r="AH539" i="3"/>
  <c r="AX538" i="3"/>
  <c r="AN540" i="3" l="1"/>
  <c r="BC537" i="3"/>
  <c r="BD537" i="3" s="1"/>
  <c r="AG540" i="3"/>
  <c r="AX539" i="3"/>
  <c r="AU539" i="3"/>
  <c r="AY538" i="3"/>
  <c r="AO540" i="3"/>
  <c r="AV538" i="3"/>
  <c r="BC538" i="3" s="1"/>
  <c r="BA538" i="3"/>
  <c r="BB537" i="3"/>
  <c r="BF537" i="3"/>
  <c r="BJ536" i="3" s="1"/>
  <c r="BK536" i="3" s="1"/>
  <c r="BQ537" i="3"/>
  <c r="AH540" i="3"/>
  <c r="AW539" i="3"/>
  <c r="AY539" i="3" s="1"/>
  <c r="Y540" i="3"/>
  <c r="Z540" i="3" s="1"/>
  <c r="X540" i="3"/>
  <c r="AQ541" i="3"/>
  <c r="B541" i="3"/>
  <c r="A542" i="3"/>
  <c r="AR541" i="3"/>
  <c r="C541" i="3"/>
  <c r="D541" i="3"/>
  <c r="F541" i="3"/>
  <c r="BM541" i="3" s="1"/>
  <c r="G541" i="3"/>
  <c r="H541" i="3" s="1"/>
  <c r="Q541" i="3"/>
  <c r="S541" i="3"/>
  <c r="O541" i="3"/>
  <c r="U541" i="3"/>
  <c r="AD541" i="3"/>
  <c r="AE541" i="3"/>
  <c r="M541" i="3"/>
  <c r="AM541" i="3"/>
  <c r="AF541" i="3"/>
  <c r="AK541" i="3"/>
  <c r="V541" i="3"/>
  <c r="R541" i="3"/>
  <c r="P541" i="3"/>
  <c r="T541" i="3"/>
  <c r="AT539" i="3"/>
  <c r="AO541" i="3" l="1"/>
  <c r="BG537" i="3"/>
  <c r="BH537" i="3" s="1"/>
  <c r="BI537" i="3" s="1"/>
  <c r="AX540" i="3"/>
  <c r="AG541" i="3"/>
  <c r="AH541" i="3"/>
  <c r="AT540" i="3"/>
  <c r="X541" i="3"/>
  <c r="BF538" i="3"/>
  <c r="BJ537" i="3" s="1"/>
  <c r="BK537" i="3" s="1"/>
  <c r="BB538" i="3"/>
  <c r="BQ538" i="3"/>
  <c r="BA539" i="3"/>
  <c r="AV539" i="3"/>
  <c r="BC539" i="3" s="1"/>
  <c r="Y541" i="3"/>
  <c r="Z541" i="3" s="1"/>
  <c r="AQ542" i="3"/>
  <c r="AR542" i="3"/>
  <c r="A543" i="3"/>
  <c r="C542" i="3"/>
  <c r="D542" i="3"/>
  <c r="B542" i="3"/>
  <c r="G542" i="3"/>
  <c r="H542" i="3" s="1"/>
  <c r="F542" i="3"/>
  <c r="Q542" i="3"/>
  <c r="S542" i="3"/>
  <c r="O542" i="3"/>
  <c r="U542" i="3"/>
  <c r="AE542" i="3"/>
  <c r="M542" i="3"/>
  <c r="AD542" i="3"/>
  <c r="AK542" i="3"/>
  <c r="AF542" i="3"/>
  <c r="AM542" i="3"/>
  <c r="AN542" i="3" s="1"/>
  <c r="R542" i="3"/>
  <c r="V542" i="3"/>
  <c r="T542" i="3"/>
  <c r="P542" i="3"/>
  <c r="AW540" i="3"/>
  <c r="AY540" i="3" s="1"/>
  <c r="AU540" i="3"/>
  <c r="BD538" i="3"/>
  <c r="BG538" i="3"/>
  <c r="BH538" i="3" s="1"/>
  <c r="BI538" i="3" s="1"/>
  <c r="AN541" i="3"/>
  <c r="BN541" i="3"/>
  <c r="AG542" i="3" l="1"/>
  <c r="AU541" i="3"/>
  <c r="AT541" i="3"/>
  <c r="AV541" i="3" s="1"/>
  <c r="X542" i="3"/>
  <c r="Y542" i="3"/>
  <c r="Z542" i="3" s="1"/>
  <c r="C543" i="3"/>
  <c r="D543" i="3"/>
  <c r="AR543" i="3"/>
  <c r="B543" i="3"/>
  <c r="AQ543" i="3"/>
  <c r="A544" i="3"/>
  <c r="F543" i="3"/>
  <c r="G543" i="3"/>
  <c r="H543" i="3" s="1"/>
  <c r="Q543" i="3"/>
  <c r="S543" i="3"/>
  <c r="O543" i="3"/>
  <c r="U543" i="3"/>
  <c r="AD543" i="3"/>
  <c r="M543" i="3"/>
  <c r="AF543" i="3"/>
  <c r="AE543" i="3"/>
  <c r="AK543" i="3"/>
  <c r="AM543" i="3"/>
  <c r="AN543" i="3" s="1"/>
  <c r="T543" i="3"/>
  <c r="V543" i="3"/>
  <c r="P543" i="3"/>
  <c r="R543" i="3"/>
  <c r="BM542" i="3"/>
  <c r="BA540" i="3"/>
  <c r="AV540" i="3"/>
  <c r="BC540" i="3" s="1"/>
  <c r="BN542" i="3"/>
  <c r="BD539" i="3"/>
  <c r="BG539" i="3"/>
  <c r="BH539" i="3" s="1"/>
  <c r="BI539" i="3" s="1"/>
  <c r="AX541" i="3"/>
  <c r="AO542" i="3"/>
  <c r="AH542" i="3"/>
  <c r="AU542" i="3" s="1"/>
  <c r="BQ539" i="3"/>
  <c r="BB539" i="3"/>
  <c r="BF539" i="3"/>
  <c r="BJ538" i="3" s="1"/>
  <c r="BK538" i="3" s="1"/>
  <c r="AW541" i="3"/>
  <c r="AW542" i="3" l="1"/>
  <c r="AH543" i="3"/>
  <c r="BM543" i="3"/>
  <c r="BN543" i="3"/>
  <c r="BA541" i="3"/>
  <c r="BB541" i="3" s="1"/>
  <c r="AX542" i="3"/>
  <c r="Y543" i="3"/>
  <c r="Z543" i="3" s="1"/>
  <c r="X543" i="3"/>
  <c r="BD540" i="3"/>
  <c r="BG540" i="3"/>
  <c r="BH540" i="3" s="1"/>
  <c r="BI540" i="3" s="1"/>
  <c r="BB540" i="3"/>
  <c r="BQ540" i="3"/>
  <c r="BF540" i="3"/>
  <c r="BJ539" i="3" s="1"/>
  <c r="BK539" i="3" s="1"/>
  <c r="B544" i="3"/>
  <c r="AQ544" i="3"/>
  <c r="AR544" i="3"/>
  <c r="D544" i="3"/>
  <c r="A545" i="3"/>
  <c r="C544" i="3"/>
  <c r="F544" i="3"/>
  <c r="BM544" i="3" s="1"/>
  <c r="G544" i="3"/>
  <c r="H544" i="3" s="1"/>
  <c r="Q544" i="3"/>
  <c r="S544" i="3"/>
  <c r="O544" i="3"/>
  <c r="U544" i="3"/>
  <c r="AF544" i="3"/>
  <c r="M544" i="3"/>
  <c r="AE544" i="3"/>
  <c r="AM544" i="3"/>
  <c r="AD544" i="3"/>
  <c r="AK544" i="3"/>
  <c r="T544" i="3"/>
  <c r="P544" i="3"/>
  <c r="R544" i="3"/>
  <c r="V544" i="3"/>
  <c r="AO543" i="3"/>
  <c r="AY541" i="3"/>
  <c r="BC541" i="3" s="1"/>
  <c r="AT542" i="3"/>
  <c r="AG543" i="3"/>
  <c r="BQ541" i="3" l="1"/>
  <c r="BF541" i="3"/>
  <c r="AY542" i="3"/>
  <c r="AO544" i="3"/>
  <c r="AX543" i="3"/>
  <c r="AG544" i="3"/>
  <c r="Y544" i="3"/>
  <c r="Z544" i="3" s="1"/>
  <c r="BG541" i="3"/>
  <c r="BH541" i="3" s="1"/>
  <c r="BI541" i="3" s="1"/>
  <c r="BD541" i="3"/>
  <c r="X544" i="3"/>
  <c r="AU543" i="3"/>
  <c r="AQ545" i="3"/>
  <c r="B545" i="3"/>
  <c r="A546" i="3"/>
  <c r="AR545" i="3"/>
  <c r="D545" i="3"/>
  <c r="C545" i="3"/>
  <c r="G545" i="3"/>
  <c r="H545" i="3" s="1"/>
  <c r="F545" i="3"/>
  <c r="Q545" i="3"/>
  <c r="S545" i="3"/>
  <c r="O545" i="3"/>
  <c r="U545" i="3"/>
  <c r="AF545" i="3"/>
  <c r="AM545" i="3"/>
  <c r="AE545" i="3"/>
  <c r="AD545" i="3"/>
  <c r="M545" i="3"/>
  <c r="AK545" i="3"/>
  <c r="P545" i="3"/>
  <c r="R545" i="3"/>
  <c r="T545" i="3"/>
  <c r="V545" i="3"/>
  <c r="AW543" i="3"/>
  <c r="AV542" i="3"/>
  <c r="BA542" i="3"/>
  <c r="AH544" i="3"/>
  <c r="AT543" i="3"/>
  <c r="BJ540" i="3"/>
  <c r="BK540" i="3" s="1"/>
  <c r="AN544" i="3"/>
  <c r="BN544" i="3"/>
  <c r="BN545" i="3" l="1"/>
  <c r="BC542" i="3"/>
  <c r="AY543" i="3"/>
  <c r="AT544" i="3"/>
  <c r="AG545" i="3"/>
  <c r="AW544" i="3"/>
  <c r="AN545" i="3"/>
  <c r="Y545" i="3"/>
  <c r="Z545" i="3" s="1"/>
  <c r="AQ546" i="3"/>
  <c r="AR546" i="3"/>
  <c r="C546" i="3"/>
  <c r="D546" i="3"/>
  <c r="A547" i="3"/>
  <c r="B546" i="3"/>
  <c r="F546" i="3"/>
  <c r="G546" i="3"/>
  <c r="H546" i="3" s="1"/>
  <c r="Q546" i="3"/>
  <c r="S546" i="3"/>
  <c r="O546" i="3"/>
  <c r="U546" i="3"/>
  <c r="AF546" i="3"/>
  <c r="M546" i="3"/>
  <c r="AD546" i="3"/>
  <c r="AK546" i="3"/>
  <c r="AM546" i="3"/>
  <c r="AN546" i="3" s="1"/>
  <c r="AE546" i="3"/>
  <c r="T546" i="3"/>
  <c r="V546" i="3"/>
  <c r="P546" i="3"/>
  <c r="R546" i="3"/>
  <c r="X545" i="3"/>
  <c r="AX544" i="3"/>
  <c r="AY544" i="3" s="1"/>
  <c r="AO545" i="3"/>
  <c r="BA543" i="3"/>
  <c r="AV543" i="3"/>
  <c r="BC543" i="3" s="1"/>
  <c r="BF542" i="3"/>
  <c r="BJ541" i="3" s="1"/>
  <c r="BK541" i="3" s="1"/>
  <c r="BQ542" i="3"/>
  <c r="BB542" i="3"/>
  <c r="BG542" i="3"/>
  <c r="BH542" i="3" s="1"/>
  <c r="BI542" i="3" s="1"/>
  <c r="BD542" i="3"/>
  <c r="AH545" i="3"/>
  <c r="BM545" i="3"/>
  <c r="AU544" i="3"/>
  <c r="AV544" i="3" l="1"/>
  <c r="BC544" i="3" s="1"/>
  <c r="BN546" i="3"/>
  <c r="BM546" i="3"/>
  <c r="AW545" i="3"/>
  <c r="AU545" i="3"/>
  <c r="AH546" i="3"/>
  <c r="AT545" i="3"/>
  <c r="D547" i="3"/>
  <c r="A548" i="3"/>
  <c r="C547" i="3"/>
  <c r="AR547" i="3"/>
  <c r="B547" i="3"/>
  <c r="AQ547" i="3"/>
  <c r="G547" i="3"/>
  <c r="H547" i="3" s="1"/>
  <c r="F547" i="3"/>
  <c r="BM547" i="3" s="1"/>
  <c r="Q547" i="3"/>
  <c r="S547" i="3"/>
  <c r="O547" i="3"/>
  <c r="U547" i="3"/>
  <c r="AF547" i="3"/>
  <c r="AE547" i="3"/>
  <c r="AD547" i="3"/>
  <c r="M547" i="3"/>
  <c r="AK547" i="3"/>
  <c r="AM547" i="3"/>
  <c r="T547" i="3"/>
  <c r="R547" i="3"/>
  <c r="P547" i="3"/>
  <c r="V547" i="3"/>
  <c r="Y546" i="3"/>
  <c r="Z546" i="3" s="1"/>
  <c r="X546" i="3"/>
  <c r="AO546" i="3"/>
  <c r="BD543" i="3"/>
  <c r="BG543" i="3"/>
  <c r="BH543" i="3" s="1"/>
  <c r="BI543" i="3" s="1"/>
  <c r="BA544" i="3"/>
  <c r="AX545" i="3"/>
  <c r="BB543" i="3"/>
  <c r="BQ543" i="3"/>
  <c r="BF543" i="3"/>
  <c r="BJ542" i="3" s="1"/>
  <c r="BK542" i="3" s="1"/>
  <c r="AG546" i="3"/>
  <c r="BN547" i="3" l="1"/>
  <c r="AY545" i="3"/>
  <c r="BG544" i="3"/>
  <c r="BH544" i="3" s="1"/>
  <c r="BI544" i="3" s="1"/>
  <c r="BD544" i="3"/>
  <c r="AN547" i="3"/>
  <c r="AW546" i="3"/>
  <c r="AH547" i="3"/>
  <c r="AO547" i="3"/>
  <c r="X547" i="3"/>
  <c r="B548" i="3"/>
  <c r="D548" i="3"/>
  <c r="AQ548" i="3"/>
  <c r="AR548" i="3"/>
  <c r="A549" i="3"/>
  <c r="C548" i="3"/>
  <c r="G548" i="3"/>
  <c r="H548" i="3" s="1"/>
  <c r="F548" i="3"/>
  <c r="Q548" i="3"/>
  <c r="S548" i="3"/>
  <c r="O548" i="3"/>
  <c r="U548" i="3"/>
  <c r="AD548" i="3"/>
  <c r="M548" i="3"/>
  <c r="AE548" i="3"/>
  <c r="AM548" i="3"/>
  <c r="AF548" i="3"/>
  <c r="AK548" i="3"/>
  <c r="P548" i="3"/>
  <c r="T548" i="3"/>
  <c r="V548" i="3"/>
  <c r="R548" i="3"/>
  <c r="AV545" i="3"/>
  <c r="BC545" i="3" s="1"/>
  <c r="BA545" i="3"/>
  <c r="BF544" i="3"/>
  <c r="BJ543" i="3" s="1"/>
  <c r="BK543" i="3" s="1"/>
  <c r="BQ544" i="3"/>
  <c r="BB544" i="3"/>
  <c r="AX546" i="3"/>
  <c r="AU546" i="3"/>
  <c r="Y547" i="3"/>
  <c r="Z547" i="3" s="1"/>
  <c r="AG547" i="3"/>
  <c r="AT546" i="3"/>
  <c r="AW547" i="3" l="1"/>
  <c r="AO548" i="3"/>
  <c r="AT547" i="3"/>
  <c r="AY546" i="3"/>
  <c r="BN548" i="3"/>
  <c r="AG548" i="3"/>
  <c r="AQ549" i="3"/>
  <c r="B549" i="3"/>
  <c r="A550" i="3"/>
  <c r="AR549" i="3"/>
  <c r="D549" i="3"/>
  <c r="C549" i="3"/>
  <c r="F549" i="3"/>
  <c r="G549" i="3"/>
  <c r="H549" i="3" s="1"/>
  <c r="Q549" i="3"/>
  <c r="S549" i="3"/>
  <c r="O549" i="3"/>
  <c r="U549" i="3"/>
  <c r="AE549" i="3"/>
  <c r="M549" i="3"/>
  <c r="AD549" i="3"/>
  <c r="AF549" i="3"/>
  <c r="AM549" i="3"/>
  <c r="AK549" i="3"/>
  <c r="T549" i="3"/>
  <c r="R549" i="3"/>
  <c r="V549" i="3"/>
  <c r="P549" i="3"/>
  <c r="BA546" i="3"/>
  <c r="AV546" i="3"/>
  <c r="BC546" i="3" s="1"/>
  <c r="X548" i="3"/>
  <c r="Y548" i="3"/>
  <c r="Z548" i="3" s="1"/>
  <c r="AU547" i="3"/>
  <c r="BQ545" i="3"/>
  <c r="BB545" i="3"/>
  <c r="BF545" i="3"/>
  <c r="BJ544" i="3" s="1"/>
  <c r="BK544" i="3" s="1"/>
  <c r="AH548" i="3"/>
  <c r="AX547" i="3"/>
  <c r="AY547" i="3" s="1"/>
  <c r="BD545" i="3"/>
  <c r="BG545" i="3"/>
  <c r="BH545" i="3" s="1"/>
  <c r="BI545" i="3" s="1"/>
  <c r="AN548" i="3"/>
  <c r="BM548" i="3"/>
  <c r="BA547" i="3" l="1"/>
  <c r="AO549" i="3"/>
  <c r="AX548" i="3"/>
  <c r="BM549" i="3"/>
  <c r="BB547" i="3"/>
  <c r="BF547" i="3"/>
  <c r="BQ547" i="3"/>
  <c r="AQ550" i="3"/>
  <c r="AR550" i="3"/>
  <c r="D550" i="3"/>
  <c r="C550" i="3"/>
  <c r="B550" i="3"/>
  <c r="A551" i="3"/>
  <c r="G550" i="3"/>
  <c r="H550" i="3" s="1"/>
  <c r="F550" i="3"/>
  <c r="BM550" i="3" s="1"/>
  <c r="Q550" i="3"/>
  <c r="S550" i="3"/>
  <c r="O550" i="3"/>
  <c r="U550" i="3"/>
  <c r="AF550" i="3"/>
  <c r="AD550" i="3"/>
  <c r="M550" i="3"/>
  <c r="AE550" i="3"/>
  <c r="AM550" i="3"/>
  <c r="AK550" i="3"/>
  <c r="R550" i="3"/>
  <c r="T550" i="3"/>
  <c r="V550" i="3"/>
  <c r="P550" i="3"/>
  <c r="Y549" i="3"/>
  <c r="Z549" i="3" s="1"/>
  <c r="AU548" i="3"/>
  <c r="X549" i="3"/>
  <c r="AT548" i="3"/>
  <c r="AG549" i="3"/>
  <c r="BN549" i="3"/>
  <c r="AV547" i="3"/>
  <c r="BC547" i="3" s="1"/>
  <c r="AN549" i="3"/>
  <c r="BD546" i="3"/>
  <c r="BG546" i="3"/>
  <c r="BH546" i="3" s="1"/>
  <c r="BI546" i="3" s="1"/>
  <c r="AH549" i="3"/>
  <c r="BF546" i="3"/>
  <c r="BJ545" i="3" s="1"/>
  <c r="BK545" i="3" s="1"/>
  <c r="BQ546" i="3"/>
  <c r="BB546" i="3"/>
  <c r="AW548" i="3"/>
  <c r="AY548" i="3" s="1"/>
  <c r="AO550" i="3" l="1"/>
  <c r="AN550" i="3"/>
  <c r="AG550" i="3"/>
  <c r="AW549" i="3"/>
  <c r="AX549" i="3"/>
  <c r="BN550" i="3"/>
  <c r="BD547" i="3"/>
  <c r="BG547" i="3"/>
  <c r="BH547" i="3" s="1"/>
  <c r="BI547" i="3" s="1"/>
  <c r="AH550" i="3"/>
  <c r="AU550" i="3" s="1"/>
  <c r="D551" i="3"/>
  <c r="C551" i="3"/>
  <c r="AR551" i="3"/>
  <c r="A552" i="3"/>
  <c r="B551" i="3"/>
  <c r="AQ551" i="3"/>
  <c r="G551" i="3"/>
  <c r="H551" i="3" s="1"/>
  <c r="BN551" i="3" s="1"/>
  <c r="F551" i="3"/>
  <c r="Q551" i="3"/>
  <c r="S551" i="3"/>
  <c r="O551" i="3"/>
  <c r="U551" i="3"/>
  <c r="AE551" i="3"/>
  <c r="AF551" i="3"/>
  <c r="M551" i="3"/>
  <c r="AM551" i="3"/>
  <c r="AK551" i="3"/>
  <c r="AD551" i="3"/>
  <c r="R551" i="3"/>
  <c r="P551" i="3"/>
  <c r="T551" i="3"/>
  <c r="V551" i="3"/>
  <c r="AT549" i="3"/>
  <c r="Y550" i="3"/>
  <c r="Z550" i="3" s="1"/>
  <c r="BJ546" i="3"/>
  <c r="BK546" i="3" s="1"/>
  <c r="AU549" i="3"/>
  <c r="AV548" i="3"/>
  <c r="BC548" i="3" s="1"/>
  <c r="BA548" i="3"/>
  <c r="X550" i="3"/>
  <c r="AW550" i="3" l="1"/>
  <c r="AH551" i="3"/>
  <c r="BM551" i="3"/>
  <c r="AN551" i="3"/>
  <c r="AX550" i="3"/>
  <c r="AY550" i="3" s="1"/>
  <c r="AG551" i="3"/>
  <c r="AT551" i="3" s="1"/>
  <c r="BF548" i="3"/>
  <c r="BJ547" i="3" s="1"/>
  <c r="BK547" i="3" s="1"/>
  <c r="BB548" i="3"/>
  <c r="BQ548" i="3"/>
  <c r="X551" i="3"/>
  <c r="B552" i="3"/>
  <c r="AQ552" i="3"/>
  <c r="AR552" i="3"/>
  <c r="A553" i="3"/>
  <c r="C552" i="3"/>
  <c r="D552" i="3"/>
  <c r="F552" i="3"/>
  <c r="G552" i="3"/>
  <c r="H552" i="3" s="1"/>
  <c r="S552" i="3"/>
  <c r="Q552" i="3"/>
  <c r="O552" i="3"/>
  <c r="U552" i="3"/>
  <c r="AD552" i="3"/>
  <c r="AE552" i="3"/>
  <c r="M552" i="3"/>
  <c r="AM552" i="3"/>
  <c r="AF552" i="3"/>
  <c r="AK552" i="3"/>
  <c r="T552" i="3"/>
  <c r="V552" i="3"/>
  <c r="P552" i="3"/>
  <c r="R552" i="3"/>
  <c r="AV549" i="3"/>
  <c r="BA549" i="3"/>
  <c r="BD548" i="3"/>
  <c r="BG548" i="3"/>
  <c r="BH548" i="3" s="1"/>
  <c r="BI548" i="3" s="1"/>
  <c r="Y551" i="3"/>
  <c r="Z551" i="3" s="1"/>
  <c r="AY549" i="3"/>
  <c r="AO551" i="3"/>
  <c r="AT550" i="3"/>
  <c r="BN552" i="3" l="1"/>
  <c r="BM552" i="3"/>
  <c r="BC549" i="3"/>
  <c r="AN552" i="3"/>
  <c r="AV550" i="3"/>
  <c r="BC550" i="3" s="1"/>
  <c r="BA550" i="3"/>
  <c r="AG552" i="3"/>
  <c r="BF549" i="3"/>
  <c r="BJ548" i="3" s="1"/>
  <c r="BK548" i="3" s="1"/>
  <c r="BQ549" i="3"/>
  <c r="BB549" i="3"/>
  <c r="BD549" i="3"/>
  <c r="BG549" i="3"/>
  <c r="BH549" i="3" s="1"/>
  <c r="BI549" i="3" s="1"/>
  <c r="X552" i="3"/>
  <c r="AQ553" i="3"/>
  <c r="B553" i="3"/>
  <c r="A554" i="3"/>
  <c r="AR553" i="3"/>
  <c r="D553" i="3"/>
  <c r="C553" i="3"/>
  <c r="G553" i="3"/>
  <c r="H553" i="3" s="1"/>
  <c r="F553" i="3"/>
  <c r="Q553" i="3"/>
  <c r="S553" i="3"/>
  <c r="O553" i="3"/>
  <c r="U553" i="3"/>
  <c r="AE553" i="3"/>
  <c r="M553" i="3"/>
  <c r="AD553" i="3"/>
  <c r="AK553" i="3"/>
  <c r="AF553" i="3"/>
  <c r="AM553" i="3"/>
  <c r="AN553" i="3" s="1"/>
  <c r="P553" i="3"/>
  <c r="V553" i="3"/>
  <c r="T553" i="3"/>
  <c r="R553" i="3"/>
  <c r="AW551" i="3"/>
  <c r="AU551" i="3"/>
  <c r="AH552" i="3"/>
  <c r="Y552" i="3"/>
  <c r="Z552" i="3" s="1"/>
  <c r="AV551" i="3"/>
  <c r="AO552" i="3"/>
  <c r="AX551" i="3"/>
  <c r="BA551" i="3" l="1"/>
  <c r="BF551" i="3" s="1"/>
  <c r="AG553" i="3"/>
  <c r="AY551" i="3"/>
  <c r="BC551" i="3" s="1"/>
  <c r="X553" i="3"/>
  <c r="AR554" i="3"/>
  <c r="A555" i="3"/>
  <c r="AQ554" i="3"/>
  <c r="D554" i="3"/>
  <c r="C554" i="3"/>
  <c r="B554" i="3"/>
  <c r="G554" i="3"/>
  <c r="H554" i="3" s="1"/>
  <c r="F554" i="3"/>
  <c r="Q554" i="3"/>
  <c r="S554" i="3"/>
  <c r="O554" i="3"/>
  <c r="U554" i="3"/>
  <c r="M554" i="3"/>
  <c r="AF554" i="3"/>
  <c r="AE554" i="3"/>
  <c r="AK554" i="3"/>
  <c r="AM554" i="3"/>
  <c r="AD554" i="3"/>
  <c r="AH554" i="3" s="1"/>
  <c r="T554" i="3"/>
  <c r="V554" i="3"/>
  <c r="P554" i="3"/>
  <c r="R554" i="3"/>
  <c r="Y553" i="3"/>
  <c r="Z553" i="3" s="1"/>
  <c r="AW552" i="3"/>
  <c r="AX552" i="3"/>
  <c r="BM553" i="3"/>
  <c r="BQ550" i="3"/>
  <c r="BB550" i="3"/>
  <c r="BF550" i="3"/>
  <c r="BJ549" i="3" s="1"/>
  <c r="BK549" i="3" s="1"/>
  <c r="AT552" i="3"/>
  <c r="AO553" i="3"/>
  <c r="AU552" i="3"/>
  <c r="AH553" i="3"/>
  <c r="BN553" i="3"/>
  <c r="BD550" i="3"/>
  <c r="BG550" i="3"/>
  <c r="BH550" i="3" s="1"/>
  <c r="BI550" i="3" s="1"/>
  <c r="AN554" i="3" l="1"/>
  <c r="BQ551" i="3"/>
  <c r="BB551" i="3"/>
  <c r="AW553" i="3"/>
  <c r="AY552" i="3"/>
  <c r="AX553" i="3"/>
  <c r="AY553" i="3" s="1"/>
  <c r="BD551" i="3"/>
  <c r="BG551" i="3"/>
  <c r="BH551" i="3" s="1"/>
  <c r="BI551" i="3" s="1"/>
  <c r="Y554" i="3"/>
  <c r="Z554" i="3" s="1"/>
  <c r="X554" i="3"/>
  <c r="AV552" i="3"/>
  <c r="BA552" i="3"/>
  <c r="D555" i="3"/>
  <c r="C555" i="3"/>
  <c r="AR555" i="3"/>
  <c r="A556" i="3"/>
  <c r="B555" i="3"/>
  <c r="AQ555" i="3"/>
  <c r="F555" i="3"/>
  <c r="G555" i="3"/>
  <c r="H555" i="3" s="1"/>
  <c r="Q555" i="3"/>
  <c r="S555" i="3"/>
  <c r="O555" i="3"/>
  <c r="U555" i="3"/>
  <c r="M555" i="3"/>
  <c r="AF555" i="3"/>
  <c r="AD555" i="3"/>
  <c r="AE555" i="3"/>
  <c r="AK555" i="3"/>
  <c r="AM555" i="3"/>
  <c r="R555" i="3"/>
  <c r="V555" i="3"/>
  <c r="P555" i="3"/>
  <c r="T555" i="3"/>
  <c r="BM554" i="3"/>
  <c r="AU553" i="3"/>
  <c r="BN554" i="3"/>
  <c r="AT553" i="3"/>
  <c r="AO554" i="3"/>
  <c r="AG554" i="3"/>
  <c r="AU554" i="3" s="1"/>
  <c r="BJ550" i="3"/>
  <c r="BK550" i="3" s="1"/>
  <c r="AN555" i="3" l="1"/>
  <c r="BC552" i="3"/>
  <c r="AT554" i="3"/>
  <c r="AV554" i="3" s="1"/>
  <c r="BN555" i="3"/>
  <c r="AG555" i="3"/>
  <c r="AX554" i="3"/>
  <c r="AW554" i="3"/>
  <c r="AY554" i="3" s="1"/>
  <c r="AO555" i="3"/>
  <c r="BM555" i="3"/>
  <c r="BA553" i="3"/>
  <c r="AV553" i="3"/>
  <c r="BC553" i="3" s="1"/>
  <c r="BF552" i="3"/>
  <c r="BJ551" i="3" s="1"/>
  <c r="BK551" i="3" s="1"/>
  <c r="BB552" i="3"/>
  <c r="BQ552" i="3"/>
  <c r="AH555" i="3"/>
  <c r="Y555" i="3"/>
  <c r="Z555" i="3" s="1"/>
  <c r="X555" i="3"/>
  <c r="B556" i="3"/>
  <c r="AQ556" i="3"/>
  <c r="AR556" i="3"/>
  <c r="A557" i="3"/>
  <c r="D556" i="3"/>
  <c r="C556" i="3"/>
  <c r="F556" i="3"/>
  <c r="BM556" i="3" s="1"/>
  <c r="G556" i="3"/>
  <c r="H556" i="3" s="1"/>
  <c r="Q556" i="3"/>
  <c r="S556" i="3"/>
  <c r="O556" i="3"/>
  <c r="U556" i="3"/>
  <c r="M556" i="3"/>
  <c r="AM556" i="3"/>
  <c r="AE556" i="3"/>
  <c r="AD556" i="3"/>
  <c r="AF556" i="3"/>
  <c r="AK556" i="3"/>
  <c r="P556" i="3"/>
  <c r="R556" i="3"/>
  <c r="V556" i="3"/>
  <c r="T556" i="3"/>
  <c r="BD552" i="3"/>
  <c r="BG552" i="3"/>
  <c r="BH552" i="3" s="1"/>
  <c r="BI552" i="3" s="1"/>
  <c r="AX555" i="3" l="1"/>
  <c r="BA554" i="3"/>
  <c r="BB554" i="3" s="1"/>
  <c r="AG556" i="3"/>
  <c r="BC554" i="3"/>
  <c r="BD554" i="3" s="1"/>
  <c r="AN556" i="3"/>
  <c r="AW555" i="3"/>
  <c r="AQ557" i="3"/>
  <c r="B557" i="3"/>
  <c r="A558" i="3"/>
  <c r="AR557" i="3"/>
  <c r="D557" i="3"/>
  <c r="C557" i="3"/>
  <c r="F557" i="3"/>
  <c r="BM557" i="3" s="1"/>
  <c r="G557" i="3"/>
  <c r="H557" i="3" s="1"/>
  <c r="BN557" i="3" s="1"/>
  <c r="Q557" i="3"/>
  <c r="S557" i="3"/>
  <c r="O557" i="3"/>
  <c r="U557" i="3"/>
  <c r="M557" i="3"/>
  <c r="AM557" i="3"/>
  <c r="AD557" i="3"/>
  <c r="AE557" i="3"/>
  <c r="AK557" i="3"/>
  <c r="AO557" i="3" s="1"/>
  <c r="AF557" i="3"/>
  <c r="P557" i="3"/>
  <c r="R557" i="3"/>
  <c r="V557" i="3"/>
  <c r="T557" i="3"/>
  <c r="BQ553" i="3"/>
  <c r="BF553" i="3"/>
  <c r="BJ552" i="3" s="1"/>
  <c r="BK552" i="3" s="1"/>
  <c r="BB553" i="3"/>
  <c r="BD553" i="3"/>
  <c r="BG553" i="3"/>
  <c r="BH553" i="3" s="1"/>
  <c r="BI553" i="3" s="1"/>
  <c r="AO556" i="3"/>
  <c r="AU555" i="3"/>
  <c r="Y556" i="3"/>
  <c r="Z556" i="3" s="1"/>
  <c r="X556" i="3"/>
  <c r="AH556" i="3"/>
  <c r="BN556" i="3"/>
  <c r="BF554" i="3"/>
  <c r="AT555" i="3"/>
  <c r="AY555" i="3" l="1"/>
  <c r="AX556" i="3"/>
  <c r="BQ554" i="3"/>
  <c r="BG554" i="3"/>
  <c r="BH554" i="3" s="1"/>
  <c r="BI554" i="3" s="1"/>
  <c r="X557" i="3"/>
  <c r="AQ558" i="3"/>
  <c r="AR558" i="3"/>
  <c r="A559" i="3"/>
  <c r="D558" i="3"/>
  <c r="C558" i="3"/>
  <c r="B558" i="3"/>
  <c r="F558" i="3"/>
  <c r="BM558" i="3" s="1"/>
  <c r="G558" i="3"/>
  <c r="H558" i="3" s="1"/>
  <c r="Q558" i="3"/>
  <c r="S558" i="3"/>
  <c r="O558" i="3"/>
  <c r="U558" i="3"/>
  <c r="M558" i="3"/>
  <c r="AE558" i="3"/>
  <c r="AF558" i="3"/>
  <c r="AD558" i="3"/>
  <c r="AM558" i="3"/>
  <c r="AK558" i="3"/>
  <c r="AO558" i="3" s="1"/>
  <c r="P558" i="3"/>
  <c r="T558" i="3"/>
  <c r="R558" i="3"/>
  <c r="V558" i="3"/>
  <c r="AT556" i="3"/>
  <c r="AV555" i="3"/>
  <c r="BC555" i="3" s="1"/>
  <c r="BA555" i="3"/>
  <c r="AN557" i="3"/>
  <c r="AG557" i="3"/>
  <c r="AH557" i="3"/>
  <c r="AW556" i="3"/>
  <c r="AY556" i="3" s="1"/>
  <c r="BJ553" i="3"/>
  <c r="BK553" i="3" s="1"/>
  <c r="AU556" i="3"/>
  <c r="Y557" i="3"/>
  <c r="Z557" i="3" s="1"/>
  <c r="AX557" i="3" l="1"/>
  <c r="BN558" i="3"/>
  <c r="AG558" i="3"/>
  <c r="AV556" i="3"/>
  <c r="BC556" i="3" s="1"/>
  <c r="BA556" i="3"/>
  <c r="AH558" i="3"/>
  <c r="AT558" i="3" s="1"/>
  <c r="AW557" i="3"/>
  <c r="AY557" i="3" s="1"/>
  <c r="BQ555" i="3"/>
  <c r="BB555" i="3"/>
  <c r="BF555" i="3"/>
  <c r="BJ554" i="3" s="1"/>
  <c r="BK554" i="3" s="1"/>
  <c r="C559" i="3"/>
  <c r="A560" i="3"/>
  <c r="D559" i="3"/>
  <c r="AR559" i="3"/>
  <c r="B559" i="3"/>
  <c r="AQ559" i="3"/>
  <c r="G559" i="3"/>
  <c r="H559" i="3" s="1"/>
  <c r="F559" i="3"/>
  <c r="BM559" i="3" s="1"/>
  <c r="Q559" i="3"/>
  <c r="S559" i="3"/>
  <c r="O559" i="3"/>
  <c r="U559" i="3"/>
  <c r="AF559" i="3"/>
  <c r="M559" i="3"/>
  <c r="AD559" i="3"/>
  <c r="AE559" i="3"/>
  <c r="AM559" i="3"/>
  <c r="AK559" i="3"/>
  <c r="AO559" i="3" s="1"/>
  <c r="R559" i="3"/>
  <c r="P559" i="3"/>
  <c r="T559" i="3"/>
  <c r="V559" i="3"/>
  <c r="AT557" i="3"/>
  <c r="BD555" i="3"/>
  <c r="BG555" i="3"/>
  <c r="BH555" i="3" s="1"/>
  <c r="BI555" i="3" s="1"/>
  <c r="Y558" i="3"/>
  <c r="Z558" i="3" s="1"/>
  <c r="X558" i="3"/>
  <c r="AU557" i="3"/>
  <c r="AN558" i="3"/>
  <c r="BN559" i="3" l="1"/>
  <c r="AU558" i="3"/>
  <c r="AH559" i="3"/>
  <c r="BA557" i="3"/>
  <c r="AV557" i="3"/>
  <c r="BC557" i="3" s="1"/>
  <c r="AX558" i="3"/>
  <c r="B560" i="3"/>
  <c r="AQ560" i="3"/>
  <c r="AR560" i="3"/>
  <c r="D560" i="3"/>
  <c r="A561" i="3"/>
  <c r="C560" i="3"/>
  <c r="F560" i="3"/>
  <c r="BM560" i="3" s="1"/>
  <c r="G560" i="3"/>
  <c r="H560" i="3" s="1"/>
  <c r="Q560" i="3"/>
  <c r="S560" i="3"/>
  <c r="O560" i="3"/>
  <c r="U560" i="3"/>
  <c r="M560" i="3"/>
  <c r="AM560" i="3"/>
  <c r="AF560" i="3"/>
  <c r="AD560" i="3"/>
  <c r="AK560" i="3"/>
  <c r="AO560" i="3" s="1"/>
  <c r="AE560" i="3"/>
  <c r="AG560" i="3" s="1"/>
  <c r="P560" i="3"/>
  <c r="V560" i="3"/>
  <c r="R560" i="3"/>
  <c r="T560" i="3"/>
  <c r="BB556" i="3"/>
  <c r="BF556" i="3"/>
  <c r="BJ555" i="3" s="1"/>
  <c r="BK555" i="3" s="1"/>
  <c r="BQ556" i="3"/>
  <c r="AV558" i="3"/>
  <c r="AN559" i="3"/>
  <c r="BD556" i="3"/>
  <c r="BG556" i="3"/>
  <c r="BH556" i="3" s="1"/>
  <c r="BI556" i="3" s="1"/>
  <c r="Y559" i="3"/>
  <c r="Z559" i="3" s="1"/>
  <c r="X559" i="3"/>
  <c r="AG559" i="3"/>
  <c r="AW558" i="3"/>
  <c r="BN560" i="3" l="1"/>
  <c r="AY558" i="3"/>
  <c r="BC558" i="3" s="1"/>
  <c r="AW559" i="3"/>
  <c r="AN560" i="3"/>
  <c r="BD557" i="3"/>
  <c r="BG557" i="3"/>
  <c r="BH557" i="3" s="1"/>
  <c r="BI557" i="3" s="1"/>
  <c r="AH560" i="3"/>
  <c r="AQ561" i="3"/>
  <c r="B561" i="3"/>
  <c r="A562" i="3"/>
  <c r="AR561" i="3"/>
  <c r="D561" i="3"/>
  <c r="C561" i="3"/>
  <c r="G561" i="3"/>
  <c r="H561" i="3" s="1"/>
  <c r="BN561" i="3" s="1"/>
  <c r="F561" i="3"/>
  <c r="BM561" i="3" s="1"/>
  <c r="Q561" i="3"/>
  <c r="S561" i="3"/>
  <c r="O561" i="3"/>
  <c r="U561" i="3"/>
  <c r="AD561" i="3"/>
  <c r="AF561" i="3"/>
  <c r="AE561" i="3"/>
  <c r="AG561" i="3" s="1"/>
  <c r="M561" i="3"/>
  <c r="AM561" i="3"/>
  <c r="AK561" i="3"/>
  <c r="R561" i="3"/>
  <c r="T561" i="3"/>
  <c r="P561" i="3"/>
  <c r="V561" i="3"/>
  <c r="BF557" i="3"/>
  <c r="BJ556" i="3" s="1"/>
  <c r="BK556" i="3" s="1"/>
  <c r="BQ557" i="3"/>
  <c r="BB557" i="3"/>
  <c r="Y560" i="3"/>
  <c r="Z560" i="3" s="1"/>
  <c r="X560" i="3"/>
  <c r="AT559" i="3"/>
  <c r="AX559" i="3"/>
  <c r="AY559" i="3" s="1"/>
  <c r="BA558" i="3"/>
  <c r="AU559" i="3"/>
  <c r="AX560" i="3" l="1"/>
  <c r="AT560" i="3"/>
  <c r="AN561" i="3"/>
  <c r="AW560" i="3"/>
  <c r="AY560" i="3" s="1"/>
  <c r="AH561" i="3"/>
  <c r="Y561" i="3"/>
  <c r="Z561" i="3" s="1"/>
  <c r="BA559" i="3"/>
  <c r="AV559" i="3"/>
  <c r="BC559" i="3" s="1"/>
  <c r="BD558" i="3"/>
  <c r="BG558" i="3"/>
  <c r="BH558" i="3" s="1"/>
  <c r="BI558" i="3" s="1"/>
  <c r="BB558" i="3"/>
  <c r="BF558" i="3"/>
  <c r="BJ557" i="3" s="1"/>
  <c r="BK557" i="3" s="1"/>
  <c r="BQ558" i="3"/>
  <c r="X561" i="3"/>
  <c r="AQ562" i="3"/>
  <c r="AR562" i="3"/>
  <c r="C562" i="3"/>
  <c r="D562" i="3"/>
  <c r="A563" i="3"/>
  <c r="B562" i="3"/>
  <c r="F562" i="3"/>
  <c r="G562" i="3"/>
  <c r="H562" i="3" s="1"/>
  <c r="Q562" i="3"/>
  <c r="S562" i="3"/>
  <c r="O562" i="3"/>
  <c r="U562" i="3"/>
  <c r="AF562" i="3"/>
  <c r="M562" i="3"/>
  <c r="AD562" i="3"/>
  <c r="AM562" i="3"/>
  <c r="AK562" i="3"/>
  <c r="AE562" i="3"/>
  <c r="T562" i="3"/>
  <c r="V562" i="3"/>
  <c r="R562" i="3"/>
  <c r="P562" i="3"/>
  <c r="AU560" i="3"/>
  <c r="AO561" i="3"/>
  <c r="BA560" i="3" l="1"/>
  <c r="BM562" i="3"/>
  <c r="AO562" i="3"/>
  <c r="AH562" i="3"/>
  <c r="BQ560" i="3"/>
  <c r="BB560" i="3"/>
  <c r="BF560" i="3"/>
  <c r="BQ559" i="3"/>
  <c r="BB559" i="3"/>
  <c r="BF559" i="3"/>
  <c r="BJ558" i="3" s="1"/>
  <c r="BK558" i="3" s="1"/>
  <c r="Y562" i="3"/>
  <c r="Z562" i="3" s="1"/>
  <c r="AX561" i="3"/>
  <c r="C563" i="3"/>
  <c r="A564" i="3"/>
  <c r="D563" i="3"/>
  <c r="AR563" i="3"/>
  <c r="B563" i="3"/>
  <c r="AQ563" i="3"/>
  <c r="G563" i="3"/>
  <c r="H563" i="3" s="1"/>
  <c r="F563" i="3"/>
  <c r="Q563" i="3"/>
  <c r="S563" i="3"/>
  <c r="O563" i="3"/>
  <c r="U563" i="3"/>
  <c r="AD563" i="3"/>
  <c r="AE563" i="3"/>
  <c r="M563" i="3"/>
  <c r="AF563" i="3"/>
  <c r="AK563" i="3"/>
  <c r="AM563" i="3"/>
  <c r="AN563" i="3" s="1"/>
  <c r="P563" i="3"/>
  <c r="V563" i="3"/>
  <c r="T563" i="3"/>
  <c r="R563" i="3"/>
  <c r="AG562" i="3"/>
  <c r="AV560" i="3"/>
  <c r="BC560" i="3" s="1"/>
  <c r="AW561" i="3"/>
  <c r="AU561" i="3"/>
  <c r="BD559" i="3"/>
  <c r="BG559" i="3"/>
  <c r="BH559" i="3" s="1"/>
  <c r="BI559" i="3" s="1"/>
  <c r="X562" i="3"/>
  <c r="AN562" i="3"/>
  <c r="BN562" i="3"/>
  <c r="AT561" i="3"/>
  <c r="AT562" i="3" l="1"/>
  <c r="BM563" i="3"/>
  <c r="BN563" i="3"/>
  <c r="AG563" i="3"/>
  <c r="AX562" i="3"/>
  <c r="AU562" i="3"/>
  <c r="AV562" i="3"/>
  <c r="AH563" i="3"/>
  <c r="AT563" i="3" s="1"/>
  <c r="Y563" i="3"/>
  <c r="Z563" i="3" s="1"/>
  <c r="AV561" i="3"/>
  <c r="BA561" i="3"/>
  <c r="B564" i="3"/>
  <c r="AQ564" i="3"/>
  <c r="AR564" i="3"/>
  <c r="D564" i="3"/>
  <c r="A565" i="3"/>
  <c r="C564" i="3"/>
  <c r="F564" i="3"/>
  <c r="G564" i="3"/>
  <c r="H564" i="3" s="1"/>
  <c r="S564" i="3"/>
  <c r="Q564" i="3"/>
  <c r="O564" i="3"/>
  <c r="U564" i="3"/>
  <c r="AF564" i="3"/>
  <c r="AE564" i="3"/>
  <c r="AD564" i="3"/>
  <c r="M564" i="3"/>
  <c r="AK564" i="3"/>
  <c r="AM564" i="3"/>
  <c r="P564" i="3"/>
  <c r="V564" i="3"/>
  <c r="R564" i="3"/>
  <c r="T564" i="3"/>
  <c r="BJ559" i="3"/>
  <c r="BK559" i="3" s="1"/>
  <c r="BD560" i="3"/>
  <c r="BG560" i="3"/>
  <c r="BH560" i="3" s="1"/>
  <c r="BI560" i="3" s="1"/>
  <c r="AO563" i="3"/>
  <c r="X563" i="3"/>
  <c r="AW562" i="3"/>
  <c r="AY562" i="3" s="1"/>
  <c r="AY561" i="3"/>
  <c r="AW563" i="3" l="1"/>
  <c r="AG564" i="3"/>
  <c r="AN564" i="3"/>
  <c r="AQ565" i="3"/>
  <c r="B565" i="3"/>
  <c r="A566" i="3"/>
  <c r="AR565" i="3"/>
  <c r="D565" i="3"/>
  <c r="C565" i="3"/>
  <c r="F565" i="3"/>
  <c r="BM565" i="3" s="1"/>
  <c r="G565" i="3"/>
  <c r="H565" i="3" s="1"/>
  <c r="Q565" i="3"/>
  <c r="S565" i="3"/>
  <c r="O565" i="3"/>
  <c r="U565" i="3"/>
  <c r="AF565" i="3"/>
  <c r="M565" i="3"/>
  <c r="AE565" i="3"/>
  <c r="AM565" i="3"/>
  <c r="AK565" i="3"/>
  <c r="AO565" i="3" s="1"/>
  <c r="AD565" i="3"/>
  <c r="P565" i="3"/>
  <c r="T565" i="3"/>
  <c r="V565" i="3"/>
  <c r="R565" i="3"/>
  <c r="Y564" i="3"/>
  <c r="Z564" i="3" s="1"/>
  <c r="AX563" i="3"/>
  <c r="AY563" i="3" s="1"/>
  <c r="X564" i="3"/>
  <c r="AO564" i="3"/>
  <c r="AU563" i="3"/>
  <c r="AV563" i="3" s="1"/>
  <c r="BN564" i="3"/>
  <c r="BQ561" i="3"/>
  <c r="BB561" i="3"/>
  <c r="BF561" i="3"/>
  <c r="BJ560" i="3" s="1"/>
  <c r="BK560" i="3" s="1"/>
  <c r="BC562" i="3"/>
  <c r="AH564" i="3"/>
  <c r="BM564" i="3"/>
  <c r="BC561" i="3"/>
  <c r="BA562" i="3"/>
  <c r="AX564" i="3" l="1"/>
  <c r="AG565" i="3"/>
  <c r="BC563" i="3"/>
  <c r="BA563" i="3"/>
  <c r="AW564" i="3"/>
  <c r="AY564" i="3" s="1"/>
  <c r="BD562" i="3"/>
  <c r="BG562" i="3"/>
  <c r="BH562" i="3" s="1"/>
  <c r="BI562" i="3" s="1"/>
  <c r="AT565" i="3"/>
  <c r="Y565" i="3"/>
  <c r="Z565" i="3" s="1"/>
  <c r="X565" i="3"/>
  <c r="AU564" i="3"/>
  <c r="AQ566" i="3"/>
  <c r="AR566" i="3"/>
  <c r="D566" i="3"/>
  <c r="C566" i="3"/>
  <c r="B566" i="3"/>
  <c r="A567" i="3"/>
  <c r="G566" i="3"/>
  <c r="H566" i="3" s="1"/>
  <c r="F566" i="3"/>
  <c r="Q566" i="3"/>
  <c r="S566" i="3"/>
  <c r="O566" i="3"/>
  <c r="U566" i="3"/>
  <c r="AF566" i="3"/>
  <c r="AD566" i="3"/>
  <c r="AE566" i="3"/>
  <c r="M566" i="3"/>
  <c r="AK566" i="3"/>
  <c r="AM566" i="3"/>
  <c r="AN566" i="3" s="1"/>
  <c r="P566" i="3"/>
  <c r="T566" i="3"/>
  <c r="R566" i="3"/>
  <c r="V566" i="3"/>
  <c r="BQ562" i="3"/>
  <c r="BB562" i="3"/>
  <c r="BF562" i="3"/>
  <c r="BJ561" i="3" s="1"/>
  <c r="BK561" i="3" s="1"/>
  <c r="AH565" i="3"/>
  <c r="AX565" i="3" s="1"/>
  <c r="BD561" i="3"/>
  <c r="BG561" i="3"/>
  <c r="BH561" i="3" s="1"/>
  <c r="BI561" i="3" s="1"/>
  <c r="AT564" i="3"/>
  <c r="AN565" i="3"/>
  <c r="BN565" i="3"/>
  <c r="X566" i="3" l="1"/>
  <c r="AO566" i="3"/>
  <c r="BM566" i="3"/>
  <c r="BA564" i="3"/>
  <c r="AV564" i="3"/>
  <c r="BC564" i="3" s="1"/>
  <c r="BN566" i="3"/>
  <c r="BQ563" i="3"/>
  <c r="BB563" i="3"/>
  <c r="BF563" i="3"/>
  <c r="BJ562" i="3" s="1"/>
  <c r="BK562" i="3" s="1"/>
  <c r="AW565" i="3"/>
  <c r="AY565" i="3" s="1"/>
  <c r="AG566" i="3"/>
  <c r="AU565" i="3"/>
  <c r="Y566" i="3"/>
  <c r="Z566" i="3" s="1"/>
  <c r="AH566" i="3"/>
  <c r="C567" i="3"/>
  <c r="D567" i="3"/>
  <c r="A568" i="3"/>
  <c r="AR567" i="3"/>
  <c r="B567" i="3"/>
  <c r="AQ567" i="3"/>
  <c r="G567" i="3"/>
  <c r="H567" i="3" s="1"/>
  <c r="F567" i="3"/>
  <c r="BM567" i="3" s="1"/>
  <c r="Q567" i="3"/>
  <c r="S567" i="3"/>
  <c r="O567" i="3"/>
  <c r="U567" i="3"/>
  <c r="AF567" i="3"/>
  <c r="M567" i="3"/>
  <c r="AE567" i="3"/>
  <c r="AD567" i="3"/>
  <c r="AM567" i="3"/>
  <c r="AK567" i="3"/>
  <c r="AO567" i="3" s="1"/>
  <c r="V567" i="3"/>
  <c r="R567" i="3"/>
  <c r="P567" i="3"/>
  <c r="T567" i="3"/>
  <c r="BD563" i="3"/>
  <c r="BG563" i="3"/>
  <c r="BH563" i="3" s="1"/>
  <c r="BI563" i="3" s="1"/>
  <c r="BA565" i="3" l="1"/>
  <c r="BN567" i="3"/>
  <c r="AG567" i="3"/>
  <c r="AW566" i="3"/>
  <c r="BB565" i="3"/>
  <c r="BQ565" i="3"/>
  <c r="BF565" i="3"/>
  <c r="BD564" i="3"/>
  <c r="BG564" i="3"/>
  <c r="BH564" i="3" s="1"/>
  <c r="BI564" i="3" s="1"/>
  <c r="BB564" i="3"/>
  <c r="BQ564" i="3"/>
  <c r="BF564" i="3"/>
  <c r="BJ563" i="3" s="1"/>
  <c r="BK563" i="3" s="1"/>
  <c r="AU566" i="3"/>
  <c r="Y567" i="3"/>
  <c r="Z567" i="3" s="1"/>
  <c r="B568" i="3"/>
  <c r="AQ568" i="3"/>
  <c r="AR568" i="3"/>
  <c r="D568" i="3"/>
  <c r="A569" i="3"/>
  <c r="C568" i="3"/>
  <c r="G568" i="3"/>
  <c r="H568" i="3" s="1"/>
  <c r="F568" i="3"/>
  <c r="BM568" i="3" s="1"/>
  <c r="Q568" i="3"/>
  <c r="S568" i="3"/>
  <c r="O568" i="3"/>
  <c r="U568" i="3"/>
  <c r="M568" i="3"/>
  <c r="AD568" i="3"/>
  <c r="AE568" i="3"/>
  <c r="AM568" i="3"/>
  <c r="AK568" i="3"/>
  <c r="AF568" i="3"/>
  <c r="T568" i="3"/>
  <c r="V568" i="3"/>
  <c r="P568" i="3"/>
  <c r="R568" i="3"/>
  <c r="AV565" i="3"/>
  <c r="BC565" i="3" s="1"/>
  <c r="X567" i="3"/>
  <c r="AN567" i="3"/>
  <c r="AH567" i="3"/>
  <c r="AT567" i="3" s="1"/>
  <c r="AX566" i="3"/>
  <c r="AT566" i="3"/>
  <c r="AY566" i="3" l="1"/>
  <c r="BJ564" i="3"/>
  <c r="BK564" i="3" s="1"/>
  <c r="AU567" i="3"/>
  <c r="AW567" i="3"/>
  <c r="AN568" i="3"/>
  <c r="AQ569" i="3"/>
  <c r="B569" i="3"/>
  <c r="A570" i="3"/>
  <c r="AR569" i="3"/>
  <c r="C569" i="3"/>
  <c r="D569" i="3"/>
  <c r="F569" i="3"/>
  <c r="G569" i="3"/>
  <c r="H569" i="3" s="1"/>
  <c r="S569" i="3"/>
  <c r="Q569" i="3"/>
  <c r="O569" i="3"/>
  <c r="U569" i="3"/>
  <c r="M569" i="3"/>
  <c r="AD569" i="3"/>
  <c r="AE569" i="3"/>
  <c r="AF569" i="3"/>
  <c r="AK569" i="3"/>
  <c r="AM569" i="3"/>
  <c r="R569" i="3"/>
  <c r="V569" i="3"/>
  <c r="T569" i="3"/>
  <c r="P569" i="3"/>
  <c r="X568" i="3"/>
  <c r="BD565" i="3"/>
  <c r="BG565" i="3"/>
  <c r="BH565" i="3" s="1"/>
  <c r="BI565" i="3" s="1"/>
  <c r="AO568" i="3"/>
  <c r="AV567" i="3"/>
  <c r="AG568" i="3"/>
  <c r="BN568" i="3"/>
  <c r="Y568" i="3"/>
  <c r="Z568" i="3" s="1"/>
  <c r="AV566" i="3"/>
  <c r="BC566" i="3" s="1"/>
  <c r="BA566" i="3"/>
  <c r="AX567" i="3"/>
  <c r="AY567" i="3" s="1"/>
  <c r="AH568" i="3"/>
  <c r="BA567" i="3" l="1"/>
  <c r="BM569" i="3"/>
  <c r="AX568" i="3"/>
  <c r="AG569" i="3"/>
  <c r="AO569" i="3"/>
  <c r="BC567" i="3"/>
  <c r="AQ570" i="3"/>
  <c r="AR570" i="3"/>
  <c r="C570" i="3"/>
  <c r="D570" i="3"/>
  <c r="A571" i="3"/>
  <c r="B570" i="3"/>
  <c r="F570" i="3"/>
  <c r="G570" i="3"/>
  <c r="H570" i="3" s="1"/>
  <c r="Q570" i="3"/>
  <c r="S570" i="3"/>
  <c r="O570" i="3"/>
  <c r="U570" i="3"/>
  <c r="AD570" i="3"/>
  <c r="AE570" i="3"/>
  <c r="AM570" i="3"/>
  <c r="M570" i="3"/>
  <c r="AF570" i="3"/>
  <c r="AK570" i="3"/>
  <c r="AO570" i="3" s="1"/>
  <c r="V570" i="3"/>
  <c r="P570" i="3"/>
  <c r="T570" i="3"/>
  <c r="R570" i="3"/>
  <c r="BQ567" i="3"/>
  <c r="BB567" i="3"/>
  <c r="BF567" i="3"/>
  <c r="Y569" i="3"/>
  <c r="Z569" i="3" s="1"/>
  <c r="AU568" i="3"/>
  <c r="AN569" i="3"/>
  <c r="X569" i="3"/>
  <c r="BF566" i="3"/>
  <c r="BJ565" i="3" s="1"/>
  <c r="BK565" i="3" s="1"/>
  <c r="BQ566" i="3"/>
  <c r="BB566" i="3"/>
  <c r="BG566" i="3"/>
  <c r="BH566" i="3" s="1"/>
  <c r="BI566" i="3" s="1"/>
  <c r="BD566" i="3"/>
  <c r="AT568" i="3"/>
  <c r="AW568" i="3"/>
  <c r="AH569" i="3"/>
  <c r="BN569" i="3"/>
  <c r="AY568" i="3" l="1"/>
  <c r="BM570" i="3"/>
  <c r="AT569" i="3"/>
  <c r="X570" i="3"/>
  <c r="BJ566" i="3"/>
  <c r="BK566" i="3" s="1"/>
  <c r="Y570" i="3"/>
  <c r="Z570" i="3" s="1"/>
  <c r="BN570" i="3"/>
  <c r="BD567" i="3"/>
  <c r="BG567" i="3"/>
  <c r="BH567" i="3" s="1"/>
  <c r="BI567" i="3" s="1"/>
  <c r="AN570" i="3"/>
  <c r="AX569" i="3"/>
  <c r="AG570" i="3"/>
  <c r="AV568" i="3"/>
  <c r="BA568" i="3"/>
  <c r="AU569" i="3"/>
  <c r="AH570" i="3"/>
  <c r="D571" i="3"/>
  <c r="A572" i="3"/>
  <c r="C571" i="3"/>
  <c r="AR571" i="3"/>
  <c r="B571" i="3"/>
  <c r="AQ571" i="3"/>
  <c r="G571" i="3"/>
  <c r="H571" i="3" s="1"/>
  <c r="F571" i="3"/>
  <c r="BM571" i="3" s="1"/>
  <c r="Q571" i="3"/>
  <c r="S571" i="3"/>
  <c r="O571" i="3"/>
  <c r="U571" i="3"/>
  <c r="AE571" i="3"/>
  <c r="M571" i="3"/>
  <c r="AD571" i="3"/>
  <c r="AF571" i="3"/>
  <c r="AK571" i="3"/>
  <c r="AM571" i="3"/>
  <c r="P571" i="3"/>
  <c r="T571" i="3"/>
  <c r="R571" i="3"/>
  <c r="V571" i="3"/>
  <c r="AW569" i="3"/>
  <c r="BC568" i="3" l="1"/>
  <c r="BN571" i="3"/>
  <c r="AV569" i="3"/>
  <c r="AN571" i="3"/>
  <c r="AX570" i="3"/>
  <c r="BA569" i="3"/>
  <c r="BB569" i="3" s="1"/>
  <c r="AH571" i="3"/>
  <c r="BD568" i="3"/>
  <c r="BG568" i="3"/>
  <c r="BH568" i="3" s="1"/>
  <c r="BI568" i="3" s="1"/>
  <c r="AW570" i="3"/>
  <c r="AU570" i="3"/>
  <c r="Y571" i="3"/>
  <c r="Z571" i="3" s="1"/>
  <c r="X571" i="3"/>
  <c r="AY569" i="3"/>
  <c r="BC569" i="3" s="1"/>
  <c r="AT570" i="3"/>
  <c r="BB568" i="3"/>
  <c r="BF568" i="3"/>
  <c r="BJ567" i="3" s="1"/>
  <c r="BK567" i="3" s="1"/>
  <c r="BQ568" i="3"/>
  <c r="B572" i="3"/>
  <c r="AQ572" i="3"/>
  <c r="AR572" i="3"/>
  <c r="D572" i="3"/>
  <c r="A573" i="3"/>
  <c r="C572" i="3"/>
  <c r="F572" i="3"/>
  <c r="G572" i="3"/>
  <c r="H572" i="3" s="1"/>
  <c r="Q572" i="3"/>
  <c r="S572" i="3"/>
  <c r="O572" i="3"/>
  <c r="U572" i="3"/>
  <c r="AD572" i="3"/>
  <c r="AE572" i="3"/>
  <c r="M572" i="3"/>
  <c r="AM572" i="3"/>
  <c r="AK572" i="3"/>
  <c r="AF572" i="3"/>
  <c r="P572" i="3"/>
  <c r="R572" i="3"/>
  <c r="V572" i="3"/>
  <c r="T572" i="3"/>
  <c r="AG571" i="3"/>
  <c r="AO571" i="3"/>
  <c r="BQ569" i="3" l="1"/>
  <c r="BF569" i="3"/>
  <c r="AY570" i="3"/>
  <c r="AG572" i="3"/>
  <c r="BM572" i="3"/>
  <c r="AT571" i="3"/>
  <c r="AN572" i="3"/>
  <c r="AW571" i="3"/>
  <c r="AQ573" i="3"/>
  <c r="B573" i="3"/>
  <c r="A574" i="3"/>
  <c r="AR573" i="3"/>
  <c r="D573" i="3"/>
  <c r="C573" i="3"/>
  <c r="F573" i="3"/>
  <c r="BM573" i="3" s="1"/>
  <c r="G573" i="3"/>
  <c r="H573" i="3" s="1"/>
  <c r="BN573" i="3" s="1"/>
  <c r="Q573" i="3"/>
  <c r="S573" i="3"/>
  <c r="O573" i="3"/>
  <c r="U573" i="3"/>
  <c r="AE573" i="3"/>
  <c r="AF573" i="3"/>
  <c r="AD573" i="3"/>
  <c r="M573" i="3"/>
  <c r="AK573" i="3"/>
  <c r="AM573" i="3"/>
  <c r="AN573" i="3" s="1"/>
  <c r="V573" i="3"/>
  <c r="R573" i="3"/>
  <c r="T573" i="3"/>
  <c r="P573" i="3"/>
  <c r="AV570" i="3"/>
  <c r="BC570" i="3" s="1"/>
  <c r="BA570" i="3"/>
  <c r="BD569" i="3"/>
  <c r="BG569" i="3"/>
  <c r="BH569" i="3" s="1"/>
  <c r="BI569" i="3" s="1"/>
  <c r="X572" i="3"/>
  <c r="AU571" i="3"/>
  <c r="Y572" i="3"/>
  <c r="Z572" i="3" s="1"/>
  <c r="AX571" i="3"/>
  <c r="AH572" i="3"/>
  <c r="AO572" i="3"/>
  <c r="BN572" i="3"/>
  <c r="BJ568" i="3"/>
  <c r="BK568" i="3" s="1"/>
  <c r="AH573" i="3" l="1"/>
  <c r="AY571" i="3"/>
  <c r="BA571" i="3"/>
  <c r="BF571" i="3" s="1"/>
  <c r="BD570" i="3"/>
  <c r="BG570" i="3"/>
  <c r="BH570" i="3" s="1"/>
  <c r="BI570" i="3" s="1"/>
  <c r="AG573" i="3"/>
  <c r="BF570" i="3"/>
  <c r="BJ569" i="3" s="1"/>
  <c r="BK569" i="3" s="1"/>
  <c r="BB570" i="3"/>
  <c r="BQ570" i="3"/>
  <c r="AX572" i="3"/>
  <c r="AU572" i="3"/>
  <c r="X573" i="3"/>
  <c r="AW572" i="3"/>
  <c r="AY572" i="3" s="1"/>
  <c r="AV571" i="3"/>
  <c r="Y573" i="3"/>
  <c r="Z573" i="3" s="1"/>
  <c r="AQ574" i="3"/>
  <c r="AR574" i="3"/>
  <c r="C574" i="3"/>
  <c r="D574" i="3"/>
  <c r="B574" i="3"/>
  <c r="A575" i="3"/>
  <c r="G574" i="3"/>
  <c r="H574" i="3" s="1"/>
  <c r="F574" i="3"/>
  <c r="Q574" i="3"/>
  <c r="S574" i="3"/>
  <c r="O574" i="3"/>
  <c r="U574" i="3"/>
  <c r="AD574" i="3"/>
  <c r="M574" i="3"/>
  <c r="AE574" i="3"/>
  <c r="AK574" i="3"/>
  <c r="AF574" i="3"/>
  <c r="AM574" i="3"/>
  <c r="R574" i="3"/>
  <c r="P574" i="3"/>
  <c r="V574" i="3"/>
  <c r="T574" i="3"/>
  <c r="AT572" i="3"/>
  <c r="AO573" i="3"/>
  <c r="BQ571" i="3" l="1"/>
  <c r="BB571" i="3"/>
  <c r="AX573" i="3"/>
  <c r="BN574" i="3"/>
  <c r="AG574" i="3"/>
  <c r="BC571" i="3"/>
  <c r="BG571" i="3" s="1"/>
  <c r="BH571" i="3" s="1"/>
  <c r="BI571" i="3" s="1"/>
  <c r="AW573" i="3"/>
  <c r="AY573" i="3" s="1"/>
  <c r="AN574" i="3"/>
  <c r="D575" i="3"/>
  <c r="C575" i="3"/>
  <c r="B575" i="3"/>
  <c r="AR575" i="3"/>
  <c r="AQ575" i="3"/>
  <c r="A576" i="3"/>
  <c r="F575" i="3"/>
  <c r="G575" i="3"/>
  <c r="H575" i="3" s="1"/>
  <c r="Q575" i="3"/>
  <c r="S575" i="3"/>
  <c r="O575" i="3"/>
  <c r="U575" i="3"/>
  <c r="AD575" i="3"/>
  <c r="M575" i="3"/>
  <c r="AF575" i="3"/>
  <c r="AE575" i="3"/>
  <c r="AM575" i="3"/>
  <c r="AK575" i="3"/>
  <c r="V575" i="3"/>
  <c r="P575" i="3"/>
  <c r="R575" i="3"/>
  <c r="T575" i="3"/>
  <c r="X574" i="3"/>
  <c r="Y574" i="3"/>
  <c r="Z574" i="3" s="1"/>
  <c r="AT573" i="3"/>
  <c r="AU573" i="3"/>
  <c r="AH574" i="3"/>
  <c r="AV572" i="3"/>
  <c r="BC572" i="3" s="1"/>
  <c r="BA572" i="3"/>
  <c r="AO574" i="3"/>
  <c r="BM574" i="3"/>
  <c r="BJ570" i="3"/>
  <c r="BK570" i="3" s="1"/>
  <c r="AO575" i="3" l="1"/>
  <c r="AT574" i="3"/>
  <c r="BD571" i="3"/>
  <c r="BN575" i="3"/>
  <c r="AH575" i="3"/>
  <c r="AU574" i="3"/>
  <c r="AV574" i="3"/>
  <c r="C576" i="3"/>
  <c r="A577" i="3"/>
  <c r="AR576" i="3"/>
  <c r="B576" i="3"/>
  <c r="AQ576" i="3"/>
  <c r="D576" i="3"/>
  <c r="G576" i="3"/>
  <c r="H576" i="3" s="1"/>
  <c r="BN576" i="3" s="1"/>
  <c r="F576" i="3"/>
  <c r="Q576" i="3"/>
  <c r="S576" i="3"/>
  <c r="O576" i="3"/>
  <c r="U576" i="3"/>
  <c r="AF576" i="3"/>
  <c r="AD576" i="3"/>
  <c r="AE576" i="3"/>
  <c r="M576" i="3"/>
  <c r="AK576" i="3"/>
  <c r="AM576" i="3"/>
  <c r="T576" i="3"/>
  <c r="V576" i="3"/>
  <c r="P576" i="3"/>
  <c r="R576" i="3"/>
  <c r="Y575" i="3"/>
  <c r="Z575" i="3" s="1"/>
  <c r="X575" i="3"/>
  <c r="BQ572" i="3"/>
  <c r="BF572" i="3"/>
  <c r="BJ571" i="3" s="1"/>
  <c r="BK571" i="3" s="1"/>
  <c r="BB572" i="3"/>
  <c r="AN575" i="3"/>
  <c r="BD572" i="3"/>
  <c r="BG572" i="3"/>
  <c r="BH572" i="3" s="1"/>
  <c r="BI572" i="3" s="1"/>
  <c r="AG575" i="3"/>
  <c r="BA573" i="3"/>
  <c r="AV573" i="3"/>
  <c r="BC573" i="3" s="1"/>
  <c r="AX574" i="3"/>
  <c r="BM575" i="3"/>
  <c r="AW574" i="3"/>
  <c r="AN576" i="3" l="1"/>
  <c r="X576" i="3"/>
  <c r="AX575" i="3"/>
  <c r="BM576" i="3"/>
  <c r="Y576" i="3"/>
  <c r="Z576" i="3" s="1"/>
  <c r="AW575" i="3"/>
  <c r="AG576" i="3"/>
  <c r="AR577" i="3"/>
  <c r="A578" i="3"/>
  <c r="AQ577" i="3"/>
  <c r="B577" i="3"/>
  <c r="C577" i="3"/>
  <c r="D577" i="3"/>
  <c r="F577" i="3"/>
  <c r="G577" i="3"/>
  <c r="H577" i="3" s="1"/>
  <c r="Q577" i="3"/>
  <c r="S577" i="3"/>
  <c r="O577" i="3"/>
  <c r="U577" i="3"/>
  <c r="M577" i="3"/>
  <c r="AK577" i="3"/>
  <c r="AE577" i="3"/>
  <c r="AF577" i="3"/>
  <c r="AD577" i="3"/>
  <c r="AM577" i="3"/>
  <c r="P577" i="3"/>
  <c r="T577" i="3"/>
  <c r="V577" i="3"/>
  <c r="R577" i="3"/>
  <c r="AO576" i="3"/>
  <c r="BB573" i="3"/>
  <c r="BF573" i="3"/>
  <c r="BJ572" i="3" s="1"/>
  <c r="BK572" i="3" s="1"/>
  <c r="BQ573" i="3"/>
  <c r="AU575" i="3"/>
  <c r="AT575" i="3"/>
  <c r="BD573" i="3"/>
  <c r="BG573" i="3"/>
  <c r="BH573" i="3" s="1"/>
  <c r="BI573" i="3" s="1"/>
  <c r="AY574" i="3"/>
  <c r="BC574" i="3" s="1"/>
  <c r="AH576" i="3"/>
  <c r="BA574" i="3"/>
  <c r="AU576" i="3" l="1"/>
  <c r="AY575" i="3"/>
  <c r="BM577" i="3"/>
  <c r="AG577" i="3"/>
  <c r="AW576" i="3"/>
  <c r="AO577" i="3"/>
  <c r="BD574" i="3"/>
  <c r="BG574" i="3"/>
  <c r="BH574" i="3" s="1"/>
  <c r="BI574" i="3" s="1"/>
  <c r="BB574" i="3"/>
  <c r="BF574" i="3"/>
  <c r="BJ573" i="3" s="1"/>
  <c r="BK573" i="3" s="1"/>
  <c r="BQ574" i="3"/>
  <c r="X577" i="3"/>
  <c r="Y577" i="3"/>
  <c r="Z577" i="3" s="1"/>
  <c r="BA575" i="3"/>
  <c r="AV575" i="3"/>
  <c r="BC575" i="3" s="1"/>
  <c r="AN577" i="3"/>
  <c r="B578" i="3"/>
  <c r="A579" i="3"/>
  <c r="C578" i="3"/>
  <c r="D578" i="3"/>
  <c r="AQ578" i="3"/>
  <c r="AR578" i="3"/>
  <c r="F578" i="3"/>
  <c r="G578" i="3"/>
  <c r="H578" i="3" s="1"/>
  <c r="BN578" i="3" s="1"/>
  <c r="Q578" i="3"/>
  <c r="S578" i="3"/>
  <c r="O578" i="3"/>
  <c r="U578" i="3"/>
  <c r="AF578" i="3"/>
  <c r="AD578" i="3"/>
  <c r="M578" i="3"/>
  <c r="AE578" i="3"/>
  <c r="AK578" i="3"/>
  <c r="AM578" i="3"/>
  <c r="P578" i="3"/>
  <c r="V578" i="3"/>
  <c r="R578" i="3"/>
  <c r="T578" i="3"/>
  <c r="AH577" i="3"/>
  <c r="AX576" i="3"/>
  <c r="AY576" i="3" s="1"/>
  <c r="BN577" i="3"/>
  <c r="AT576" i="3"/>
  <c r="AN578" i="3" l="1"/>
  <c r="C579" i="3"/>
  <c r="D579" i="3"/>
  <c r="A580" i="3"/>
  <c r="AQ579" i="3"/>
  <c r="B579" i="3"/>
  <c r="AR579" i="3"/>
  <c r="G579" i="3"/>
  <c r="H579" i="3" s="1"/>
  <c r="BN579" i="3" s="1"/>
  <c r="F579" i="3"/>
  <c r="Q579" i="3"/>
  <c r="S579" i="3"/>
  <c r="O579" i="3"/>
  <c r="U579" i="3"/>
  <c r="AE579" i="3"/>
  <c r="M579" i="3"/>
  <c r="AF579" i="3"/>
  <c r="AM579" i="3"/>
  <c r="AK579" i="3"/>
  <c r="AD579" i="3"/>
  <c r="R579" i="3"/>
  <c r="T579" i="3"/>
  <c r="P579" i="3"/>
  <c r="V579" i="3"/>
  <c r="AV576" i="3"/>
  <c r="BC576" i="3" s="1"/>
  <c r="BA576" i="3"/>
  <c r="BM578" i="3"/>
  <c r="BD575" i="3"/>
  <c r="BG575" i="3"/>
  <c r="BH575" i="3" s="1"/>
  <c r="BI575" i="3" s="1"/>
  <c r="BF575" i="3"/>
  <c r="BJ574" i="3" s="1"/>
  <c r="BK574" i="3" s="1"/>
  <c r="BB575" i="3"/>
  <c r="BQ575" i="3"/>
  <c r="AO578" i="3"/>
  <c r="AW577" i="3"/>
  <c r="AX577" i="3"/>
  <c r="AT577" i="3"/>
  <c r="AG578" i="3"/>
  <c r="AH578" i="3"/>
  <c r="AT578" i="3" s="1"/>
  <c r="AU578" i="3"/>
  <c r="Y578" i="3"/>
  <c r="Z578" i="3" s="1"/>
  <c r="X578" i="3"/>
  <c r="AU577" i="3"/>
  <c r="BM579" i="3" l="1"/>
  <c r="AN579" i="3"/>
  <c r="AY577" i="3"/>
  <c r="AV578" i="3"/>
  <c r="BB576" i="3"/>
  <c r="BF576" i="3"/>
  <c r="BJ575" i="3" s="1"/>
  <c r="BK575" i="3" s="1"/>
  <c r="BQ576" i="3"/>
  <c r="BD576" i="3"/>
  <c r="BG576" i="3"/>
  <c r="BH576" i="3" s="1"/>
  <c r="BI576" i="3" s="1"/>
  <c r="AG579" i="3"/>
  <c r="X579" i="3"/>
  <c r="Y579" i="3"/>
  <c r="Z579" i="3" s="1"/>
  <c r="D580" i="3"/>
  <c r="A581" i="3"/>
  <c r="AR580" i="3"/>
  <c r="B580" i="3"/>
  <c r="AQ580" i="3"/>
  <c r="C580" i="3"/>
  <c r="F580" i="3"/>
  <c r="G580" i="3"/>
  <c r="H580" i="3" s="1"/>
  <c r="Q580" i="3"/>
  <c r="S580" i="3"/>
  <c r="O580" i="3"/>
  <c r="U580" i="3"/>
  <c r="M580" i="3"/>
  <c r="AD580" i="3"/>
  <c r="AF580" i="3"/>
  <c r="AE580" i="3"/>
  <c r="AM580" i="3"/>
  <c r="AK580" i="3"/>
  <c r="AO580" i="3" s="1"/>
  <c r="P580" i="3"/>
  <c r="V580" i="3"/>
  <c r="T580" i="3"/>
  <c r="R580" i="3"/>
  <c r="AX578" i="3"/>
  <c r="AW578" i="3"/>
  <c r="AV577" i="3"/>
  <c r="BC577" i="3" s="1"/>
  <c r="BA577" i="3"/>
  <c r="AH579" i="3"/>
  <c r="AO579" i="3"/>
  <c r="BN580" i="3" l="1"/>
  <c r="AY578" i="3"/>
  <c r="BM580" i="3"/>
  <c r="Y580" i="3"/>
  <c r="Z580" i="3" s="1"/>
  <c r="AG580" i="3"/>
  <c r="AX579" i="3"/>
  <c r="BQ577" i="3"/>
  <c r="BB577" i="3"/>
  <c r="BF577" i="3"/>
  <c r="BJ576" i="3" s="1"/>
  <c r="BK576" i="3" s="1"/>
  <c r="AR581" i="3"/>
  <c r="A582" i="3"/>
  <c r="AQ581" i="3"/>
  <c r="B581" i="3"/>
  <c r="C581" i="3"/>
  <c r="D581" i="3"/>
  <c r="G581" i="3"/>
  <c r="H581" i="3" s="1"/>
  <c r="BN581" i="3" s="1"/>
  <c r="F581" i="3"/>
  <c r="S581" i="3"/>
  <c r="Q581" i="3"/>
  <c r="O581" i="3"/>
  <c r="U581" i="3"/>
  <c r="AE581" i="3"/>
  <c r="M581" i="3"/>
  <c r="AM581" i="3"/>
  <c r="AD581" i="3"/>
  <c r="AF581" i="3"/>
  <c r="AK581" i="3"/>
  <c r="T581" i="3"/>
  <c r="V581" i="3"/>
  <c r="P581" i="3"/>
  <c r="R581" i="3"/>
  <c r="AT579" i="3"/>
  <c r="BD577" i="3"/>
  <c r="BG577" i="3"/>
  <c r="BH577" i="3" s="1"/>
  <c r="BI577" i="3" s="1"/>
  <c r="AN580" i="3"/>
  <c r="AU579" i="3"/>
  <c r="AH580" i="3"/>
  <c r="AT580" i="3" s="1"/>
  <c r="X580" i="3"/>
  <c r="BA578" i="3"/>
  <c r="AU580" i="3"/>
  <c r="AW579" i="3"/>
  <c r="BC578" i="3"/>
  <c r="AY579" i="3" l="1"/>
  <c r="BM581" i="3"/>
  <c r="AO581" i="3"/>
  <c r="AH581" i="3"/>
  <c r="X581" i="3"/>
  <c r="Y581" i="3"/>
  <c r="Z581" i="3" s="1"/>
  <c r="AV580" i="3"/>
  <c r="BD578" i="3"/>
  <c r="BG578" i="3"/>
  <c r="BH578" i="3" s="1"/>
  <c r="BI578" i="3" s="1"/>
  <c r="B582" i="3"/>
  <c r="A583" i="3"/>
  <c r="C582" i="3"/>
  <c r="D582" i="3"/>
  <c r="AR582" i="3"/>
  <c r="AQ582" i="3"/>
  <c r="G582" i="3"/>
  <c r="H582" i="3" s="1"/>
  <c r="BN582" i="3" s="1"/>
  <c r="F582" i="3"/>
  <c r="Q582" i="3"/>
  <c r="S582" i="3"/>
  <c r="O582" i="3"/>
  <c r="U582" i="3"/>
  <c r="AF582" i="3"/>
  <c r="AD582" i="3"/>
  <c r="AE582" i="3"/>
  <c r="AG582" i="3" s="1"/>
  <c r="M582" i="3"/>
  <c r="AK582" i="3"/>
  <c r="AM582" i="3"/>
  <c r="V582" i="3"/>
  <c r="R582" i="3"/>
  <c r="P582" i="3"/>
  <c r="T582" i="3"/>
  <c r="BF578" i="3"/>
  <c r="BJ577" i="3" s="1"/>
  <c r="BK577" i="3" s="1"/>
  <c r="BB578" i="3"/>
  <c r="BQ578" i="3"/>
  <c r="AN581" i="3"/>
  <c r="BA579" i="3"/>
  <c r="AV579" i="3"/>
  <c r="AX580" i="3"/>
  <c r="AW580" i="3"/>
  <c r="BA580" i="3" s="1"/>
  <c r="AG581" i="3"/>
  <c r="BC579" i="3" l="1"/>
  <c r="Y582" i="3"/>
  <c r="Z582" i="3" s="1"/>
  <c r="AO582" i="3"/>
  <c r="AW581" i="3"/>
  <c r="BB580" i="3"/>
  <c r="BF580" i="3"/>
  <c r="BQ580" i="3"/>
  <c r="AN582" i="3"/>
  <c r="C583" i="3"/>
  <c r="D583" i="3"/>
  <c r="B583" i="3"/>
  <c r="A584" i="3"/>
  <c r="AQ583" i="3"/>
  <c r="AR583" i="3"/>
  <c r="G583" i="3"/>
  <c r="H583" i="3" s="1"/>
  <c r="F583" i="3"/>
  <c r="Q583" i="3"/>
  <c r="S583" i="3"/>
  <c r="O583" i="3"/>
  <c r="U583" i="3"/>
  <c r="AD583" i="3"/>
  <c r="AE583" i="3"/>
  <c r="M583" i="3"/>
  <c r="AF583" i="3"/>
  <c r="AK583" i="3"/>
  <c r="AM583" i="3"/>
  <c r="T583" i="3"/>
  <c r="P583" i="3"/>
  <c r="R583" i="3"/>
  <c r="V583" i="3"/>
  <c r="AY580" i="3"/>
  <c r="BC580" i="3" s="1"/>
  <c r="BM582" i="3"/>
  <c r="BB579" i="3"/>
  <c r="BQ579" i="3"/>
  <c r="BF579" i="3"/>
  <c r="BJ578" i="3" s="1"/>
  <c r="BK578" i="3" s="1"/>
  <c r="AU581" i="3"/>
  <c r="AX581" i="3"/>
  <c r="AY581" i="3" s="1"/>
  <c r="BD579" i="3"/>
  <c r="BG579" i="3"/>
  <c r="BH579" i="3" s="1"/>
  <c r="BI579" i="3" s="1"/>
  <c r="AT581" i="3"/>
  <c r="AH582" i="3"/>
  <c r="AT582" i="3" s="1"/>
  <c r="X582" i="3"/>
  <c r="AH583" i="3" l="1"/>
  <c r="BM583" i="3"/>
  <c r="AN583" i="3"/>
  <c r="AW582" i="3"/>
  <c r="AX582" i="3"/>
  <c r="AU582" i="3"/>
  <c r="AV582" i="3" s="1"/>
  <c r="X583" i="3"/>
  <c r="AV581" i="3"/>
  <c r="BC581" i="3" s="1"/>
  <c r="BA581" i="3"/>
  <c r="AO583" i="3"/>
  <c r="BN583" i="3"/>
  <c r="AG583" i="3"/>
  <c r="AX583" i="3" s="1"/>
  <c r="BJ579" i="3"/>
  <c r="BK579" i="3" s="1"/>
  <c r="C584" i="3"/>
  <c r="A585" i="3"/>
  <c r="AR584" i="3"/>
  <c r="B584" i="3"/>
  <c r="AQ584" i="3"/>
  <c r="D584" i="3"/>
  <c r="F584" i="3"/>
  <c r="G584" i="3"/>
  <c r="H584" i="3" s="1"/>
  <c r="BN584" i="3" s="1"/>
  <c r="Q584" i="3"/>
  <c r="S584" i="3"/>
  <c r="O584" i="3"/>
  <c r="U584" i="3"/>
  <c r="M584" i="3"/>
  <c r="AD584" i="3"/>
  <c r="AF584" i="3"/>
  <c r="AE584" i="3"/>
  <c r="AG584" i="3" s="1"/>
  <c r="AM584" i="3"/>
  <c r="AK584" i="3"/>
  <c r="R584" i="3"/>
  <c r="T584" i="3"/>
  <c r="V584" i="3"/>
  <c r="P584" i="3"/>
  <c r="BD580" i="3"/>
  <c r="BG580" i="3"/>
  <c r="BH580" i="3" s="1"/>
  <c r="BI580" i="3" s="1"/>
  <c r="Y583" i="3"/>
  <c r="Z583" i="3" s="1"/>
  <c r="AY582" i="3"/>
  <c r="AT583" i="3" l="1"/>
  <c r="AU583" i="3"/>
  <c r="AO584" i="3"/>
  <c r="BM584" i="3"/>
  <c r="BA582" i="3"/>
  <c r="BF582" i="3" s="1"/>
  <c r="Y584" i="3"/>
  <c r="Z584" i="3" s="1"/>
  <c r="X584" i="3"/>
  <c r="BC582" i="3"/>
  <c r="AR585" i="3"/>
  <c r="A586" i="3"/>
  <c r="AQ585" i="3"/>
  <c r="B585" i="3"/>
  <c r="D585" i="3"/>
  <c r="C585" i="3"/>
  <c r="F585" i="3"/>
  <c r="BM585" i="3" s="1"/>
  <c r="G585" i="3"/>
  <c r="H585" i="3" s="1"/>
  <c r="S585" i="3"/>
  <c r="Q585" i="3"/>
  <c r="O585" i="3"/>
  <c r="U585" i="3"/>
  <c r="AE585" i="3"/>
  <c r="AK585" i="3"/>
  <c r="AM585" i="3"/>
  <c r="AN585" i="3" s="1"/>
  <c r="AD585" i="3"/>
  <c r="AF585" i="3"/>
  <c r="M585" i="3"/>
  <c r="V585" i="3"/>
  <c r="P585" i="3"/>
  <c r="R585" i="3"/>
  <c r="T585" i="3"/>
  <c r="AN584" i="3"/>
  <c r="AV583" i="3"/>
  <c r="BQ581" i="3"/>
  <c r="BB581" i="3"/>
  <c r="BF581" i="3"/>
  <c r="BJ580" i="3" s="1"/>
  <c r="BK580" i="3" s="1"/>
  <c r="AH584" i="3"/>
  <c r="AW583" i="3"/>
  <c r="BA583" i="3" s="1"/>
  <c r="BD581" i="3"/>
  <c r="BG581" i="3"/>
  <c r="BH581" i="3" s="1"/>
  <c r="BI581" i="3" s="1"/>
  <c r="BB582" i="3" l="1"/>
  <c r="BQ582" i="3"/>
  <c r="BN585" i="3"/>
  <c r="AX584" i="3"/>
  <c r="Y585" i="3"/>
  <c r="Z585" i="3" s="1"/>
  <c r="BB583" i="3"/>
  <c r="BQ583" i="3"/>
  <c r="BF583" i="3"/>
  <c r="BJ582" i="3" s="1"/>
  <c r="BK582" i="3" s="1"/>
  <c r="B586" i="3"/>
  <c r="A587" i="3"/>
  <c r="D586" i="3"/>
  <c r="C586" i="3"/>
  <c r="AQ586" i="3"/>
  <c r="AR586" i="3"/>
  <c r="F586" i="3"/>
  <c r="G586" i="3"/>
  <c r="H586" i="3" s="1"/>
  <c r="Q586" i="3"/>
  <c r="S586" i="3"/>
  <c r="O586" i="3"/>
  <c r="U586" i="3"/>
  <c r="AF586" i="3"/>
  <c r="AD586" i="3"/>
  <c r="AE586" i="3"/>
  <c r="M586" i="3"/>
  <c r="AM586" i="3"/>
  <c r="AK586" i="3"/>
  <c r="T586" i="3"/>
  <c r="V586" i="3"/>
  <c r="P586" i="3"/>
  <c r="R586" i="3"/>
  <c r="BJ581" i="3"/>
  <c r="BK581" i="3" s="1"/>
  <c r="AT584" i="3"/>
  <c r="AW584" i="3"/>
  <c r="AO585" i="3"/>
  <c r="AH585" i="3"/>
  <c r="BD582" i="3"/>
  <c r="BG582" i="3"/>
  <c r="BH582" i="3" s="1"/>
  <c r="BI582" i="3" s="1"/>
  <c r="AU584" i="3"/>
  <c r="AY583" i="3"/>
  <c r="BC583" i="3" s="1"/>
  <c r="AG585" i="3"/>
  <c r="X585" i="3"/>
  <c r="AY584" i="3" l="1"/>
  <c r="AG586" i="3"/>
  <c r="AO586" i="3"/>
  <c r="AU585" i="3"/>
  <c r="AW585" i="3"/>
  <c r="Y586" i="3"/>
  <c r="Z586" i="3" s="1"/>
  <c r="X586" i="3"/>
  <c r="BD583" i="3"/>
  <c r="BG583" i="3"/>
  <c r="BH583" i="3" s="1"/>
  <c r="BI583" i="3" s="1"/>
  <c r="C587" i="3"/>
  <c r="D587" i="3"/>
  <c r="A588" i="3"/>
  <c r="AQ587" i="3"/>
  <c r="B587" i="3"/>
  <c r="AR587" i="3"/>
  <c r="G587" i="3"/>
  <c r="H587" i="3" s="1"/>
  <c r="F587" i="3"/>
  <c r="Q587" i="3"/>
  <c r="S587" i="3"/>
  <c r="O587" i="3"/>
  <c r="U587" i="3"/>
  <c r="AF587" i="3"/>
  <c r="AK587" i="3"/>
  <c r="M587" i="3"/>
  <c r="AE587" i="3"/>
  <c r="AD587" i="3"/>
  <c r="AM587" i="3"/>
  <c r="V587" i="3"/>
  <c r="T587" i="3"/>
  <c r="P587" i="3"/>
  <c r="R587" i="3"/>
  <c r="AV584" i="3"/>
  <c r="BC584" i="3" s="1"/>
  <c r="BA584" i="3"/>
  <c r="BN586" i="3"/>
  <c r="BM586" i="3"/>
  <c r="AN586" i="3"/>
  <c r="AT585" i="3"/>
  <c r="AX585" i="3"/>
  <c r="AY585" i="3" s="1"/>
  <c r="AH586" i="3"/>
  <c r="AU586" i="3" s="1"/>
  <c r="AN587" i="3" l="1"/>
  <c r="AW586" i="3"/>
  <c r="BM587" i="3"/>
  <c r="AG587" i="3"/>
  <c r="X587" i="3"/>
  <c r="D588" i="3"/>
  <c r="A589" i="3"/>
  <c r="AR588" i="3"/>
  <c r="B588" i="3"/>
  <c r="AQ588" i="3"/>
  <c r="C588" i="3"/>
  <c r="G588" i="3"/>
  <c r="H588" i="3" s="1"/>
  <c r="F588" i="3"/>
  <c r="Q588" i="3"/>
  <c r="S588" i="3"/>
  <c r="O588" i="3"/>
  <c r="U588" i="3"/>
  <c r="AM588" i="3"/>
  <c r="M588" i="3"/>
  <c r="AF588" i="3"/>
  <c r="AD588" i="3"/>
  <c r="AE588" i="3"/>
  <c r="AK588" i="3"/>
  <c r="R588" i="3"/>
  <c r="V588" i="3"/>
  <c r="T588" i="3"/>
  <c r="P588" i="3"/>
  <c r="AX586" i="3"/>
  <c r="BN587" i="3"/>
  <c r="BD584" i="3"/>
  <c r="BG584" i="3"/>
  <c r="BH584" i="3" s="1"/>
  <c r="BI584" i="3" s="1"/>
  <c r="AV585" i="3"/>
  <c r="BC585" i="3" s="1"/>
  <c r="BA585" i="3"/>
  <c r="AO587" i="3"/>
  <c r="Y587" i="3"/>
  <c r="Z587" i="3" s="1"/>
  <c r="BQ584" i="3"/>
  <c r="BB584" i="3"/>
  <c r="BF584" i="3"/>
  <c r="BJ583" i="3" s="1"/>
  <c r="BK583" i="3" s="1"/>
  <c r="AT586" i="3"/>
  <c r="AH587" i="3"/>
  <c r="AY586" i="3" l="1"/>
  <c r="AN588" i="3"/>
  <c r="BN588" i="3"/>
  <c r="X588" i="3"/>
  <c r="BF585" i="3"/>
  <c r="BJ584" i="3" s="1"/>
  <c r="BK584" i="3" s="1"/>
  <c r="BQ585" i="3"/>
  <c r="BB585" i="3"/>
  <c r="AV586" i="3"/>
  <c r="BC586" i="3" s="1"/>
  <c r="BA586" i="3"/>
  <c r="AX587" i="3"/>
  <c r="AT587" i="3"/>
  <c r="AO588" i="3"/>
  <c r="AR589" i="3"/>
  <c r="A590" i="3"/>
  <c r="AQ589" i="3"/>
  <c r="B589" i="3"/>
  <c r="C589" i="3"/>
  <c r="D589" i="3"/>
  <c r="F589" i="3"/>
  <c r="G589" i="3"/>
  <c r="H589" i="3" s="1"/>
  <c r="Q589" i="3"/>
  <c r="S589" i="3"/>
  <c r="O589" i="3"/>
  <c r="U589" i="3"/>
  <c r="AF589" i="3"/>
  <c r="AD589" i="3"/>
  <c r="AK589" i="3"/>
  <c r="M589" i="3"/>
  <c r="AE589" i="3"/>
  <c r="AM589" i="3"/>
  <c r="R589" i="3"/>
  <c r="V589" i="3"/>
  <c r="T589" i="3"/>
  <c r="P589" i="3"/>
  <c r="BD585" i="3"/>
  <c r="BG585" i="3"/>
  <c r="BH585" i="3" s="1"/>
  <c r="BI585" i="3" s="1"/>
  <c r="Y588" i="3"/>
  <c r="Z588" i="3" s="1"/>
  <c r="AG588" i="3"/>
  <c r="AW587" i="3"/>
  <c r="AH588" i="3"/>
  <c r="BM588" i="3"/>
  <c r="AU587" i="3"/>
  <c r="AX588" i="3" l="1"/>
  <c r="BN589" i="3"/>
  <c r="X589" i="3"/>
  <c r="AN589" i="3"/>
  <c r="AT588" i="3"/>
  <c r="BF586" i="3"/>
  <c r="BJ585" i="3" s="1"/>
  <c r="BK585" i="3" s="1"/>
  <c r="BB586" i="3"/>
  <c r="BQ586" i="3"/>
  <c r="BD586" i="3"/>
  <c r="BG586" i="3"/>
  <c r="BH586" i="3" s="1"/>
  <c r="BI586" i="3" s="1"/>
  <c r="B590" i="3"/>
  <c r="A591" i="3"/>
  <c r="AQ590" i="3"/>
  <c r="D590" i="3"/>
  <c r="C590" i="3"/>
  <c r="AR590" i="3"/>
  <c r="F590" i="3"/>
  <c r="G590" i="3"/>
  <c r="H590" i="3" s="1"/>
  <c r="Q590" i="3"/>
  <c r="S590" i="3"/>
  <c r="O590" i="3"/>
  <c r="U590" i="3"/>
  <c r="M590" i="3"/>
  <c r="AD590" i="3"/>
  <c r="AF590" i="3"/>
  <c r="AE590" i="3"/>
  <c r="AK590" i="3"/>
  <c r="AM590" i="3"/>
  <c r="T590" i="3"/>
  <c r="V590" i="3"/>
  <c r="P590" i="3"/>
  <c r="R590" i="3"/>
  <c r="Y589" i="3"/>
  <c r="Z589" i="3" s="1"/>
  <c r="AW588" i="3"/>
  <c r="AY588" i="3" s="1"/>
  <c r="AG589" i="3"/>
  <c r="BM589" i="3"/>
  <c r="AV587" i="3"/>
  <c r="BA587" i="3"/>
  <c r="AO589" i="3"/>
  <c r="AH589" i="3"/>
  <c r="AY587" i="3"/>
  <c r="AU588" i="3"/>
  <c r="AX589" i="3" l="1"/>
  <c r="BM590" i="3"/>
  <c r="AG590" i="3"/>
  <c r="BN590" i="3"/>
  <c r="AO590" i="3"/>
  <c r="BC587" i="3"/>
  <c r="BG587" i="3" s="1"/>
  <c r="BH587" i="3" s="1"/>
  <c r="BI587" i="3" s="1"/>
  <c r="AT589" i="3"/>
  <c r="AH590" i="3"/>
  <c r="BB587" i="3"/>
  <c r="BQ587" i="3"/>
  <c r="BF587" i="3"/>
  <c r="BJ586" i="3" s="1"/>
  <c r="BK586" i="3" s="1"/>
  <c r="Y590" i="3"/>
  <c r="Z590" i="3" s="1"/>
  <c r="AU589" i="3"/>
  <c r="X590" i="3"/>
  <c r="AW589" i="3"/>
  <c r="AY589" i="3" s="1"/>
  <c r="AN590" i="3"/>
  <c r="C591" i="3"/>
  <c r="D591" i="3"/>
  <c r="A592" i="3"/>
  <c r="AQ591" i="3"/>
  <c r="AR591" i="3"/>
  <c r="B591" i="3"/>
  <c r="G591" i="3"/>
  <c r="H591" i="3" s="1"/>
  <c r="BN591" i="3" s="1"/>
  <c r="F591" i="3"/>
  <c r="BM591" i="3" s="1"/>
  <c r="Q591" i="3"/>
  <c r="S591" i="3"/>
  <c r="O591" i="3"/>
  <c r="U591" i="3"/>
  <c r="M591" i="3"/>
  <c r="AE591" i="3"/>
  <c r="AM591" i="3"/>
  <c r="AF591" i="3"/>
  <c r="AD591" i="3"/>
  <c r="AK591" i="3"/>
  <c r="T591" i="3"/>
  <c r="V591" i="3"/>
  <c r="P591" i="3"/>
  <c r="R591" i="3"/>
  <c r="AV588" i="3"/>
  <c r="BC588" i="3" s="1"/>
  <c r="BA588" i="3"/>
  <c r="AU590" i="3" l="1"/>
  <c r="BD587" i="3"/>
  <c r="AH591" i="3"/>
  <c r="AN591" i="3"/>
  <c r="BB588" i="3"/>
  <c r="BQ588" i="3"/>
  <c r="BF588" i="3"/>
  <c r="BJ587" i="3" s="1"/>
  <c r="BK587" i="3" s="1"/>
  <c r="AG591" i="3"/>
  <c r="AU591" i="3" s="1"/>
  <c r="BD588" i="3"/>
  <c r="BG588" i="3"/>
  <c r="BH588" i="3" s="1"/>
  <c r="BI588" i="3" s="1"/>
  <c r="AX590" i="3"/>
  <c r="X591" i="3"/>
  <c r="A593" i="3"/>
  <c r="AR592" i="3"/>
  <c r="B592" i="3"/>
  <c r="AQ592" i="3"/>
  <c r="C592" i="3"/>
  <c r="D592" i="3"/>
  <c r="G592" i="3"/>
  <c r="H592" i="3" s="1"/>
  <c r="F592" i="3"/>
  <c r="Q592" i="3"/>
  <c r="S592" i="3"/>
  <c r="O592" i="3"/>
  <c r="U592" i="3"/>
  <c r="AF592" i="3"/>
  <c r="AE592" i="3"/>
  <c r="M592" i="3"/>
  <c r="AD592" i="3"/>
  <c r="AK592" i="3"/>
  <c r="AM592" i="3"/>
  <c r="AN592" i="3" s="1"/>
  <c r="R592" i="3"/>
  <c r="P592" i="3"/>
  <c r="T592" i="3"/>
  <c r="V592" i="3"/>
  <c r="AV589" i="3"/>
  <c r="BC589" i="3" s="1"/>
  <c r="BA589" i="3"/>
  <c r="AO591" i="3"/>
  <c r="AT590" i="3"/>
  <c r="Y591" i="3"/>
  <c r="Z591" i="3" s="1"/>
  <c r="AW590" i="3"/>
  <c r="Y592" i="3" l="1"/>
  <c r="Z592" i="3" s="1"/>
  <c r="AG592" i="3"/>
  <c r="AW591" i="3"/>
  <c r="BA590" i="3"/>
  <c r="AV590" i="3"/>
  <c r="AR593" i="3"/>
  <c r="A594" i="3"/>
  <c r="AQ593" i="3"/>
  <c r="B593" i="3"/>
  <c r="D593" i="3"/>
  <c r="C593" i="3"/>
  <c r="G593" i="3"/>
  <c r="H593" i="3" s="1"/>
  <c r="BN593" i="3" s="1"/>
  <c r="F593" i="3"/>
  <c r="BM593" i="3" s="1"/>
  <c r="Q593" i="3"/>
  <c r="S593" i="3"/>
  <c r="O593" i="3"/>
  <c r="U593" i="3"/>
  <c r="AD593" i="3"/>
  <c r="AE593" i="3"/>
  <c r="M593" i="3"/>
  <c r="AM593" i="3"/>
  <c r="AF593" i="3"/>
  <c r="AK593" i="3"/>
  <c r="AO593" i="3" s="1"/>
  <c r="P593" i="3"/>
  <c r="R593" i="3"/>
  <c r="T593" i="3"/>
  <c r="V593" i="3"/>
  <c r="AT591" i="3"/>
  <c r="BQ589" i="3"/>
  <c r="BF589" i="3"/>
  <c r="BJ588" i="3" s="1"/>
  <c r="BK588" i="3" s="1"/>
  <c r="BB589" i="3"/>
  <c r="AH592" i="3"/>
  <c r="AU592" i="3" s="1"/>
  <c r="BM592" i="3"/>
  <c r="X592" i="3"/>
  <c r="AO592" i="3"/>
  <c r="BD589" i="3"/>
  <c r="BG589" i="3"/>
  <c r="BH589" i="3" s="1"/>
  <c r="BI589" i="3" s="1"/>
  <c r="BN592" i="3"/>
  <c r="AY590" i="3"/>
  <c r="AX591" i="3"/>
  <c r="AW592" i="3" l="1"/>
  <c r="AT592" i="3"/>
  <c r="AY591" i="3"/>
  <c r="BC590" i="3"/>
  <c r="BD590" i="3" s="1"/>
  <c r="AV592" i="3"/>
  <c r="AV591" i="3"/>
  <c r="BC591" i="3" s="1"/>
  <c r="BA591" i="3"/>
  <c r="BF590" i="3"/>
  <c r="BJ589" i="3" s="1"/>
  <c r="BK589" i="3" s="1"/>
  <c r="BB590" i="3"/>
  <c r="BQ590" i="3"/>
  <c r="Y593" i="3"/>
  <c r="Z593" i="3" s="1"/>
  <c r="AN593" i="3"/>
  <c r="AG593" i="3"/>
  <c r="AX592" i="3"/>
  <c r="BA592" i="3" s="1"/>
  <c r="AH593" i="3"/>
  <c r="B594" i="3"/>
  <c r="A595" i="3"/>
  <c r="C594" i="3"/>
  <c r="D594" i="3"/>
  <c r="AQ594" i="3"/>
  <c r="AR594" i="3"/>
  <c r="F594" i="3"/>
  <c r="G594" i="3"/>
  <c r="H594" i="3" s="1"/>
  <c r="Q594" i="3"/>
  <c r="S594" i="3"/>
  <c r="O594" i="3"/>
  <c r="U594" i="3"/>
  <c r="AD594" i="3"/>
  <c r="AE594" i="3"/>
  <c r="M594" i="3"/>
  <c r="AF594" i="3"/>
  <c r="AK594" i="3"/>
  <c r="AM594" i="3"/>
  <c r="P594" i="3"/>
  <c r="V594" i="3"/>
  <c r="T594" i="3"/>
  <c r="R594" i="3"/>
  <c r="X593" i="3"/>
  <c r="BG590" i="3" l="1"/>
  <c r="BH590" i="3" s="1"/>
  <c r="BI590" i="3" s="1"/>
  <c r="AN594" i="3"/>
  <c r="AW593" i="3"/>
  <c r="X594" i="3"/>
  <c r="AG594" i="3"/>
  <c r="BQ592" i="3"/>
  <c r="BB592" i="3"/>
  <c r="BF592" i="3"/>
  <c r="BD591" i="3"/>
  <c r="BG591" i="3"/>
  <c r="BH591" i="3" s="1"/>
  <c r="BI591" i="3" s="1"/>
  <c r="AT593" i="3"/>
  <c r="AH594" i="3"/>
  <c r="Y594" i="3"/>
  <c r="Z594" i="3" s="1"/>
  <c r="D595" i="3"/>
  <c r="B595" i="3"/>
  <c r="C595" i="3"/>
  <c r="A596" i="3"/>
  <c r="AQ595" i="3"/>
  <c r="AR595" i="3"/>
  <c r="G595" i="3"/>
  <c r="H595" i="3" s="1"/>
  <c r="F595" i="3"/>
  <c r="Q595" i="3"/>
  <c r="S595" i="3"/>
  <c r="O595" i="3"/>
  <c r="U595" i="3"/>
  <c r="AD595" i="3"/>
  <c r="AE595" i="3"/>
  <c r="M595" i="3"/>
  <c r="AF595" i="3"/>
  <c r="AK595" i="3"/>
  <c r="AM595" i="3"/>
  <c r="R595" i="3"/>
  <c r="T595" i="3"/>
  <c r="V595" i="3"/>
  <c r="P595" i="3"/>
  <c r="AU593" i="3"/>
  <c r="AY592" i="3"/>
  <c r="AT594" i="3"/>
  <c r="AO594" i="3"/>
  <c r="AW594" i="3" s="1"/>
  <c r="BN594" i="3"/>
  <c r="BM594" i="3"/>
  <c r="AX593" i="3"/>
  <c r="AY593" i="3" s="1"/>
  <c r="BF591" i="3"/>
  <c r="BJ590" i="3" s="1"/>
  <c r="BK590" i="3" s="1"/>
  <c r="BQ591" i="3"/>
  <c r="BB591" i="3"/>
  <c r="BC592" i="3"/>
  <c r="AN595" i="3" l="1"/>
  <c r="X595" i="3"/>
  <c r="AU594" i="3"/>
  <c r="A597" i="3"/>
  <c r="C596" i="3"/>
  <c r="AR596" i="3"/>
  <c r="B596" i="3"/>
  <c r="AQ596" i="3"/>
  <c r="D596" i="3"/>
  <c r="F596" i="3"/>
  <c r="G596" i="3"/>
  <c r="H596" i="3" s="1"/>
  <c r="Q596" i="3"/>
  <c r="S596" i="3"/>
  <c r="O596" i="3"/>
  <c r="U596" i="3"/>
  <c r="AD596" i="3"/>
  <c r="M596" i="3"/>
  <c r="AE596" i="3"/>
  <c r="AF596" i="3"/>
  <c r="AK596" i="3"/>
  <c r="AM596" i="3"/>
  <c r="AN596" i="3" s="1"/>
  <c r="P596" i="3"/>
  <c r="V596" i="3"/>
  <c r="R596" i="3"/>
  <c r="T596" i="3"/>
  <c r="AO595" i="3"/>
  <c r="Y595" i="3"/>
  <c r="Z595" i="3" s="1"/>
  <c r="BD592" i="3"/>
  <c r="BG592" i="3"/>
  <c r="BH592" i="3" s="1"/>
  <c r="BI592" i="3" s="1"/>
  <c r="AV594" i="3"/>
  <c r="AH595" i="3"/>
  <c r="BJ591" i="3"/>
  <c r="BK591" i="3" s="1"/>
  <c r="BN595" i="3"/>
  <c r="AX594" i="3"/>
  <c r="AY594" i="3" s="1"/>
  <c r="BM595" i="3"/>
  <c r="AG595" i="3"/>
  <c r="BA593" i="3"/>
  <c r="AV593" i="3"/>
  <c r="BC593" i="3" s="1"/>
  <c r="AX595" i="3" l="1"/>
  <c r="AH596" i="3"/>
  <c r="BA594" i="3"/>
  <c r="X596" i="3"/>
  <c r="BQ594" i="3"/>
  <c r="BF594" i="3"/>
  <c r="BB594" i="3"/>
  <c r="BC594" i="3"/>
  <c r="BD593" i="3"/>
  <c r="BG593" i="3"/>
  <c r="BH593" i="3" s="1"/>
  <c r="BI593" i="3" s="1"/>
  <c r="BF593" i="3"/>
  <c r="BJ592" i="3" s="1"/>
  <c r="BK592" i="3" s="1"/>
  <c r="BQ593" i="3"/>
  <c r="BB593" i="3"/>
  <c r="Y596" i="3"/>
  <c r="Z596" i="3" s="1"/>
  <c r="AR597" i="3"/>
  <c r="A598" i="3"/>
  <c r="AQ597" i="3"/>
  <c r="B597" i="3"/>
  <c r="C597" i="3"/>
  <c r="D597" i="3"/>
  <c r="F597" i="3"/>
  <c r="BM597" i="3" s="1"/>
  <c r="G597" i="3"/>
  <c r="H597" i="3" s="1"/>
  <c r="BN597" i="3" s="1"/>
  <c r="Q597" i="3"/>
  <c r="S597" i="3"/>
  <c r="O597" i="3"/>
  <c r="U597" i="3"/>
  <c r="AF597" i="3"/>
  <c r="AK597" i="3"/>
  <c r="AD597" i="3"/>
  <c r="M597" i="3"/>
  <c r="AE597" i="3"/>
  <c r="AG597" i="3" s="1"/>
  <c r="AM597" i="3"/>
  <c r="P597" i="3"/>
  <c r="V597" i="3"/>
  <c r="R597" i="3"/>
  <c r="T597" i="3"/>
  <c r="AW595" i="3"/>
  <c r="AY595" i="3" s="1"/>
  <c r="AO596" i="3"/>
  <c r="BN596" i="3"/>
  <c r="AU595" i="3"/>
  <c r="AT595" i="3"/>
  <c r="AG596" i="3"/>
  <c r="AT596" i="3" s="1"/>
  <c r="BM596" i="3"/>
  <c r="AO597" i="3" l="1"/>
  <c r="BJ593" i="3"/>
  <c r="BK593" i="3" s="1"/>
  <c r="AW596" i="3"/>
  <c r="AX596" i="3"/>
  <c r="Y597" i="3"/>
  <c r="Z597" i="3" s="1"/>
  <c r="AH597" i="3"/>
  <c r="AX597" i="3" s="1"/>
  <c r="BA595" i="3"/>
  <c r="AV595" i="3"/>
  <c r="BC595" i="3" s="1"/>
  <c r="AU596" i="3"/>
  <c r="X597" i="3"/>
  <c r="AN597" i="3"/>
  <c r="B598" i="3"/>
  <c r="A599" i="3"/>
  <c r="C598" i="3"/>
  <c r="D598" i="3"/>
  <c r="AQ598" i="3"/>
  <c r="AR598" i="3"/>
  <c r="G598" i="3"/>
  <c r="H598" i="3" s="1"/>
  <c r="F598" i="3"/>
  <c r="Q598" i="3"/>
  <c r="S598" i="3"/>
  <c r="O598" i="3"/>
  <c r="U598" i="3"/>
  <c r="AD598" i="3"/>
  <c r="M598" i="3"/>
  <c r="AE598" i="3"/>
  <c r="AF598" i="3"/>
  <c r="AK598" i="3"/>
  <c r="AM598" i="3"/>
  <c r="T598" i="3"/>
  <c r="V598" i="3"/>
  <c r="P598" i="3"/>
  <c r="R598" i="3"/>
  <c r="BD594" i="3"/>
  <c r="BG594" i="3"/>
  <c r="BH594" i="3" s="1"/>
  <c r="BI594" i="3" s="1"/>
  <c r="BM598" i="3" l="1"/>
  <c r="BN598" i="3"/>
  <c r="AO598" i="3"/>
  <c r="BA596" i="3"/>
  <c r="BF596" i="3" s="1"/>
  <c r="AY596" i="3"/>
  <c r="AU597" i="3"/>
  <c r="AG598" i="3"/>
  <c r="Y598" i="3"/>
  <c r="Z598" i="3" s="1"/>
  <c r="AT597" i="3"/>
  <c r="AH598" i="3"/>
  <c r="X598" i="3"/>
  <c r="BD595" i="3"/>
  <c r="BG595" i="3"/>
  <c r="BH595" i="3" s="1"/>
  <c r="BI595" i="3" s="1"/>
  <c r="AV596" i="3"/>
  <c r="AW597" i="3"/>
  <c r="AY597" i="3" s="1"/>
  <c r="AN598" i="3"/>
  <c r="C599" i="3"/>
  <c r="D599" i="3"/>
  <c r="B599" i="3"/>
  <c r="A600" i="3"/>
  <c r="AQ599" i="3"/>
  <c r="AR599" i="3"/>
  <c r="G599" i="3"/>
  <c r="H599" i="3" s="1"/>
  <c r="F599" i="3"/>
  <c r="Q599" i="3"/>
  <c r="S599" i="3"/>
  <c r="O599" i="3"/>
  <c r="U599" i="3"/>
  <c r="AF599" i="3"/>
  <c r="AE599" i="3"/>
  <c r="M599" i="3"/>
  <c r="AD599" i="3"/>
  <c r="AM599" i="3"/>
  <c r="AK599" i="3"/>
  <c r="T599" i="3"/>
  <c r="R599" i="3"/>
  <c r="P599" i="3"/>
  <c r="V599" i="3"/>
  <c r="BB595" i="3"/>
  <c r="BQ595" i="3"/>
  <c r="BF595" i="3"/>
  <c r="BJ594" i="3" s="1"/>
  <c r="BK594" i="3" s="1"/>
  <c r="AO599" i="3" l="1"/>
  <c r="BB596" i="3"/>
  <c r="BQ596" i="3"/>
  <c r="BM599" i="3"/>
  <c r="AW598" i="3"/>
  <c r="BC596" i="3"/>
  <c r="BG596" i="3" s="1"/>
  <c r="BH596" i="3" s="1"/>
  <c r="BI596" i="3" s="1"/>
  <c r="X599" i="3"/>
  <c r="BD596" i="3"/>
  <c r="AH599" i="3"/>
  <c r="AX598" i="3"/>
  <c r="BN599" i="3"/>
  <c r="AT598" i="3"/>
  <c r="A601" i="3"/>
  <c r="AR600" i="3"/>
  <c r="B600" i="3"/>
  <c r="AQ600" i="3"/>
  <c r="D600" i="3"/>
  <c r="C600" i="3"/>
  <c r="G600" i="3"/>
  <c r="H600" i="3" s="1"/>
  <c r="F600" i="3"/>
  <c r="Q600" i="3"/>
  <c r="S600" i="3"/>
  <c r="O600" i="3"/>
  <c r="U600" i="3"/>
  <c r="AF600" i="3"/>
  <c r="AD600" i="3"/>
  <c r="AK600" i="3"/>
  <c r="M600" i="3"/>
  <c r="AE600" i="3"/>
  <c r="AM600" i="3"/>
  <c r="T600" i="3"/>
  <c r="P600" i="3"/>
  <c r="R600" i="3"/>
  <c r="V600" i="3"/>
  <c r="AN599" i="3"/>
  <c r="Y599" i="3"/>
  <c r="Z599" i="3" s="1"/>
  <c r="AG599" i="3"/>
  <c r="AU598" i="3"/>
  <c r="AV597" i="3"/>
  <c r="BC597" i="3" s="1"/>
  <c r="BA597" i="3"/>
  <c r="BJ595" i="3"/>
  <c r="BK595" i="3" s="1"/>
  <c r="AY598" i="3" l="1"/>
  <c r="AO600" i="3"/>
  <c r="BN600" i="3"/>
  <c r="AU599" i="3"/>
  <c r="AH600" i="3"/>
  <c r="Y600" i="3"/>
  <c r="Z600" i="3" s="1"/>
  <c r="BQ597" i="3"/>
  <c r="BB597" i="3"/>
  <c r="BF597" i="3"/>
  <c r="BJ596" i="3" s="1"/>
  <c r="BK596" i="3" s="1"/>
  <c r="X600" i="3"/>
  <c r="BD597" i="3"/>
  <c r="BG597" i="3"/>
  <c r="BH597" i="3" s="1"/>
  <c r="BI597" i="3" s="1"/>
  <c r="AN600" i="3"/>
  <c r="AW599" i="3"/>
  <c r="AG600" i="3"/>
  <c r="AW600" i="3" s="1"/>
  <c r="AR601" i="3"/>
  <c r="A602" i="3"/>
  <c r="AQ601" i="3"/>
  <c r="B601" i="3"/>
  <c r="D601" i="3"/>
  <c r="C601" i="3"/>
  <c r="G601" i="3"/>
  <c r="H601" i="3" s="1"/>
  <c r="BN601" i="3" s="1"/>
  <c r="F601" i="3"/>
  <c r="BM601" i="3" s="1"/>
  <c r="Q601" i="3"/>
  <c r="S601" i="3"/>
  <c r="O601" i="3"/>
  <c r="U601" i="3"/>
  <c r="AD601" i="3"/>
  <c r="AF601" i="3"/>
  <c r="M601" i="3"/>
  <c r="AM601" i="3"/>
  <c r="AK601" i="3"/>
  <c r="AO601" i="3" s="1"/>
  <c r="AE601" i="3"/>
  <c r="P601" i="3"/>
  <c r="R601" i="3"/>
  <c r="T601" i="3"/>
  <c r="V601" i="3"/>
  <c r="AX599" i="3"/>
  <c r="AT599" i="3"/>
  <c r="BM600" i="3"/>
  <c r="BA598" i="3"/>
  <c r="AV598" i="3"/>
  <c r="BC598" i="3" s="1"/>
  <c r="AT600" i="3" l="1"/>
  <c r="AG601" i="3"/>
  <c r="BB598" i="3"/>
  <c r="BF598" i="3"/>
  <c r="BJ597" i="3" s="1"/>
  <c r="BK597" i="3" s="1"/>
  <c r="BQ598" i="3"/>
  <c r="B602" i="3"/>
  <c r="AQ602" i="3"/>
  <c r="A603" i="3"/>
  <c r="C602" i="3"/>
  <c r="D602" i="3"/>
  <c r="AR602" i="3"/>
  <c r="G602" i="3"/>
  <c r="H602" i="3" s="1"/>
  <c r="BN602" i="3" s="1"/>
  <c r="F602" i="3"/>
  <c r="Q602" i="3"/>
  <c r="S602" i="3"/>
  <c r="O602" i="3"/>
  <c r="U602" i="3"/>
  <c r="AE602" i="3"/>
  <c r="AF602" i="3"/>
  <c r="AD602" i="3"/>
  <c r="M602" i="3"/>
  <c r="AK602" i="3"/>
  <c r="AM602" i="3"/>
  <c r="AN602" i="3" s="1"/>
  <c r="R602" i="3"/>
  <c r="V602" i="3"/>
  <c r="P602" i="3"/>
  <c r="T602" i="3"/>
  <c r="AN601" i="3"/>
  <c r="AY599" i="3"/>
  <c r="Y601" i="3"/>
  <c r="Z601" i="3" s="1"/>
  <c r="AU600" i="3"/>
  <c r="AV600" i="3" s="1"/>
  <c r="AV599" i="3"/>
  <c r="BA599" i="3"/>
  <c r="AX600" i="3"/>
  <c r="AY600" i="3" s="1"/>
  <c r="AH601" i="3"/>
  <c r="BD598" i="3"/>
  <c r="BG598" i="3"/>
  <c r="BH598" i="3" s="1"/>
  <c r="BI598" i="3" s="1"/>
  <c r="X601" i="3"/>
  <c r="BM602" i="3" l="1"/>
  <c r="AH602" i="3"/>
  <c r="AX601" i="3"/>
  <c r="BC600" i="3"/>
  <c r="AO602" i="3"/>
  <c r="AX602" i="3" s="1"/>
  <c r="BB599" i="3"/>
  <c r="BF599" i="3"/>
  <c r="BJ598" i="3" s="1"/>
  <c r="BK598" i="3" s="1"/>
  <c r="BQ599" i="3"/>
  <c r="BC599" i="3"/>
  <c r="AW601" i="3"/>
  <c r="AG602" i="3"/>
  <c r="AT602" i="3" s="1"/>
  <c r="BA600" i="3"/>
  <c r="X602" i="3"/>
  <c r="Y602" i="3"/>
  <c r="Z602" i="3" s="1"/>
  <c r="AT601" i="3"/>
  <c r="D603" i="3"/>
  <c r="C603" i="3"/>
  <c r="A604" i="3"/>
  <c r="B603" i="3"/>
  <c r="AQ603" i="3"/>
  <c r="AR603" i="3"/>
  <c r="G603" i="3"/>
  <c r="H603" i="3" s="1"/>
  <c r="F603" i="3"/>
  <c r="BM603" i="3" s="1"/>
  <c r="Q603" i="3"/>
  <c r="S603" i="3"/>
  <c r="O603" i="3"/>
  <c r="U603" i="3"/>
  <c r="M603" i="3"/>
  <c r="AE603" i="3"/>
  <c r="AF603" i="3"/>
  <c r="AD603" i="3"/>
  <c r="AK603" i="3"/>
  <c r="AM603" i="3"/>
  <c r="T603" i="3"/>
  <c r="P603" i="3"/>
  <c r="V603" i="3"/>
  <c r="R603" i="3"/>
  <c r="AU601" i="3"/>
  <c r="BN603" i="3" l="1"/>
  <c r="AY601" i="3"/>
  <c r="AO603" i="3"/>
  <c r="BD599" i="3"/>
  <c r="BG599" i="3"/>
  <c r="BH599" i="3" s="1"/>
  <c r="BI599" i="3" s="1"/>
  <c r="AH603" i="3"/>
  <c r="BA601" i="3"/>
  <c r="AV601" i="3"/>
  <c r="BC601" i="3" s="1"/>
  <c r="Y603" i="3"/>
  <c r="Z603" i="3" s="1"/>
  <c r="X603" i="3"/>
  <c r="BF600" i="3"/>
  <c r="BJ599" i="3" s="1"/>
  <c r="BK599" i="3" s="1"/>
  <c r="BQ600" i="3"/>
  <c r="BB600" i="3"/>
  <c r="A605" i="3"/>
  <c r="AR604" i="3"/>
  <c r="B604" i="3"/>
  <c r="AQ604" i="3"/>
  <c r="C604" i="3"/>
  <c r="D604" i="3"/>
  <c r="F604" i="3"/>
  <c r="BM604" i="3" s="1"/>
  <c r="G604" i="3"/>
  <c r="H604" i="3" s="1"/>
  <c r="BN604" i="3" s="1"/>
  <c r="Q604" i="3"/>
  <c r="S604" i="3"/>
  <c r="O604" i="3"/>
  <c r="U604" i="3"/>
  <c r="AF604" i="3"/>
  <c r="M604" i="3"/>
  <c r="AE604" i="3"/>
  <c r="AD604" i="3"/>
  <c r="AK604" i="3"/>
  <c r="AM604" i="3"/>
  <c r="V604" i="3"/>
  <c r="R604" i="3"/>
  <c r="P604" i="3"/>
  <c r="T604" i="3"/>
  <c r="AW602" i="3"/>
  <c r="AY602" i="3" s="1"/>
  <c r="AU602" i="3"/>
  <c r="AV602" i="3" s="1"/>
  <c r="AG603" i="3"/>
  <c r="AN603" i="3"/>
  <c r="BD600" i="3"/>
  <c r="BG600" i="3"/>
  <c r="BH600" i="3" s="1"/>
  <c r="BI600" i="3" s="1"/>
  <c r="BC602" i="3" l="1"/>
  <c r="BG602" i="3" s="1"/>
  <c r="BH602" i="3" s="1"/>
  <c r="BI602" i="3" s="1"/>
  <c r="AH604" i="3"/>
  <c r="AO604" i="3"/>
  <c r="AW603" i="3"/>
  <c r="AR605" i="3"/>
  <c r="A606" i="3"/>
  <c r="AQ605" i="3"/>
  <c r="B605" i="3"/>
  <c r="C605" i="3"/>
  <c r="D605" i="3"/>
  <c r="F605" i="3"/>
  <c r="G605" i="3"/>
  <c r="H605" i="3" s="1"/>
  <c r="Q605" i="3"/>
  <c r="S605" i="3"/>
  <c r="O605" i="3"/>
  <c r="U605" i="3"/>
  <c r="M605" i="3"/>
  <c r="AD605" i="3"/>
  <c r="AE605" i="3"/>
  <c r="AK605" i="3"/>
  <c r="AM605" i="3"/>
  <c r="AN605" i="3" s="1"/>
  <c r="AF605" i="3"/>
  <c r="T605" i="3"/>
  <c r="R605" i="3"/>
  <c r="P605" i="3"/>
  <c r="V605" i="3"/>
  <c r="BF601" i="3"/>
  <c r="BJ600" i="3" s="1"/>
  <c r="BK600" i="3" s="1"/>
  <c r="BB601" i="3"/>
  <c r="BQ601" i="3"/>
  <c r="BA602" i="3"/>
  <c r="AX603" i="3"/>
  <c r="AU603" i="3"/>
  <c r="AG604" i="3"/>
  <c r="Y604" i="3"/>
  <c r="Z604" i="3" s="1"/>
  <c r="X604" i="3"/>
  <c r="AT603" i="3"/>
  <c r="AN604" i="3"/>
  <c r="AX604" i="3" s="1"/>
  <c r="BD601" i="3"/>
  <c r="BG601" i="3"/>
  <c r="BH601" i="3" s="1"/>
  <c r="BI601" i="3" s="1"/>
  <c r="BD602" i="3" l="1"/>
  <c r="AY603" i="3"/>
  <c r="AH605" i="3"/>
  <c r="AW604" i="3"/>
  <c r="AY604" i="3" s="1"/>
  <c r="X605" i="3"/>
  <c r="BF602" i="3"/>
  <c r="BJ601" i="3" s="1"/>
  <c r="BK601" i="3" s="1"/>
  <c r="BQ602" i="3"/>
  <c r="BB602" i="3"/>
  <c r="B606" i="3"/>
  <c r="A607" i="3"/>
  <c r="AQ606" i="3"/>
  <c r="D606" i="3"/>
  <c r="C606" i="3"/>
  <c r="AR606" i="3"/>
  <c r="G606" i="3"/>
  <c r="H606" i="3" s="1"/>
  <c r="BN606" i="3" s="1"/>
  <c r="F606" i="3"/>
  <c r="BM606" i="3" s="1"/>
  <c r="Q606" i="3"/>
  <c r="S606" i="3"/>
  <c r="O606" i="3"/>
  <c r="U606" i="3"/>
  <c r="M606" i="3"/>
  <c r="AE606" i="3"/>
  <c r="AD606" i="3"/>
  <c r="AF606" i="3"/>
  <c r="AK606" i="3"/>
  <c r="AM606" i="3"/>
  <c r="P606" i="3"/>
  <c r="R606" i="3"/>
  <c r="T606" i="3"/>
  <c r="V606" i="3"/>
  <c r="Y605" i="3"/>
  <c r="Z605" i="3" s="1"/>
  <c r="AT604" i="3"/>
  <c r="AU604" i="3"/>
  <c r="AO605" i="3"/>
  <c r="BN605" i="3"/>
  <c r="AV603" i="3"/>
  <c r="BC603" i="3" s="1"/>
  <c r="BA603" i="3"/>
  <c r="AG605" i="3"/>
  <c r="BM605" i="3"/>
  <c r="AW605" i="3" l="1"/>
  <c r="AO606" i="3"/>
  <c r="BA604" i="3"/>
  <c r="AV604" i="3"/>
  <c r="BC604" i="3" s="1"/>
  <c r="AH606" i="3"/>
  <c r="BQ603" i="3"/>
  <c r="BB603" i="3"/>
  <c r="BF603" i="3"/>
  <c r="BJ602" i="3" s="1"/>
  <c r="BK602" i="3" s="1"/>
  <c r="AU605" i="3"/>
  <c r="AT605" i="3"/>
  <c r="AG606" i="3"/>
  <c r="Y606" i="3"/>
  <c r="Z606" i="3" s="1"/>
  <c r="BD603" i="3"/>
  <c r="BG603" i="3"/>
  <c r="BH603" i="3" s="1"/>
  <c r="BI603" i="3" s="1"/>
  <c r="X606" i="3"/>
  <c r="AN606" i="3"/>
  <c r="C607" i="3"/>
  <c r="D607" i="3"/>
  <c r="A608" i="3"/>
  <c r="AQ607" i="3"/>
  <c r="AR607" i="3"/>
  <c r="B607" i="3"/>
  <c r="G607" i="3"/>
  <c r="H607" i="3" s="1"/>
  <c r="BN607" i="3" s="1"/>
  <c r="F607" i="3"/>
  <c r="BM607" i="3" s="1"/>
  <c r="Q607" i="3"/>
  <c r="S607" i="3"/>
  <c r="O607" i="3"/>
  <c r="U607" i="3"/>
  <c r="AD607" i="3"/>
  <c r="M607" i="3"/>
  <c r="AE607" i="3"/>
  <c r="AF607" i="3"/>
  <c r="AK607" i="3"/>
  <c r="AM607" i="3"/>
  <c r="V607" i="3"/>
  <c r="T607" i="3"/>
  <c r="R607" i="3"/>
  <c r="P607" i="3"/>
  <c r="AX605" i="3"/>
  <c r="AY605" i="3" s="1"/>
  <c r="AX606" i="3" l="1"/>
  <c r="AG607" i="3"/>
  <c r="AU606" i="3"/>
  <c r="AN607" i="3"/>
  <c r="A609" i="3"/>
  <c r="AR608" i="3"/>
  <c r="B608" i="3"/>
  <c r="C608" i="3"/>
  <c r="AQ608" i="3"/>
  <c r="D608" i="3"/>
  <c r="F608" i="3"/>
  <c r="G608" i="3"/>
  <c r="H608" i="3" s="1"/>
  <c r="Q608" i="3"/>
  <c r="S608" i="3"/>
  <c r="O608" i="3"/>
  <c r="U608" i="3"/>
  <c r="AF608" i="3"/>
  <c r="AK608" i="3"/>
  <c r="M608" i="3"/>
  <c r="AD608" i="3"/>
  <c r="AE608" i="3"/>
  <c r="AM608" i="3"/>
  <c r="P608" i="3"/>
  <c r="R608" i="3"/>
  <c r="T608" i="3"/>
  <c r="V608" i="3"/>
  <c r="AT606" i="3"/>
  <c r="AH607" i="3"/>
  <c r="Y607" i="3"/>
  <c r="Z607" i="3" s="1"/>
  <c r="AO607" i="3"/>
  <c r="AW606" i="3"/>
  <c r="BD604" i="3"/>
  <c r="BG604" i="3"/>
  <c r="BH604" i="3" s="1"/>
  <c r="BI604" i="3" s="1"/>
  <c r="X607" i="3"/>
  <c r="AV605" i="3"/>
  <c r="BC605" i="3" s="1"/>
  <c r="BA605" i="3"/>
  <c r="BB604" i="3"/>
  <c r="BF604" i="3"/>
  <c r="BJ603" i="3" s="1"/>
  <c r="BK603" i="3" s="1"/>
  <c r="BQ604" i="3"/>
  <c r="AY606" i="3" l="1"/>
  <c r="BM608" i="3"/>
  <c r="AW607" i="3"/>
  <c r="Y608" i="3"/>
  <c r="Z608" i="3" s="1"/>
  <c r="AO608" i="3"/>
  <c r="AH608" i="3"/>
  <c r="AU608" i="3" s="1"/>
  <c r="BQ605" i="3"/>
  <c r="BF605" i="3"/>
  <c r="BJ604" i="3" s="1"/>
  <c r="BK604" i="3" s="1"/>
  <c r="BB605" i="3"/>
  <c r="AG608" i="3"/>
  <c r="AR609" i="3"/>
  <c r="A610" i="3"/>
  <c r="AQ609" i="3"/>
  <c r="B609" i="3"/>
  <c r="C609" i="3"/>
  <c r="D609" i="3"/>
  <c r="G609" i="3"/>
  <c r="H609" i="3" s="1"/>
  <c r="F609" i="3"/>
  <c r="Q609" i="3"/>
  <c r="S609" i="3"/>
  <c r="O609" i="3"/>
  <c r="U609" i="3"/>
  <c r="AF609" i="3"/>
  <c r="AE609" i="3"/>
  <c r="M609" i="3"/>
  <c r="AD609" i="3"/>
  <c r="AM609" i="3"/>
  <c r="AK609" i="3"/>
  <c r="AO609" i="3" s="1"/>
  <c r="R609" i="3"/>
  <c r="V609" i="3"/>
  <c r="P609" i="3"/>
  <c r="T609" i="3"/>
  <c r="X608" i="3"/>
  <c r="BD605" i="3"/>
  <c r="BG605" i="3"/>
  <c r="BH605" i="3" s="1"/>
  <c r="BI605" i="3" s="1"/>
  <c r="AN608" i="3"/>
  <c r="AX607" i="3"/>
  <c r="AT607" i="3"/>
  <c r="AV606" i="3"/>
  <c r="BC606" i="3" s="1"/>
  <c r="BA606" i="3"/>
  <c r="BN608" i="3"/>
  <c r="AU607" i="3"/>
  <c r="AY607" i="3" l="1"/>
  <c r="AG609" i="3"/>
  <c r="BN609" i="3"/>
  <c r="AX608" i="3"/>
  <c r="AT608" i="3"/>
  <c r="AV608" i="3" s="1"/>
  <c r="BD606" i="3"/>
  <c r="BG606" i="3"/>
  <c r="BH606" i="3" s="1"/>
  <c r="BI606" i="3" s="1"/>
  <c r="X609" i="3"/>
  <c r="B610" i="3"/>
  <c r="A611" i="3"/>
  <c r="D610" i="3"/>
  <c r="AQ610" i="3"/>
  <c r="C610" i="3"/>
  <c r="AR610" i="3"/>
  <c r="G610" i="3"/>
  <c r="H610" i="3" s="1"/>
  <c r="BN610" i="3" s="1"/>
  <c r="F610" i="3"/>
  <c r="BM610" i="3" s="1"/>
  <c r="Q610" i="3"/>
  <c r="S610" i="3"/>
  <c r="O610" i="3"/>
  <c r="U610" i="3"/>
  <c r="M610" i="3"/>
  <c r="AE610" i="3"/>
  <c r="AM610" i="3"/>
  <c r="AF610" i="3"/>
  <c r="AD610" i="3"/>
  <c r="AK610" i="3"/>
  <c r="V610" i="3"/>
  <c r="P610" i="3"/>
  <c r="T610" i="3"/>
  <c r="R610" i="3"/>
  <c r="AV607" i="3"/>
  <c r="BC607" i="3" s="1"/>
  <c r="BA607" i="3"/>
  <c r="AN609" i="3"/>
  <c r="BQ606" i="3"/>
  <c r="BB606" i="3"/>
  <c r="BF606" i="3"/>
  <c r="BJ605" i="3" s="1"/>
  <c r="BK605" i="3" s="1"/>
  <c r="Y609" i="3"/>
  <c r="Z609" i="3" s="1"/>
  <c r="AH609" i="3"/>
  <c r="BM609" i="3"/>
  <c r="AW608" i="3"/>
  <c r="AY608" i="3" s="1"/>
  <c r="AO610" i="3" l="1"/>
  <c r="AH610" i="3"/>
  <c r="AX609" i="3"/>
  <c r="BA608" i="3"/>
  <c r="BB608" i="3" s="1"/>
  <c r="C611" i="3"/>
  <c r="B611" i="3"/>
  <c r="D611" i="3"/>
  <c r="A612" i="3"/>
  <c r="AQ611" i="3"/>
  <c r="AR611" i="3"/>
  <c r="G611" i="3"/>
  <c r="H611" i="3" s="1"/>
  <c r="F611" i="3"/>
  <c r="Q611" i="3"/>
  <c r="S611" i="3"/>
  <c r="O611" i="3"/>
  <c r="U611" i="3"/>
  <c r="AD611" i="3"/>
  <c r="AE611" i="3"/>
  <c r="AK611" i="3"/>
  <c r="M611" i="3"/>
  <c r="AF611" i="3"/>
  <c r="AM611" i="3"/>
  <c r="V611" i="3"/>
  <c r="R611" i="3"/>
  <c r="P611" i="3"/>
  <c r="T611" i="3"/>
  <c r="AU609" i="3"/>
  <c r="BQ607" i="3"/>
  <c r="BB607" i="3"/>
  <c r="BF607" i="3"/>
  <c r="BJ606" i="3" s="1"/>
  <c r="BK606" i="3" s="1"/>
  <c r="BF608" i="3"/>
  <c r="BQ608" i="3"/>
  <c r="AN610" i="3"/>
  <c r="X610" i="3"/>
  <c r="BD607" i="3"/>
  <c r="BG607" i="3"/>
  <c r="BH607" i="3" s="1"/>
  <c r="BI607" i="3" s="1"/>
  <c r="BC608" i="3"/>
  <c r="AW609" i="3"/>
  <c r="AY609" i="3" s="1"/>
  <c r="AG610" i="3"/>
  <c r="AT609" i="3"/>
  <c r="Y610" i="3"/>
  <c r="Z610" i="3" s="1"/>
  <c r="X611" i="3" l="1"/>
  <c r="BJ607" i="3"/>
  <c r="BK607" i="3" s="1"/>
  <c r="BM611" i="3"/>
  <c r="BN611" i="3"/>
  <c r="AX610" i="3"/>
  <c r="AG611" i="3"/>
  <c r="AW610" i="3"/>
  <c r="AY610" i="3" s="1"/>
  <c r="AO611" i="3"/>
  <c r="A613" i="3"/>
  <c r="AR612" i="3"/>
  <c r="B612" i="3"/>
  <c r="AQ612" i="3"/>
  <c r="D612" i="3"/>
  <c r="C612" i="3"/>
  <c r="F612" i="3"/>
  <c r="BM612" i="3" s="1"/>
  <c r="G612" i="3"/>
  <c r="H612" i="3" s="1"/>
  <c r="Q612" i="3"/>
  <c r="S612" i="3"/>
  <c r="O612" i="3"/>
  <c r="U612" i="3"/>
  <c r="M612" i="3"/>
  <c r="AE612" i="3"/>
  <c r="AD612" i="3"/>
  <c r="AF612" i="3"/>
  <c r="AM612" i="3"/>
  <c r="AK612" i="3"/>
  <c r="T612" i="3"/>
  <c r="P612" i="3"/>
  <c r="R612" i="3"/>
  <c r="V612" i="3"/>
  <c r="AH611" i="3"/>
  <c r="AT610" i="3"/>
  <c r="AN611" i="3"/>
  <c r="BD608" i="3"/>
  <c r="BG608" i="3"/>
  <c r="BH608" i="3" s="1"/>
  <c r="BI608" i="3" s="1"/>
  <c r="Y611" i="3"/>
  <c r="Z611" i="3" s="1"/>
  <c r="AU610" i="3"/>
  <c r="BA609" i="3"/>
  <c r="AV609" i="3"/>
  <c r="BC609" i="3" s="1"/>
  <c r="AO612" i="3" l="1"/>
  <c r="AW611" i="3"/>
  <c r="X612" i="3"/>
  <c r="AN612" i="3"/>
  <c r="AR613" i="3"/>
  <c r="A614" i="3"/>
  <c r="AQ613" i="3"/>
  <c r="B613" i="3"/>
  <c r="C613" i="3"/>
  <c r="D613" i="3"/>
  <c r="F613" i="3"/>
  <c r="BM613" i="3" s="1"/>
  <c r="G613" i="3"/>
  <c r="H613" i="3" s="1"/>
  <c r="BN613" i="3" s="1"/>
  <c r="Q613" i="3"/>
  <c r="S613" i="3"/>
  <c r="O613" i="3"/>
  <c r="U613" i="3"/>
  <c r="AD613" i="3"/>
  <c r="M613" i="3"/>
  <c r="AF613" i="3"/>
  <c r="AE613" i="3"/>
  <c r="AK613" i="3"/>
  <c r="AM613" i="3"/>
  <c r="T613" i="3"/>
  <c r="R613" i="3"/>
  <c r="V613" i="3"/>
  <c r="P613" i="3"/>
  <c r="AX611" i="3"/>
  <c r="BN612" i="3"/>
  <c r="AT611" i="3"/>
  <c r="BD609" i="3"/>
  <c r="BG609" i="3"/>
  <c r="BH609" i="3" s="1"/>
  <c r="BI609" i="3" s="1"/>
  <c r="AV610" i="3"/>
  <c r="BC610" i="3" s="1"/>
  <c r="BA610" i="3"/>
  <c r="BF609" i="3"/>
  <c r="BJ608" i="3" s="1"/>
  <c r="BK608" i="3" s="1"/>
  <c r="BQ609" i="3"/>
  <c r="BB609" i="3"/>
  <c r="AH612" i="3"/>
  <c r="AU611" i="3"/>
  <c r="AY611" i="3"/>
  <c r="Y612" i="3"/>
  <c r="Z612" i="3" s="1"/>
  <c r="AG612" i="3"/>
  <c r="AN613" i="3" l="1"/>
  <c r="AX612" i="3"/>
  <c r="AG613" i="3"/>
  <c r="X613" i="3"/>
  <c r="B614" i="3"/>
  <c r="A615" i="3"/>
  <c r="C614" i="3"/>
  <c r="D614" i="3"/>
  <c r="AR614" i="3"/>
  <c r="AQ614" i="3"/>
  <c r="G614" i="3"/>
  <c r="H614" i="3" s="1"/>
  <c r="F614" i="3"/>
  <c r="Q614" i="3"/>
  <c r="S614" i="3"/>
  <c r="O614" i="3"/>
  <c r="U614" i="3"/>
  <c r="M614" i="3"/>
  <c r="AE614" i="3"/>
  <c r="AF614" i="3"/>
  <c r="AD614" i="3"/>
  <c r="AM614" i="3"/>
  <c r="AK614" i="3"/>
  <c r="AO614" i="3" s="1"/>
  <c r="P614" i="3"/>
  <c r="T614" i="3"/>
  <c r="R614" i="3"/>
  <c r="V614" i="3"/>
  <c r="AU612" i="3"/>
  <c r="AV611" i="3"/>
  <c r="BC611" i="3" s="1"/>
  <c r="BA611" i="3"/>
  <c r="AT612" i="3"/>
  <c r="AO613" i="3"/>
  <c r="BB610" i="3"/>
  <c r="BQ610" i="3"/>
  <c r="BF610" i="3"/>
  <c r="BJ609" i="3" s="1"/>
  <c r="BK609" i="3" s="1"/>
  <c r="AW612" i="3"/>
  <c r="BD610" i="3"/>
  <c r="BG610" i="3"/>
  <c r="BH610" i="3" s="1"/>
  <c r="BI610" i="3" s="1"/>
  <c r="Y613" i="3"/>
  <c r="Z613" i="3" s="1"/>
  <c r="AH613" i="3"/>
  <c r="AY612" i="3" l="1"/>
  <c r="AX613" i="3"/>
  <c r="BN614" i="3"/>
  <c r="Y614" i="3"/>
  <c r="Z614" i="3" s="1"/>
  <c r="X614" i="3"/>
  <c r="AU613" i="3"/>
  <c r="AT613" i="3"/>
  <c r="D615" i="3"/>
  <c r="C615" i="3"/>
  <c r="B615" i="3"/>
  <c r="A616" i="3"/>
  <c r="AQ615" i="3"/>
  <c r="AR615" i="3"/>
  <c r="G615" i="3"/>
  <c r="H615" i="3" s="1"/>
  <c r="F615" i="3"/>
  <c r="Q615" i="3"/>
  <c r="S615" i="3"/>
  <c r="O615" i="3"/>
  <c r="U615" i="3"/>
  <c r="AD615" i="3"/>
  <c r="AE615" i="3"/>
  <c r="M615" i="3"/>
  <c r="AM615" i="3"/>
  <c r="AK615" i="3"/>
  <c r="AO615" i="3" s="1"/>
  <c r="AF615" i="3"/>
  <c r="T615" i="3"/>
  <c r="P615" i="3"/>
  <c r="V615" i="3"/>
  <c r="R615" i="3"/>
  <c r="AW613" i="3"/>
  <c r="BF611" i="3"/>
  <c r="BJ610" i="3" s="1"/>
  <c r="BK610" i="3" s="1"/>
  <c r="BQ611" i="3"/>
  <c r="BB611" i="3"/>
  <c r="AN614" i="3"/>
  <c r="AG614" i="3"/>
  <c r="BA612" i="3"/>
  <c r="AV612" i="3"/>
  <c r="BC612" i="3" s="1"/>
  <c r="BD611" i="3"/>
  <c r="BG611" i="3"/>
  <c r="BH611" i="3" s="1"/>
  <c r="BI611" i="3" s="1"/>
  <c r="AH614" i="3"/>
  <c r="BM614" i="3"/>
  <c r="AY613" i="3" l="1"/>
  <c r="BM615" i="3"/>
  <c r="AG615" i="3"/>
  <c r="AX614" i="3"/>
  <c r="AV613" i="3"/>
  <c r="BC613" i="3" s="1"/>
  <c r="BA613" i="3"/>
  <c r="AU614" i="3"/>
  <c r="AN615" i="3"/>
  <c r="BQ612" i="3"/>
  <c r="BB612" i="3"/>
  <c r="BF612" i="3"/>
  <c r="BJ611" i="3" s="1"/>
  <c r="BK611" i="3" s="1"/>
  <c r="X615" i="3"/>
  <c r="A617" i="3"/>
  <c r="AR616" i="3"/>
  <c r="B616" i="3"/>
  <c r="D616" i="3"/>
  <c r="AQ616" i="3"/>
  <c r="C616" i="3"/>
  <c r="F616" i="3"/>
  <c r="BM616" i="3" s="1"/>
  <c r="G616" i="3"/>
  <c r="H616" i="3" s="1"/>
  <c r="Q616" i="3"/>
  <c r="S616" i="3"/>
  <c r="O616" i="3"/>
  <c r="U616" i="3"/>
  <c r="AD616" i="3"/>
  <c r="AF616" i="3"/>
  <c r="AE616" i="3"/>
  <c r="AK616" i="3"/>
  <c r="AM616" i="3"/>
  <c r="M616" i="3"/>
  <c r="P616" i="3"/>
  <c r="T616" i="3"/>
  <c r="R616" i="3"/>
  <c r="V616" i="3"/>
  <c r="BN615" i="3"/>
  <c r="BD612" i="3"/>
  <c r="BG612" i="3"/>
  <c r="BH612" i="3" s="1"/>
  <c r="BI612" i="3" s="1"/>
  <c r="AH615" i="3"/>
  <c r="Y615" i="3"/>
  <c r="Z615" i="3" s="1"/>
  <c r="AW614" i="3"/>
  <c r="AY614" i="3" s="1"/>
  <c r="AT614" i="3"/>
  <c r="X616" i="3" l="1"/>
  <c r="AN616" i="3"/>
  <c r="AH616" i="3"/>
  <c r="AX615" i="3"/>
  <c r="AO616" i="3"/>
  <c r="AU615" i="3"/>
  <c r="AR617" i="3"/>
  <c r="A618" i="3"/>
  <c r="AQ617" i="3"/>
  <c r="B617" i="3"/>
  <c r="D617" i="3"/>
  <c r="C617" i="3"/>
  <c r="F617" i="3"/>
  <c r="BM617" i="3" s="1"/>
  <c r="G617" i="3"/>
  <c r="H617" i="3" s="1"/>
  <c r="BN617" i="3" s="1"/>
  <c r="S617" i="3"/>
  <c r="Q617" i="3"/>
  <c r="O617" i="3"/>
  <c r="U617" i="3"/>
  <c r="AF617" i="3"/>
  <c r="AD617" i="3"/>
  <c r="M617" i="3"/>
  <c r="AE617" i="3"/>
  <c r="AG617" i="3" s="1"/>
  <c r="AK617" i="3"/>
  <c r="AM617" i="3"/>
  <c r="AN617" i="3" s="1"/>
  <c r="T617" i="3"/>
  <c r="R617" i="3"/>
  <c r="V617" i="3"/>
  <c r="P617" i="3"/>
  <c r="AT615" i="3"/>
  <c r="BN616" i="3"/>
  <c r="BB613" i="3"/>
  <c r="BQ613" i="3"/>
  <c r="BF613" i="3"/>
  <c r="BJ612" i="3" s="1"/>
  <c r="BK612" i="3" s="1"/>
  <c r="AV614" i="3"/>
  <c r="BC614" i="3" s="1"/>
  <c r="BA614" i="3"/>
  <c r="BD613" i="3"/>
  <c r="BG613" i="3"/>
  <c r="BH613" i="3" s="1"/>
  <c r="BI613" i="3" s="1"/>
  <c r="AW615" i="3"/>
  <c r="AG616" i="3"/>
  <c r="AW616" i="3" s="1"/>
  <c r="Y616" i="3"/>
  <c r="Z616" i="3" s="1"/>
  <c r="AY615" i="3" l="1"/>
  <c r="X617" i="3"/>
  <c r="B618" i="3"/>
  <c r="AQ618" i="3"/>
  <c r="A619" i="3"/>
  <c r="C618" i="3"/>
  <c r="D618" i="3"/>
  <c r="AR618" i="3"/>
  <c r="F618" i="3"/>
  <c r="G618" i="3"/>
  <c r="H618" i="3" s="1"/>
  <c r="Q618" i="3"/>
  <c r="S618" i="3"/>
  <c r="O618" i="3"/>
  <c r="U618" i="3"/>
  <c r="AE618" i="3"/>
  <c r="AF618" i="3"/>
  <c r="AD618" i="3"/>
  <c r="M618" i="3"/>
  <c r="AK618" i="3"/>
  <c r="AM618" i="3"/>
  <c r="AN618" i="3" s="1"/>
  <c r="V618" i="3"/>
  <c r="R618" i="3"/>
  <c r="P618" i="3"/>
  <c r="T618" i="3"/>
  <c r="AO617" i="3"/>
  <c r="AT616" i="3"/>
  <c r="BA615" i="3"/>
  <c r="AV615" i="3"/>
  <c r="BC615" i="3" s="1"/>
  <c r="BF614" i="3"/>
  <c r="BJ613" i="3" s="1"/>
  <c r="BK613" i="3" s="1"/>
  <c r="BB614" i="3"/>
  <c r="BQ614" i="3"/>
  <c r="AX616" i="3"/>
  <c r="AY616" i="3" s="1"/>
  <c r="BD614" i="3"/>
  <c r="BG614" i="3"/>
  <c r="BH614" i="3" s="1"/>
  <c r="BI614" i="3" s="1"/>
  <c r="AH617" i="3"/>
  <c r="AU617" i="3" s="1"/>
  <c r="Y617" i="3"/>
  <c r="Z617" i="3" s="1"/>
  <c r="AU616" i="3"/>
  <c r="BM618" i="3" l="1"/>
  <c r="AH618" i="3"/>
  <c r="AX617" i="3"/>
  <c r="C619" i="3"/>
  <c r="D619" i="3"/>
  <c r="A620" i="3"/>
  <c r="AQ619" i="3"/>
  <c r="B619" i="3"/>
  <c r="AR619" i="3"/>
  <c r="G619" i="3"/>
  <c r="H619" i="3" s="1"/>
  <c r="F619" i="3"/>
  <c r="Q619" i="3"/>
  <c r="S619" i="3"/>
  <c r="O619" i="3"/>
  <c r="U619" i="3"/>
  <c r="AF619" i="3"/>
  <c r="AD619" i="3"/>
  <c r="M619" i="3"/>
  <c r="AE619" i="3"/>
  <c r="AK619" i="3"/>
  <c r="AM619" i="3"/>
  <c r="AN619" i="3" s="1"/>
  <c r="T619" i="3"/>
  <c r="R619" i="3"/>
  <c r="P619" i="3"/>
  <c r="V619" i="3"/>
  <c r="AW617" i="3"/>
  <c r="X618" i="3"/>
  <c r="BB615" i="3"/>
  <c r="BQ615" i="3"/>
  <c r="BF615" i="3"/>
  <c r="BJ614" i="3" s="1"/>
  <c r="BK614" i="3" s="1"/>
  <c r="AV616" i="3"/>
  <c r="BC616" i="3" s="1"/>
  <c r="BA616" i="3"/>
  <c r="AO618" i="3"/>
  <c r="AG618" i="3"/>
  <c r="AU618" i="3" s="1"/>
  <c r="BD615" i="3"/>
  <c r="BG615" i="3"/>
  <c r="BH615" i="3" s="1"/>
  <c r="BI615" i="3" s="1"/>
  <c r="Y618" i="3"/>
  <c r="Z618" i="3" s="1"/>
  <c r="BN618" i="3"/>
  <c r="AT617" i="3"/>
  <c r="AY617" i="3" l="1"/>
  <c r="BM619" i="3"/>
  <c r="AG619" i="3"/>
  <c r="D620" i="3"/>
  <c r="A621" i="3"/>
  <c r="AR620" i="3"/>
  <c r="B620" i="3"/>
  <c r="AQ620" i="3"/>
  <c r="C620" i="3"/>
  <c r="G620" i="3"/>
  <c r="H620" i="3" s="1"/>
  <c r="F620" i="3"/>
  <c r="Q620" i="3"/>
  <c r="S620" i="3"/>
  <c r="O620" i="3"/>
  <c r="U620" i="3"/>
  <c r="AD620" i="3"/>
  <c r="M620" i="3"/>
  <c r="AE620" i="3"/>
  <c r="AK620" i="3"/>
  <c r="AF620" i="3"/>
  <c r="AM620" i="3"/>
  <c r="T620" i="3"/>
  <c r="V620" i="3"/>
  <c r="P620" i="3"/>
  <c r="R620" i="3"/>
  <c r="AO619" i="3"/>
  <c r="BN619" i="3"/>
  <c r="AX618" i="3"/>
  <c r="Y619" i="3"/>
  <c r="Z619" i="3" s="1"/>
  <c r="AW618" i="3"/>
  <c r="AH619" i="3"/>
  <c r="AU619" i="3" s="1"/>
  <c r="BA617" i="3"/>
  <c r="AV617" i="3"/>
  <c r="BC617" i="3" s="1"/>
  <c r="BD616" i="3"/>
  <c r="BG616" i="3"/>
  <c r="BH616" i="3" s="1"/>
  <c r="BI616" i="3" s="1"/>
  <c r="AT618" i="3"/>
  <c r="BQ616" i="3"/>
  <c r="BF616" i="3"/>
  <c r="BJ615" i="3" s="1"/>
  <c r="BK615" i="3" s="1"/>
  <c r="BB616" i="3"/>
  <c r="X619" i="3"/>
  <c r="BN620" i="3" l="1"/>
  <c r="AG620" i="3"/>
  <c r="BM620" i="3"/>
  <c r="AO620" i="3"/>
  <c r="BD617" i="3"/>
  <c r="BG617" i="3"/>
  <c r="BH617" i="3" s="1"/>
  <c r="BI617" i="3" s="1"/>
  <c r="X620" i="3"/>
  <c r="BF617" i="3"/>
  <c r="BJ616" i="3" s="1"/>
  <c r="BK616" i="3" s="1"/>
  <c r="BB617" i="3"/>
  <c r="BQ617" i="3"/>
  <c r="AW619" i="3"/>
  <c r="AX619" i="3"/>
  <c r="AH620" i="3"/>
  <c r="AT619" i="3"/>
  <c r="AN620" i="3"/>
  <c r="AR621" i="3"/>
  <c r="A622" i="3"/>
  <c r="AQ621" i="3"/>
  <c r="B621" i="3"/>
  <c r="C621" i="3"/>
  <c r="D621" i="3"/>
  <c r="G621" i="3"/>
  <c r="H621" i="3" s="1"/>
  <c r="BN621" i="3" s="1"/>
  <c r="F621" i="3"/>
  <c r="BM621" i="3" s="1"/>
  <c r="S621" i="3"/>
  <c r="Q621" i="3"/>
  <c r="O621" i="3"/>
  <c r="U621" i="3"/>
  <c r="AF621" i="3"/>
  <c r="AE621" i="3"/>
  <c r="AK621" i="3"/>
  <c r="M621" i="3"/>
  <c r="AM621" i="3"/>
  <c r="AN621" i="3" s="1"/>
  <c r="AD621" i="3"/>
  <c r="R621" i="3"/>
  <c r="V621" i="3"/>
  <c r="T621" i="3"/>
  <c r="P621" i="3"/>
  <c r="AV618" i="3"/>
  <c r="BA618" i="3"/>
  <c r="AY618" i="3"/>
  <c r="Y620" i="3"/>
  <c r="Z620" i="3" s="1"/>
  <c r="AY619" i="3" l="1"/>
  <c r="AT620" i="3"/>
  <c r="B622" i="3"/>
  <c r="A623" i="3"/>
  <c r="D622" i="3"/>
  <c r="C622" i="3"/>
  <c r="AR622" i="3"/>
  <c r="AQ622" i="3"/>
  <c r="G622" i="3"/>
  <c r="H622" i="3" s="1"/>
  <c r="F622" i="3"/>
  <c r="Q622" i="3"/>
  <c r="S622" i="3"/>
  <c r="O622" i="3"/>
  <c r="U622" i="3"/>
  <c r="AF622" i="3"/>
  <c r="M622" i="3"/>
  <c r="AD622" i="3"/>
  <c r="AK622" i="3"/>
  <c r="AE622" i="3"/>
  <c r="AM622" i="3"/>
  <c r="P622" i="3"/>
  <c r="R622" i="3"/>
  <c r="V622" i="3"/>
  <c r="T622" i="3"/>
  <c r="AO621" i="3"/>
  <c r="BF618" i="3"/>
  <c r="BJ617" i="3" s="1"/>
  <c r="BK617" i="3" s="1"/>
  <c r="BB618" i="3"/>
  <c r="BQ618" i="3"/>
  <c r="AG621" i="3"/>
  <c r="AX620" i="3"/>
  <c r="AW620" i="3"/>
  <c r="BA620" i="3" s="1"/>
  <c r="AV620" i="3"/>
  <c r="AV619" i="3"/>
  <c r="BC619" i="3" s="1"/>
  <c r="BA619" i="3"/>
  <c r="AU620" i="3"/>
  <c r="X621" i="3"/>
  <c r="BC618" i="3"/>
  <c r="AH621" i="3"/>
  <c r="AT621" i="3" s="1"/>
  <c r="Y621" i="3"/>
  <c r="Z621" i="3" s="1"/>
  <c r="BM622" i="3" l="1"/>
  <c r="BN622" i="3"/>
  <c r="AO622" i="3"/>
  <c r="AH622" i="3"/>
  <c r="AX621" i="3"/>
  <c r="BD618" i="3"/>
  <c r="BG618" i="3"/>
  <c r="BH618" i="3" s="1"/>
  <c r="BI618" i="3" s="1"/>
  <c r="BQ620" i="3"/>
  <c r="BB620" i="3"/>
  <c r="BF620" i="3"/>
  <c r="AY620" i="3"/>
  <c r="BC620" i="3" s="1"/>
  <c r="AW621" i="3"/>
  <c r="Y622" i="3"/>
  <c r="Z622" i="3" s="1"/>
  <c r="X622" i="3"/>
  <c r="BB619" i="3"/>
  <c r="BQ619" i="3"/>
  <c r="BF619" i="3"/>
  <c r="BJ618" i="3" s="1"/>
  <c r="BK618" i="3" s="1"/>
  <c r="AN622" i="3"/>
  <c r="C623" i="3"/>
  <c r="D623" i="3"/>
  <c r="B623" i="3"/>
  <c r="A624" i="3"/>
  <c r="AQ623" i="3"/>
  <c r="AR623" i="3"/>
  <c r="F623" i="3"/>
  <c r="G623" i="3"/>
  <c r="H623" i="3" s="1"/>
  <c r="Q623" i="3"/>
  <c r="S623" i="3"/>
  <c r="O623" i="3"/>
  <c r="U623" i="3"/>
  <c r="AF623" i="3"/>
  <c r="AE623" i="3"/>
  <c r="M623" i="3"/>
  <c r="AD623" i="3"/>
  <c r="AM623" i="3"/>
  <c r="AK623" i="3"/>
  <c r="T623" i="3"/>
  <c r="P623" i="3"/>
  <c r="R623" i="3"/>
  <c r="V623" i="3"/>
  <c r="AU621" i="3"/>
  <c r="BD619" i="3"/>
  <c r="BG619" i="3"/>
  <c r="BH619" i="3" s="1"/>
  <c r="BI619" i="3" s="1"/>
  <c r="AG622" i="3"/>
  <c r="AY621" i="3" l="1"/>
  <c r="BA621" i="3"/>
  <c r="BQ621" i="3" s="1"/>
  <c r="AX622" i="3"/>
  <c r="AH623" i="3"/>
  <c r="BJ619" i="3"/>
  <c r="BK619" i="3" s="1"/>
  <c r="X623" i="3"/>
  <c r="AW622" i="3"/>
  <c r="AY622" i="3" s="1"/>
  <c r="AO623" i="3"/>
  <c r="AT622" i="3"/>
  <c r="BD620" i="3"/>
  <c r="BG620" i="3"/>
  <c r="BH620" i="3" s="1"/>
  <c r="BI620" i="3" s="1"/>
  <c r="AN623" i="3"/>
  <c r="BN623" i="3"/>
  <c r="AV621" i="3"/>
  <c r="BC621" i="3" s="1"/>
  <c r="BM623" i="3"/>
  <c r="AU622" i="3"/>
  <c r="A625" i="3"/>
  <c r="AR624" i="3"/>
  <c r="B624" i="3"/>
  <c r="C624" i="3"/>
  <c r="AQ624" i="3"/>
  <c r="D624" i="3"/>
  <c r="G624" i="3"/>
  <c r="H624" i="3" s="1"/>
  <c r="F624" i="3"/>
  <c r="Q624" i="3"/>
  <c r="S624" i="3"/>
  <c r="O624" i="3"/>
  <c r="U624" i="3"/>
  <c r="AF624" i="3"/>
  <c r="AE624" i="3"/>
  <c r="AD624" i="3"/>
  <c r="AK624" i="3"/>
  <c r="M624" i="3"/>
  <c r="AM624" i="3"/>
  <c r="V624" i="3"/>
  <c r="P624" i="3"/>
  <c r="T624" i="3"/>
  <c r="R624" i="3"/>
  <c r="Y623" i="3"/>
  <c r="Z623" i="3" s="1"/>
  <c r="AG623" i="3"/>
  <c r="BF621" i="3" l="1"/>
  <c r="BJ620" i="3" s="1"/>
  <c r="BK620" i="3" s="1"/>
  <c r="BB621" i="3"/>
  <c r="BM624" i="3"/>
  <c r="BN624" i="3"/>
  <c r="AH624" i="3"/>
  <c r="AG624" i="3"/>
  <c r="AT624" i="3" s="1"/>
  <c r="AW623" i="3"/>
  <c r="AO624" i="3"/>
  <c r="AR625" i="3"/>
  <c r="A626" i="3"/>
  <c r="AQ625" i="3"/>
  <c r="B625" i="3"/>
  <c r="D625" i="3"/>
  <c r="C625" i="3"/>
  <c r="F625" i="3"/>
  <c r="BM625" i="3" s="1"/>
  <c r="G625" i="3"/>
  <c r="H625" i="3" s="1"/>
  <c r="BN625" i="3" s="1"/>
  <c r="Q625" i="3"/>
  <c r="S625" i="3"/>
  <c r="O625" i="3"/>
  <c r="U625" i="3"/>
  <c r="M625" i="3"/>
  <c r="AF625" i="3"/>
  <c r="AE625" i="3"/>
  <c r="AD625" i="3"/>
  <c r="AM625" i="3"/>
  <c r="AK625" i="3"/>
  <c r="P625" i="3"/>
  <c r="T625" i="3"/>
  <c r="R625" i="3"/>
  <c r="V625" i="3"/>
  <c r="AX623" i="3"/>
  <c r="BD621" i="3"/>
  <c r="BG621" i="3"/>
  <c r="BH621" i="3" s="1"/>
  <c r="BI621" i="3" s="1"/>
  <c r="BA622" i="3"/>
  <c r="AV622" i="3"/>
  <c r="BC622" i="3" s="1"/>
  <c r="AU623" i="3"/>
  <c r="X624" i="3"/>
  <c r="AT623" i="3"/>
  <c r="Y624" i="3"/>
  <c r="Z624" i="3" s="1"/>
  <c r="AN624" i="3"/>
  <c r="AX624" i="3" s="1"/>
  <c r="AY623" i="3" l="1"/>
  <c r="AU624" i="3"/>
  <c r="AH625" i="3"/>
  <c r="AN625" i="3"/>
  <c r="AW624" i="3"/>
  <c r="AY624" i="3" s="1"/>
  <c r="Y625" i="3"/>
  <c r="Z625" i="3" s="1"/>
  <c r="X625" i="3"/>
  <c r="AV624" i="3"/>
  <c r="BC624" i="3" s="1"/>
  <c r="BQ622" i="3"/>
  <c r="BF622" i="3"/>
  <c r="BJ621" i="3" s="1"/>
  <c r="BK621" i="3" s="1"/>
  <c r="BB622" i="3"/>
  <c r="AO625" i="3"/>
  <c r="B626" i="3"/>
  <c r="A627" i="3"/>
  <c r="D626" i="3"/>
  <c r="C626" i="3"/>
  <c r="AQ626" i="3"/>
  <c r="AR626" i="3"/>
  <c r="F626" i="3"/>
  <c r="G626" i="3"/>
  <c r="H626" i="3" s="1"/>
  <c r="Q626" i="3"/>
  <c r="S626" i="3"/>
  <c r="O626" i="3"/>
  <c r="U626" i="3"/>
  <c r="AF626" i="3"/>
  <c r="AE626" i="3"/>
  <c r="AD626" i="3"/>
  <c r="M626" i="3"/>
  <c r="AM626" i="3"/>
  <c r="AK626" i="3"/>
  <c r="AO626" i="3" s="1"/>
  <c r="V626" i="3"/>
  <c r="T626" i="3"/>
  <c r="R626" i="3"/>
  <c r="P626" i="3"/>
  <c r="AG625" i="3"/>
  <c r="BD622" i="3"/>
  <c r="BG622" i="3"/>
  <c r="BH622" i="3" s="1"/>
  <c r="BI622" i="3" s="1"/>
  <c r="AV623" i="3"/>
  <c r="BC623" i="3" s="1"/>
  <c r="BA623" i="3"/>
  <c r="AT625" i="3"/>
  <c r="BA624" i="3" l="1"/>
  <c r="AW625" i="3"/>
  <c r="AH626" i="3"/>
  <c r="BG624" i="3"/>
  <c r="BH624" i="3" s="1"/>
  <c r="BI624" i="3" s="1"/>
  <c r="BD624" i="3"/>
  <c r="BQ624" i="3"/>
  <c r="BF624" i="3"/>
  <c r="BB624" i="3"/>
  <c r="Y626" i="3"/>
  <c r="Z626" i="3" s="1"/>
  <c r="D627" i="3"/>
  <c r="C627" i="3"/>
  <c r="B627" i="3"/>
  <c r="A628" i="3"/>
  <c r="AQ627" i="3"/>
  <c r="AR627" i="3"/>
  <c r="G627" i="3"/>
  <c r="H627" i="3" s="1"/>
  <c r="BN627" i="3" s="1"/>
  <c r="F627" i="3"/>
  <c r="Q627" i="3"/>
  <c r="S627" i="3"/>
  <c r="O627" i="3"/>
  <c r="U627" i="3"/>
  <c r="AF627" i="3"/>
  <c r="M627" i="3"/>
  <c r="AE627" i="3"/>
  <c r="AD627" i="3"/>
  <c r="AM627" i="3"/>
  <c r="AK627" i="3"/>
  <c r="R627" i="3"/>
  <c r="P627" i="3"/>
  <c r="T627" i="3"/>
  <c r="V627" i="3"/>
  <c r="AU625" i="3"/>
  <c r="BA625" i="3" s="1"/>
  <c r="X626" i="3"/>
  <c r="AN626" i="3"/>
  <c r="AX625" i="3"/>
  <c r="BN626" i="3"/>
  <c r="BQ623" i="3"/>
  <c r="BB623" i="3"/>
  <c r="BF623" i="3"/>
  <c r="BJ622" i="3" s="1"/>
  <c r="BK622" i="3" s="1"/>
  <c r="BM626" i="3"/>
  <c r="BD623" i="3"/>
  <c r="BG623" i="3"/>
  <c r="BH623" i="3" s="1"/>
  <c r="BI623" i="3" s="1"/>
  <c r="AG626" i="3"/>
  <c r="AT626" i="3" l="1"/>
  <c r="AY625" i="3"/>
  <c r="AX626" i="3"/>
  <c r="BJ623" i="3"/>
  <c r="BK623" i="3" s="1"/>
  <c r="AG627" i="3"/>
  <c r="AW626" i="3"/>
  <c r="AO627" i="3"/>
  <c r="BB625" i="3"/>
  <c r="BF625" i="3"/>
  <c r="BJ624" i="3" s="1"/>
  <c r="BK624" i="3" s="1"/>
  <c r="BQ625" i="3"/>
  <c r="AV625" i="3"/>
  <c r="BC625" i="3" s="1"/>
  <c r="X627" i="3"/>
  <c r="D628" i="3"/>
  <c r="A629" i="3"/>
  <c r="AR628" i="3"/>
  <c r="B628" i="3"/>
  <c r="AQ628" i="3"/>
  <c r="C628" i="3"/>
  <c r="G628" i="3"/>
  <c r="H628" i="3" s="1"/>
  <c r="F628" i="3"/>
  <c r="Q628" i="3"/>
  <c r="S628" i="3"/>
  <c r="O628" i="3"/>
  <c r="U628" i="3"/>
  <c r="AE628" i="3"/>
  <c r="AD628" i="3"/>
  <c r="M628" i="3"/>
  <c r="AF628" i="3"/>
  <c r="AK628" i="3"/>
  <c r="AM628" i="3"/>
  <c r="AN628" i="3" s="1"/>
  <c r="V628" i="3"/>
  <c r="T628" i="3"/>
  <c r="P628" i="3"/>
  <c r="R628" i="3"/>
  <c r="Y627" i="3"/>
  <c r="Z627" i="3" s="1"/>
  <c r="AH627" i="3"/>
  <c r="AN627" i="3"/>
  <c r="BM627" i="3"/>
  <c r="AU626" i="3"/>
  <c r="AV626" i="3" s="1"/>
  <c r="AY626" i="3" l="1"/>
  <c r="AT627" i="3"/>
  <c r="BM628" i="3"/>
  <c r="AW627" i="3"/>
  <c r="BA626" i="3"/>
  <c r="BB626" i="3" s="1"/>
  <c r="AH628" i="3"/>
  <c r="BC626" i="3"/>
  <c r="BD626" i="3" s="1"/>
  <c r="AU627" i="3"/>
  <c r="AV627" i="3" s="1"/>
  <c r="AR629" i="3"/>
  <c r="A630" i="3"/>
  <c r="AQ629" i="3"/>
  <c r="B629" i="3"/>
  <c r="D629" i="3"/>
  <c r="C629" i="3"/>
  <c r="F629" i="3"/>
  <c r="BM629" i="3" s="1"/>
  <c r="G629" i="3"/>
  <c r="H629" i="3" s="1"/>
  <c r="Q629" i="3"/>
  <c r="S629" i="3"/>
  <c r="O629" i="3"/>
  <c r="U629" i="3"/>
  <c r="M629" i="3"/>
  <c r="AD629" i="3"/>
  <c r="AF629" i="3"/>
  <c r="AE629" i="3"/>
  <c r="AM629" i="3"/>
  <c r="AK629" i="3"/>
  <c r="P629" i="3"/>
  <c r="V629" i="3"/>
  <c r="T629" i="3"/>
  <c r="R629" i="3"/>
  <c r="BN628" i="3"/>
  <c r="BD625" i="3"/>
  <c r="BG625" i="3"/>
  <c r="BH625" i="3" s="1"/>
  <c r="BI625" i="3" s="1"/>
  <c r="AO628" i="3"/>
  <c r="X628" i="3"/>
  <c r="AG628" i="3"/>
  <c r="AX627" i="3"/>
  <c r="AY627" i="3" s="1"/>
  <c r="Y628" i="3"/>
  <c r="Z628" i="3" s="1"/>
  <c r="AW628" i="3" l="1"/>
  <c r="BG626" i="3"/>
  <c r="BH626" i="3" s="1"/>
  <c r="BI626" i="3" s="1"/>
  <c r="BF626" i="3"/>
  <c r="BJ625" i="3" s="1"/>
  <c r="BK625" i="3" s="1"/>
  <c r="BN629" i="3"/>
  <c r="BQ626" i="3"/>
  <c r="AG629" i="3"/>
  <c r="AX628" i="3"/>
  <c r="AY628" i="3" s="1"/>
  <c r="AO629" i="3"/>
  <c r="AN629" i="3"/>
  <c r="B630" i="3"/>
  <c r="A631" i="3"/>
  <c r="C630" i="3"/>
  <c r="D630" i="3"/>
  <c r="AQ630" i="3"/>
  <c r="AR630" i="3"/>
  <c r="G630" i="3"/>
  <c r="H630" i="3" s="1"/>
  <c r="F630" i="3"/>
  <c r="Q630" i="3"/>
  <c r="S630" i="3"/>
  <c r="O630" i="3"/>
  <c r="U630" i="3"/>
  <c r="AF630" i="3"/>
  <c r="AE630" i="3"/>
  <c r="AD630" i="3"/>
  <c r="M630" i="3"/>
  <c r="AM630" i="3"/>
  <c r="AK630" i="3"/>
  <c r="AO630" i="3" s="1"/>
  <c r="V630" i="3"/>
  <c r="R630" i="3"/>
  <c r="P630" i="3"/>
  <c r="T630" i="3"/>
  <c r="BC627" i="3"/>
  <c r="AH629" i="3"/>
  <c r="AT628" i="3"/>
  <c r="AU628" i="3"/>
  <c r="Y629" i="3"/>
  <c r="Z629" i="3" s="1"/>
  <c r="X629" i="3"/>
  <c r="BA627" i="3"/>
  <c r="AX629" i="3" l="1"/>
  <c r="X630" i="3"/>
  <c r="AH630" i="3"/>
  <c r="BA628" i="3"/>
  <c r="AV628" i="3"/>
  <c r="BC628" i="3" s="1"/>
  <c r="BM630" i="3"/>
  <c r="AW629" i="3"/>
  <c r="AY629" i="3" s="1"/>
  <c r="AN630" i="3"/>
  <c r="AX630" i="3" s="1"/>
  <c r="BN630" i="3"/>
  <c r="C631" i="3"/>
  <c r="D631" i="3"/>
  <c r="A632" i="3"/>
  <c r="AQ631" i="3"/>
  <c r="AR631" i="3"/>
  <c r="B631" i="3"/>
  <c r="G631" i="3"/>
  <c r="H631" i="3" s="1"/>
  <c r="BN631" i="3" s="1"/>
  <c r="F631" i="3"/>
  <c r="Q631" i="3"/>
  <c r="S631" i="3"/>
  <c r="O631" i="3"/>
  <c r="U631" i="3"/>
  <c r="AF631" i="3"/>
  <c r="AE631" i="3"/>
  <c r="AD631" i="3"/>
  <c r="AM631" i="3"/>
  <c r="M631" i="3"/>
  <c r="AK631" i="3"/>
  <c r="V631" i="3"/>
  <c r="R631" i="3"/>
  <c r="P631" i="3"/>
  <c r="T631" i="3"/>
  <c r="BQ627" i="3"/>
  <c r="BB627" i="3"/>
  <c r="BF627" i="3"/>
  <c r="BJ626" i="3" s="1"/>
  <c r="AG630" i="3"/>
  <c r="AT630" i="3" s="1"/>
  <c r="AT629" i="3"/>
  <c r="Y630" i="3"/>
  <c r="Z630" i="3" s="1"/>
  <c r="BD627" i="3"/>
  <c r="BG627" i="3"/>
  <c r="BH627" i="3" s="1"/>
  <c r="BI627" i="3" s="1"/>
  <c r="AU629" i="3"/>
  <c r="BM631" i="3" l="1"/>
  <c r="AH631" i="3"/>
  <c r="AN631" i="3"/>
  <c r="AU630" i="3"/>
  <c r="AV630" i="3" s="1"/>
  <c r="BK626" i="3"/>
  <c r="BK5" i="3"/>
  <c r="BD628" i="3"/>
  <c r="BG628" i="3"/>
  <c r="BH628" i="3" s="1"/>
  <c r="BI628" i="3" s="1"/>
  <c r="AV629" i="3"/>
  <c r="BC629" i="3" s="1"/>
  <c r="BA629" i="3"/>
  <c r="X631" i="3"/>
  <c r="C632" i="3"/>
  <c r="A633" i="3"/>
  <c r="AR632" i="3"/>
  <c r="B632" i="3"/>
  <c r="AQ632" i="3"/>
  <c r="D632" i="3"/>
  <c r="G632" i="3"/>
  <c r="H632" i="3" s="1"/>
  <c r="BN632" i="3" s="1"/>
  <c r="F632" i="3"/>
  <c r="BM632" i="3" s="1"/>
  <c r="Q632" i="3"/>
  <c r="S632" i="3"/>
  <c r="O632" i="3"/>
  <c r="U632" i="3"/>
  <c r="AF632" i="3"/>
  <c r="AE632" i="3"/>
  <c r="M632" i="3"/>
  <c r="AD632" i="3"/>
  <c r="AK632" i="3"/>
  <c r="AM632" i="3"/>
  <c r="AN632" i="3" s="1"/>
  <c r="T632" i="3"/>
  <c r="V632" i="3"/>
  <c r="P632" i="3"/>
  <c r="R632" i="3"/>
  <c r="BB628" i="3"/>
  <c r="BF628" i="3"/>
  <c r="BJ627" i="3" s="1"/>
  <c r="BK627" i="3" s="1"/>
  <c r="BK6" i="3" s="1"/>
  <c r="BQ628" i="3"/>
  <c r="AG631" i="3"/>
  <c r="AW630" i="3"/>
  <c r="BA630" i="3" s="1"/>
  <c r="AO631" i="3"/>
  <c r="Y631" i="3"/>
  <c r="Z631" i="3" s="1"/>
  <c r="AH632" i="3" l="1"/>
  <c r="AW631" i="3"/>
  <c r="Y632" i="3"/>
  <c r="Z632" i="3" s="1"/>
  <c r="BB630" i="3"/>
  <c r="BF630" i="3"/>
  <c r="BQ630" i="3"/>
  <c r="AR633" i="3"/>
  <c r="A634" i="3"/>
  <c r="AQ633" i="3"/>
  <c r="B633" i="3"/>
  <c r="C633" i="3"/>
  <c r="D633" i="3"/>
  <c r="G633" i="3"/>
  <c r="H633" i="3" s="1"/>
  <c r="BN633" i="3" s="1"/>
  <c r="F633" i="3"/>
  <c r="BM633" i="3" s="1"/>
  <c r="Q633" i="3"/>
  <c r="S633" i="3"/>
  <c r="O633" i="3"/>
  <c r="U633" i="3"/>
  <c r="M633" i="3"/>
  <c r="AD633" i="3"/>
  <c r="AF633" i="3"/>
  <c r="AK633" i="3"/>
  <c r="AE633" i="3"/>
  <c r="AM633" i="3"/>
  <c r="P633" i="3"/>
  <c r="T633" i="3"/>
  <c r="R633" i="3"/>
  <c r="V633" i="3"/>
  <c r="AU631" i="3"/>
  <c r="A692" i="3"/>
  <c r="B692" i="3" s="1"/>
  <c r="B260" i="2"/>
  <c r="A688" i="3"/>
  <c r="A690" i="3"/>
  <c r="B690" i="3" s="1"/>
  <c r="C260" i="2"/>
  <c r="A691" i="3"/>
  <c r="B691" i="3" s="1"/>
  <c r="A260" i="2"/>
  <c r="AY630" i="3"/>
  <c r="BC630" i="3" s="1"/>
  <c r="AO632" i="3"/>
  <c r="X632" i="3"/>
  <c r="BF629" i="3"/>
  <c r="BJ628" i="3" s="1"/>
  <c r="BK628" i="3" s="1"/>
  <c r="BQ629" i="3"/>
  <c r="BB629" i="3"/>
  <c r="AT631" i="3"/>
  <c r="A261" i="2"/>
  <c r="B261" i="2"/>
  <c r="AG632" i="3"/>
  <c r="BD629" i="3"/>
  <c r="BG629" i="3"/>
  <c r="BH629" i="3" s="1"/>
  <c r="BI629" i="3" s="1"/>
  <c r="AX631" i="3"/>
  <c r="AY631" i="3" l="1"/>
  <c r="AG633" i="3"/>
  <c r="AW632" i="3"/>
  <c r="AN633" i="3"/>
  <c r="BD630" i="3"/>
  <c r="BG630" i="3"/>
  <c r="BH630" i="3" s="1"/>
  <c r="BI630" i="3" s="1"/>
  <c r="X633" i="3"/>
  <c r="R688" i="3"/>
  <c r="AR688" i="3"/>
  <c r="AF688" i="3"/>
  <c r="M688" i="3"/>
  <c r="AE688" i="3"/>
  <c r="T688" i="3"/>
  <c r="S688" i="3"/>
  <c r="C688" i="3"/>
  <c r="D688" i="3"/>
  <c r="AD688" i="3"/>
  <c r="P688" i="3"/>
  <c r="B688" i="3"/>
  <c r="U688" i="3"/>
  <c r="AM688" i="3"/>
  <c r="AK688" i="3"/>
  <c r="AO688" i="3" s="1"/>
  <c r="G688" i="3"/>
  <c r="H688" i="3" s="1"/>
  <c r="Q688" i="3"/>
  <c r="AQ688" i="3"/>
  <c r="V688" i="3"/>
  <c r="F688" i="3"/>
  <c r="O688" i="3"/>
  <c r="B634" i="3"/>
  <c r="A635" i="3"/>
  <c r="C634" i="3"/>
  <c r="D634" i="3"/>
  <c r="AQ634" i="3"/>
  <c r="AR634" i="3"/>
  <c r="G634" i="3"/>
  <c r="H634" i="3" s="1"/>
  <c r="F634" i="3"/>
  <c r="Q634" i="3"/>
  <c r="S634" i="3"/>
  <c r="O634" i="3"/>
  <c r="U634" i="3"/>
  <c r="AE634" i="3"/>
  <c r="AF634" i="3"/>
  <c r="M634" i="3"/>
  <c r="AD634" i="3"/>
  <c r="AK634" i="3"/>
  <c r="AM634" i="3"/>
  <c r="AN634" i="3" s="1"/>
  <c r="R634" i="3"/>
  <c r="P634" i="3"/>
  <c r="T634" i="3"/>
  <c r="V634" i="3"/>
  <c r="AO633" i="3"/>
  <c r="AT632" i="3"/>
  <c r="AU632" i="3"/>
  <c r="AH633" i="3"/>
  <c r="Y633" i="3"/>
  <c r="Z633" i="3" s="1"/>
  <c r="BJ629" i="3"/>
  <c r="BK629" i="3" s="1"/>
  <c r="AX632" i="3"/>
  <c r="AV631" i="3"/>
  <c r="BC631" i="3" s="1"/>
  <c r="BA631" i="3"/>
  <c r="BN634" i="3" l="1"/>
  <c r="AY632" i="3"/>
  <c r="Y634" i="3"/>
  <c r="Z634" i="3" s="1"/>
  <c r="AX633" i="3"/>
  <c r="AH688" i="3"/>
  <c r="X634" i="3"/>
  <c r="Y688" i="3"/>
  <c r="Z688" i="3" s="1"/>
  <c r="AG634" i="3"/>
  <c r="BA632" i="3"/>
  <c r="AV632" i="3"/>
  <c r="BC632" i="3" s="1"/>
  <c r="X688" i="3"/>
  <c r="AU633" i="3"/>
  <c r="C635" i="3"/>
  <c r="D635" i="3"/>
  <c r="B635" i="3"/>
  <c r="A636" i="3"/>
  <c r="AQ635" i="3"/>
  <c r="AR635" i="3"/>
  <c r="F635" i="3"/>
  <c r="G635" i="3"/>
  <c r="H635" i="3" s="1"/>
  <c r="Q635" i="3"/>
  <c r="S635" i="3"/>
  <c r="O635" i="3"/>
  <c r="U635" i="3"/>
  <c r="AD635" i="3"/>
  <c r="M635" i="3"/>
  <c r="AE635" i="3"/>
  <c r="AF635" i="3"/>
  <c r="AM635" i="3"/>
  <c r="AK635" i="3"/>
  <c r="AO635" i="3" s="1"/>
  <c r="T635" i="3"/>
  <c r="R635" i="3"/>
  <c r="P635" i="3"/>
  <c r="V635" i="3"/>
  <c r="BF631" i="3"/>
  <c r="BJ630" i="3" s="1"/>
  <c r="BK630" i="3" s="1"/>
  <c r="BQ631" i="3"/>
  <c r="BB631" i="3"/>
  <c r="AT633" i="3"/>
  <c r="AW633" i="3"/>
  <c r="AO634" i="3"/>
  <c r="AN688" i="3"/>
  <c r="BG631" i="3"/>
  <c r="BH631" i="3" s="1"/>
  <c r="BI631" i="3" s="1"/>
  <c r="BD631" i="3"/>
  <c r="AH634" i="3"/>
  <c r="BM634" i="3"/>
  <c r="AG688" i="3"/>
  <c r="AX688" i="3" l="1"/>
  <c r="AY633" i="3"/>
  <c r="AX634" i="3"/>
  <c r="X635" i="3"/>
  <c r="AW688" i="3"/>
  <c r="AY688" i="3" s="1"/>
  <c r="C636" i="3"/>
  <c r="A637" i="3"/>
  <c r="AR636" i="3"/>
  <c r="B636" i="3"/>
  <c r="AQ636" i="3"/>
  <c r="D636" i="3"/>
  <c r="G636" i="3"/>
  <c r="H636" i="3" s="1"/>
  <c r="BN636" i="3" s="1"/>
  <c r="F636" i="3"/>
  <c r="Q636" i="3"/>
  <c r="S636" i="3"/>
  <c r="O636" i="3"/>
  <c r="U636" i="3"/>
  <c r="AE636" i="3"/>
  <c r="M636" i="3"/>
  <c r="AD636" i="3"/>
  <c r="AF636" i="3"/>
  <c r="AK636" i="3"/>
  <c r="AM636" i="3"/>
  <c r="AN636" i="3" s="1"/>
  <c r="P636" i="3"/>
  <c r="R636" i="3"/>
  <c r="V636" i="3"/>
  <c r="T636" i="3"/>
  <c r="AW634" i="3"/>
  <c r="AN635" i="3"/>
  <c r="BN635" i="3"/>
  <c r="BA633" i="3"/>
  <c r="AV633" i="3"/>
  <c r="AU634" i="3"/>
  <c r="BM635" i="3"/>
  <c r="AT688" i="3"/>
  <c r="AU688" i="3"/>
  <c r="Y635" i="3"/>
  <c r="Z635" i="3" s="1"/>
  <c r="BD632" i="3"/>
  <c r="BG632" i="3"/>
  <c r="BH632" i="3" s="1"/>
  <c r="BI632" i="3" s="1"/>
  <c r="AG635" i="3"/>
  <c r="AH635" i="3"/>
  <c r="AT635" i="3" s="1"/>
  <c r="BB632" i="3"/>
  <c r="BQ632" i="3"/>
  <c r="BF632" i="3"/>
  <c r="AT634" i="3"/>
  <c r="BC633" i="3" l="1"/>
  <c r="AY634" i="3"/>
  <c r="BM636" i="3"/>
  <c r="AH636" i="3"/>
  <c r="AU635" i="3"/>
  <c r="AV635" i="3"/>
  <c r="BA688" i="3"/>
  <c r="BB688" i="3" s="1"/>
  <c r="AV688" i="3"/>
  <c r="BC688" i="3" s="1"/>
  <c r="X636" i="3"/>
  <c r="AG636" i="3"/>
  <c r="BF633" i="3"/>
  <c r="BJ632" i="3" s="1"/>
  <c r="BK632" i="3" s="1"/>
  <c r="BB633" i="3"/>
  <c r="BQ633" i="3"/>
  <c r="Y636" i="3"/>
  <c r="Z636" i="3" s="1"/>
  <c r="BJ631" i="3"/>
  <c r="BK631" i="3" s="1"/>
  <c r="AR637" i="3"/>
  <c r="A638" i="3"/>
  <c r="AQ637" i="3"/>
  <c r="B637" i="3"/>
  <c r="D637" i="3"/>
  <c r="C637" i="3"/>
  <c r="F637" i="3"/>
  <c r="BM637" i="3" s="1"/>
  <c r="G637" i="3"/>
  <c r="H637" i="3" s="1"/>
  <c r="BN637" i="3" s="1"/>
  <c r="Q637" i="3"/>
  <c r="S637" i="3"/>
  <c r="O637" i="3"/>
  <c r="U637" i="3"/>
  <c r="AD637" i="3"/>
  <c r="AE637" i="3"/>
  <c r="AF637" i="3"/>
  <c r="AK637" i="3"/>
  <c r="M637" i="3"/>
  <c r="AM637" i="3"/>
  <c r="P637" i="3"/>
  <c r="R637" i="3"/>
  <c r="T637" i="3"/>
  <c r="V637" i="3"/>
  <c r="AX635" i="3"/>
  <c r="AW635" i="3"/>
  <c r="BG633" i="3"/>
  <c r="BH633" i="3" s="1"/>
  <c r="BI633" i="3" s="1"/>
  <c r="BD633" i="3"/>
  <c r="AV634" i="3"/>
  <c r="BC634" i="3" s="1"/>
  <c r="BA634" i="3"/>
  <c r="AO636" i="3"/>
  <c r="AH637" i="3" l="1"/>
  <c r="AT636" i="3"/>
  <c r="AY635" i="3"/>
  <c r="BC635" i="3" s="1"/>
  <c r="AU636" i="3"/>
  <c r="AO637" i="3"/>
  <c r="AX636" i="3"/>
  <c r="BD688" i="3"/>
  <c r="BG688" i="3"/>
  <c r="AG637" i="3"/>
  <c r="X637" i="3"/>
  <c r="Y637" i="3"/>
  <c r="Z637" i="3" s="1"/>
  <c r="BF634" i="3"/>
  <c r="BJ633" i="3" s="1"/>
  <c r="BK633" i="3" s="1"/>
  <c r="BB634" i="3"/>
  <c r="BQ634" i="3"/>
  <c r="AN637" i="3"/>
  <c r="B638" i="3"/>
  <c r="A639" i="3"/>
  <c r="D638" i="3"/>
  <c r="AQ638" i="3"/>
  <c r="C638" i="3"/>
  <c r="AR638" i="3"/>
  <c r="G638" i="3"/>
  <c r="H638" i="3" s="1"/>
  <c r="F638" i="3"/>
  <c r="BM638" i="3" s="1"/>
  <c r="Q638" i="3"/>
  <c r="S638" i="3"/>
  <c r="O638" i="3"/>
  <c r="U638" i="3"/>
  <c r="AD638" i="3"/>
  <c r="M638" i="3"/>
  <c r="AE638" i="3"/>
  <c r="AM638" i="3"/>
  <c r="AK638" i="3"/>
  <c r="AF638" i="3"/>
  <c r="V638" i="3"/>
  <c r="T638" i="3"/>
  <c r="P638" i="3"/>
  <c r="R638" i="3"/>
  <c r="BD634" i="3"/>
  <c r="BG634" i="3"/>
  <c r="BH634" i="3" s="1"/>
  <c r="BI634" i="3" s="1"/>
  <c r="AW636" i="3"/>
  <c r="BA635" i="3"/>
  <c r="AX637" i="3" l="1"/>
  <c r="AV636" i="3"/>
  <c r="AO638" i="3"/>
  <c r="BA636" i="3"/>
  <c r="BF636" i="3" s="1"/>
  <c r="Y638" i="3"/>
  <c r="Z638" i="3" s="1"/>
  <c r="AY636" i="3"/>
  <c r="BC636" i="3" s="1"/>
  <c r="BN638" i="3"/>
  <c r="AW637" i="3"/>
  <c r="AY637" i="3" s="1"/>
  <c r="AG638" i="3"/>
  <c r="BH688" i="3"/>
  <c r="BI688" i="3" s="1"/>
  <c r="BG689" i="3"/>
  <c r="BH689" i="3" s="1"/>
  <c r="BI689" i="3" s="1"/>
  <c r="BG690" i="3"/>
  <c r="BH690" i="3" s="1"/>
  <c r="BI690" i="3" s="1"/>
  <c r="BG635" i="3"/>
  <c r="BH635" i="3" s="1"/>
  <c r="BI635" i="3" s="1"/>
  <c r="BD635" i="3"/>
  <c r="BQ635" i="3"/>
  <c r="BB635" i="3"/>
  <c r="BF635" i="3"/>
  <c r="BJ634" i="3" s="1"/>
  <c r="BK634" i="3" s="1"/>
  <c r="AH638" i="3"/>
  <c r="C639" i="3"/>
  <c r="D639" i="3"/>
  <c r="A640" i="3"/>
  <c r="B639" i="3"/>
  <c r="AQ639" i="3"/>
  <c r="AR639" i="3"/>
  <c r="F639" i="3"/>
  <c r="G639" i="3"/>
  <c r="H639" i="3" s="1"/>
  <c r="Q639" i="3"/>
  <c r="S639" i="3"/>
  <c r="O639" i="3"/>
  <c r="U639" i="3"/>
  <c r="AF639" i="3"/>
  <c r="AM639" i="3"/>
  <c r="AD639" i="3"/>
  <c r="AE639" i="3"/>
  <c r="AK639" i="3"/>
  <c r="M639" i="3"/>
  <c r="V639" i="3"/>
  <c r="P639" i="3"/>
  <c r="T639" i="3"/>
  <c r="R639" i="3"/>
  <c r="AN638" i="3"/>
  <c r="AT637" i="3"/>
  <c r="X638" i="3"/>
  <c r="AU637" i="3"/>
  <c r="BB636" i="3" l="1"/>
  <c r="BQ636" i="3"/>
  <c r="AU638" i="3"/>
  <c r="X639" i="3"/>
  <c r="AO639" i="3"/>
  <c r="BJ635" i="3"/>
  <c r="BK635" i="3" s="1"/>
  <c r="Y639" i="3"/>
  <c r="Z639" i="3" s="1"/>
  <c r="BN639" i="3"/>
  <c r="AX638" i="3"/>
  <c r="BD636" i="3"/>
  <c r="BG636" i="3"/>
  <c r="BH636" i="3" s="1"/>
  <c r="BI636" i="3" s="1"/>
  <c r="A641" i="3"/>
  <c r="AR640" i="3"/>
  <c r="B640" i="3"/>
  <c r="AQ640" i="3"/>
  <c r="C640" i="3"/>
  <c r="D640" i="3"/>
  <c r="F640" i="3"/>
  <c r="G640" i="3"/>
  <c r="H640" i="3" s="1"/>
  <c r="Q640" i="3"/>
  <c r="S640" i="3"/>
  <c r="O640" i="3"/>
  <c r="U640" i="3"/>
  <c r="AF640" i="3"/>
  <c r="AD640" i="3"/>
  <c r="M640" i="3"/>
  <c r="AM640" i="3"/>
  <c r="AK640" i="3"/>
  <c r="AE640" i="3"/>
  <c r="R640" i="3"/>
  <c r="P640" i="3"/>
  <c r="V640" i="3"/>
  <c r="T640" i="3"/>
  <c r="AV637" i="3"/>
  <c r="BC637" i="3" s="1"/>
  <c r="BA637" i="3"/>
  <c r="AH639" i="3"/>
  <c r="BM639" i="3"/>
  <c r="AT638" i="3"/>
  <c r="AG639" i="3"/>
  <c r="AN639" i="3"/>
  <c r="AW638" i="3"/>
  <c r="BM640" i="3" l="1"/>
  <c r="AY638" i="3"/>
  <c r="BN640" i="3"/>
  <c r="AG640" i="3"/>
  <c r="AX639" i="3"/>
  <c r="AO640" i="3"/>
  <c r="BB637" i="3"/>
  <c r="BF637" i="3"/>
  <c r="BJ636" i="3" s="1"/>
  <c r="BK636" i="3" s="1"/>
  <c r="BQ637" i="3"/>
  <c r="AN640" i="3"/>
  <c r="BD637" i="3"/>
  <c r="BG637" i="3"/>
  <c r="BH637" i="3" s="1"/>
  <c r="BI637" i="3" s="1"/>
  <c r="Y640" i="3"/>
  <c r="Z640" i="3" s="1"/>
  <c r="AH640" i="3"/>
  <c r="AW639" i="3"/>
  <c r="AU640" i="3"/>
  <c r="AR641" i="3"/>
  <c r="A642" i="3"/>
  <c r="AQ641" i="3"/>
  <c r="B641" i="3"/>
  <c r="C641" i="3"/>
  <c r="D641" i="3"/>
  <c r="F641" i="3"/>
  <c r="BM641" i="3" s="1"/>
  <c r="G641" i="3"/>
  <c r="H641" i="3" s="1"/>
  <c r="BN641" i="3" s="1"/>
  <c r="Q641" i="3"/>
  <c r="S641" i="3"/>
  <c r="O641" i="3"/>
  <c r="U641" i="3"/>
  <c r="AD641" i="3"/>
  <c r="AE641" i="3"/>
  <c r="AF641" i="3"/>
  <c r="AK641" i="3"/>
  <c r="M641" i="3"/>
  <c r="AM641" i="3"/>
  <c r="R641" i="3"/>
  <c r="V641" i="3"/>
  <c r="T641" i="3"/>
  <c r="P641" i="3"/>
  <c r="AT639" i="3"/>
  <c r="X640" i="3"/>
  <c r="BA638" i="3"/>
  <c r="AV638" i="3"/>
  <c r="BC638" i="3" s="1"/>
  <c r="AU639" i="3"/>
  <c r="AN641" i="3" l="1"/>
  <c r="AY639" i="3"/>
  <c r="Y641" i="3"/>
  <c r="Z641" i="3" s="1"/>
  <c r="X641" i="3"/>
  <c r="B642" i="3"/>
  <c r="A643" i="3"/>
  <c r="AQ642" i="3"/>
  <c r="C642" i="3"/>
  <c r="D642" i="3"/>
  <c r="AR642" i="3"/>
  <c r="F642" i="3"/>
  <c r="G642" i="3"/>
  <c r="H642" i="3" s="1"/>
  <c r="Q642" i="3"/>
  <c r="S642" i="3"/>
  <c r="O642" i="3"/>
  <c r="U642" i="3"/>
  <c r="AD642" i="3"/>
  <c r="AE642" i="3"/>
  <c r="M642" i="3"/>
  <c r="AF642" i="3"/>
  <c r="AK642" i="3"/>
  <c r="AM642" i="3"/>
  <c r="AN642" i="3" s="1"/>
  <c r="P642" i="3"/>
  <c r="T642" i="3"/>
  <c r="V642" i="3"/>
  <c r="R642" i="3"/>
  <c r="BD638" i="3"/>
  <c r="BG638" i="3"/>
  <c r="BH638" i="3" s="1"/>
  <c r="BI638" i="3" s="1"/>
  <c r="BQ638" i="3"/>
  <c r="BF638" i="3"/>
  <c r="BJ637" i="3" s="1"/>
  <c r="BK637" i="3" s="1"/>
  <c r="BB638" i="3"/>
  <c r="AO641" i="3"/>
  <c r="AX640" i="3"/>
  <c r="AV639" i="3"/>
  <c r="BC639" i="3" s="1"/>
  <c r="BA639" i="3"/>
  <c r="AG641" i="3"/>
  <c r="AH641" i="3"/>
  <c r="AW640" i="3"/>
  <c r="AT640" i="3"/>
  <c r="BM642" i="3" l="1"/>
  <c r="BN642" i="3"/>
  <c r="AU641" i="3"/>
  <c r="AH642" i="3"/>
  <c r="AT641" i="3"/>
  <c r="AV641" i="3"/>
  <c r="BA640" i="3"/>
  <c r="AV640" i="3"/>
  <c r="AY640" i="3"/>
  <c r="Y642" i="3"/>
  <c r="Z642" i="3" s="1"/>
  <c r="AG642" i="3"/>
  <c r="AX641" i="3"/>
  <c r="X642" i="3"/>
  <c r="BF639" i="3"/>
  <c r="BJ638" i="3" s="1"/>
  <c r="BK638" i="3" s="1"/>
  <c r="BQ639" i="3"/>
  <c r="BB639" i="3"/>
  <c r="D643" i="3"/>
  <c r="C643" i="3"/>
  <c r="A644" i="3"/>
  <c r="AQ643" i="3"/>
  <c r="B643" i="3"/>
  <c r="AR643" i="3"/>
  <c r="F643" i="3"/>
  <c r="BM643" i="3" s="1"/>
  <c r="G643" i="3"/>
  <c r="H643" i="3" s="1"/>
  <c r="BN643" i="3" s="1"/>
  <c r="Q643" i="3"/>
  <c r="S643" i="3"/>
  <c r="O643" i="3"/>
  <c r="U643" i="3"/>
  <c r="M643" i="3"/>
  <c r="AF643" i="3"/>
  <c r="AE643" i="3"/>
  <c r="AK643" i="3"/>
  <c r="AD643" i="3"/>
  <c r="AM643" i="3"/>
  <c r="P643" i="3"/>
  <c r="V643" i="3"/>
  <c r="T643" i="3"/>
  <c r="R643" i="3"/>
  <c r="AW641" i="3"/>
  <c r="AY641" i="3" s="1"/>
  <c r="BD639" i="3"/>
  <c r="BG639" i="3"/>
  <c r="BH639" i="3" s="1"/>
  <c r="BI639" i="3" s="1"/>
  <c r="AO642" i="3"/>
  <c r="AT642" i="3" l="1"/>
  <c r="AO643" i="3"/>
  <c r="BC640" i="3"/>
  <c r="Y643" i="3"/>
  <c r="Z643" i="3" s="1"/>
  <c r="AW642" i="3"/>
  <c r="BB640" i="3"/>
  <c r="BQ640" i="3"/>
  <c r="BF640" i="3"/>
  <c r="BJ639" i="3" s="1"/>
  <c r="BK639" i="3" s="1"/>
  <c r="AG643" i="3"/>
  <c r="C644" i="3"/>
  <c r="A645" i="3"/>
  <c r="AR644" i="3"/>
  <c r="B644" i="3"/>
  <c r="AQ644" i="3"/>
  <c r="D644" i="3"/>
  <c r="G644" i="3"/>
  <c r="H644" i="3" s="1"/>
  <c r="F644" i="3"/>
  <c r="Q644" i="3"/>
  <c r="S644" i="3"/>
  <c r="O644" i="3"/>
  <c r="U644" i="3"/>
  <c r="AF644" i="3"/>
  <c r="AD644" i="3"/>
  <c r="AE644" i="3"/>
  <c r="M644" i="3"/>
  <c r="AM644" i="3"/>
  <c r="AK644" i="3"/>
  <c r="T644" i="3"/>
  <c r="P644" i="3"/>
  <c r="V644" i="3"/>
  <c r="R644" i="3"/>
  <c r="AN643" i="3"/>
  <c r="AX642" i="3"/>
  <c r="BC641" i="3"/>
  <c r="X643" i="3"/>
  <c r="AH643" i="3"/>
  <c r="AU642" i="3"/>
  <c r="BA641" i="3"/>
  <c r="AO644" i="3" l="1"/>
  <c r="X644" i="3"/>
  <c r="BA642" i="3"/>
  <c r="BF642" i="3" s="1"/>
  <c r="AU643" i="3"/>
  <c r="BB642" i="3"/>
  <c r="BQ642" i="3"/>
  <c r="BQ641" i="3"/>
  <c r="BF641" i="3"/>
  <c r="BJ640" i="3" s="1"/>
  <c r="BK640" i="3" s="1"/>
  <c r="BB641" i="3"/>
  <c r="AR645" i="3"/>
  <c r="A646" i="3"/>
  <c r="AQ645" i="3"/>
  <c r="B645" i="3"/>
  <c r="C645" i="3"/>
  <c r="D645" i="3"/>
  <c r="F645" i="3"/>
  <c r="G645" i="3"/>
  <c r="H645" i="3" s="1"/>
  <c r="Q645" i="3"/>
  <c r="S645" i="3"/>
  <c r="O645" i="3"/>
  <c r="U645" i="3"/>
  <c r="M645" i="3"/>
  <c r="AF645" i="3"/>
  <c r="AE645" i="3"/>
  <c r="AD645" i="3"/>
  <c r="AK645" i="3"/>
  <c r="AM645" i="3"/>
  <c r="AN645" i="3" s="1"/>
  <c r="P645" i="3"/>
  <c r="T645" i="3"/>
  <c r="R645" i="3"/>
  <c r="V645" i="3"/>
  <c r="BD640" i="3"/>
  <c r="BG640" i="3"/>
  <c r="BH640" i="3" s="1"/>
  <c r="BI640" i="3" s="1"/>
  <c r="AH644" i="3"/>
  <c r="AN644" i="3"/>
  <c r="Y644" i="3"/>
  <c r="Z644" i="3" s="1"/>
  <c r="AT643" i="3"/>
  <c r="AX643" i="3"/>
  <c r="AY642" i="3"/>
  <c r="BM644" i="3"/>
  <c r="AW643" i="3"/>
  <c r="AV642" i="3"/>
  <c r="BD641" i="3"/>
  <c r="BG641" i="3"/>
  <c r="BH641" i="3" s="1"/>
  <c r="BI641" i="3" s="1"/>
  <c r="AG644" i="3"/>
  <c r="AW644" i="3" s="1"/>
  <c r="BN644" i="3"/>
  <c r="BM645" i="3" l="1"/>
  <c r="AG645" i="3"/>
  <c r="Y645" i="3"/>
  <c r="Z645" i="3" s="1"/>
  <c r="X645" i="3"/>
  <c r="BA643" i="3"/>
  <c r="AV643" i="3"/>
  <c r="AT644" i="3"/>
  <c r="B646" i="3"/>
  <c r="A647" i="3"/>
  <c r="C646" i="3"/>
  <c r="D646" i="3"/>
  <c r="AQ646" i="3"/>
  <c r="AR646" i="3"/>
  <c r="G646" i="3"/>
  <c r="H646" i="3" s="1"/>
  <c r="BN646" i="3" s="1"/>
  <c r="F646" i="3"/>
  <c r="BM646" i="3" s="1"/>
  <c r="Q646" i="3"/>
  <c r="S646" i="3"/>
  <c r="O646" i="3"/>
  <c r="U646" i="3"/>
  <c r="AF646" i="3"/>
  <c r="M646" i="3"/>
  <c r="AD646" i="3"/>
  <c r="AE646" i="3"/>
  <c r="AG646" i="3" s="1"/>
  <c r="AK646" i="3"/>
  <c r="AM646" i="3"/>
  <c r="P646" i="3"/>
  <c r="T646" i="3"/>
  <c r="R646" i="3"/>
  <c r="V646" i="3"/>
  <c r="BC642" i="3"/>
  <c r="AX644" i="3"/>
  <c r="AY644" i="3" s="1"/>
  <c r="AO645" i="3"/>
  <c r="AY643" i="3"/>
  <c r="AH645" i="3"/>
  <c r="AU645" i="3" s="1"/>
  <c r="BN645" i="3"/>
  <c r="AU644" i="3"/>
  <c r="BJ641" i="3"/>
  <c r="BK641" i="3" s="1"/>
  <c r="AO646" i="3" l="1"/>
  <c r="AW645" i="3"/>
  <c r="BD642" i="3"/>
  <c r="BG642" i="3"/>
  <c r="BH642" i="3" s="1"/>
  <c r="BI642" i="3" s="1"/>
  <c r="BF643" i="3"/>
  <c r="BJ642" i="3" s="1"/>
  <c r="BK642" i="3" s="1"/>
  <c r="BB643" i="3"/>
  <c r="BQ643" i="3"/>
  <c r="AV644" i="3"/>
  <c r="BC644" i="3" s="1"/>
  <c r="BA644" i="3"/>
  <c r="X646" i="3"/>
  <c r="BC643" i="3"/>
  <c r="AH646" i="3"/>
  <c r="Y646" i="3"/>
  <c r="Z646" i="3" s="1"/>
  <c r="AX645" i="3"/>
  <c r="AT645" i="3"/>
  <c r="AN646" i="3"/>
  <c r="C647" i="3"/>
  <c r="D647" i="3"/>
  <c r="A648" i="3"/>
  <c r="AQ647" i="3"/>
  <c r="AR647" i="3"/>
  <c r="B647" i="3"/>
  <c r="G647" i="3"/>
  <c r="H647" i="3" s="1"/>
  <c r="F647" i="3"/>
  <c r="BM647" i="3" s="1"/>
  <c r="Q647" i="3"/>
  <c r="S647" i="3"/>
  <c r="O647" i="3"/>
  <c r="U647" i="3"/>
  <c r="AD647" i="3"/>
  <c r="M647" i="3"/>
  <c r="AE647" i="3"/>
  <c r="AF647" i="3"/>
  <c r="AM647" i="3"/>
  <c r="AK647" i="3"/>
  <c r="T647" i="3"/>
  <c r="R647" i="3"/>
  <c r="V647" i="3"/>
  <c r="P647" i="3"/>
  <c r="AO647" i="3" l="1"/>
  <c r="AY645" i="3"/>
  <c r="Y647" i="3"/>
  <c r="Z647" i="3" s="1"/>
  <c r="AX646" i="3"/>
  <c r="AH647" i="3"/>
  <c r="X647" i="3"/>
  <c r="C648" i="3"/>
  <c r="A649" i="3"/>
  <c r="AR648" i="3"/>
  <c r="B648" i="3"/>
  <c r="AQ648" i="3"/>
  <c r="D648" i="3"/>
  <c r="F648" i="3"/>
  <c r="G648" i="3"/>
  <c r="H648" i="3" s="1"/>
  <c r="Q648" i="3"/>
  <c r="S648" i="3"/>
  <c r="O648" i="3"/>
  <c r="U648" i="3"/>
  <c r="AD648" i="3"/>
  <c r="AE648" i="3"/>
  <c r="M648" i="3"/>
  <c r="AF648" i="3"/>
  <c r="AM648" i="3"/>
  <c r="AK648" i="3"/>
  <c r="AO648" i="3" s="1"/>
  <c r="T648" i="3"/>
  <c r="P648" i="3"/>
  <c r="V648" i="3"/>
  <c r="R648" i="3"/>
  <c r="AU646" i="3"/>
  <c r="AT646" i="3"/>
  <c r="AN647" i="3"/>
  <c r="BN647" i="3"/>
  <c r="AV645" i="3"/>
  <c r="BA645" i="3"/>
  <c r="BF644" i="3"/>
  <c r="BJ643" i="3" s="1"/>
  <c r="BK643" i="3" s="1"/>
  <c r="BB644" i="3"/>
  <c r="BQ644" i="3"/>
  <c r="AW646" i="3"/>
  <c r="AY646" i="3" s="1"/>
  <c r="BD643" i="3"/>
  <c r="BG643" i="3"/>
  <c r="BH643" i="3" s="1"/>
  <c r="BI643" i="3" s="1"/>
  <c r="AG647" i="3"/>
  <c r="BD644" i="3"/>
  <c r="BG644" i="3"/>
  <c r="BH644" i="3" s="1"/>
  <c r="BI644" i="3" s="1"/>
  <c r="BC645" i="3" l="1"/>
  <c r="AW647" i="3"/>
  <c r="BM648" i="3"/>
  <c r="AG648" i="3"/>
  <c r="AX647" i="3"/>
  <c r="AY647" i="3" s="1"/>
  <c r="AT647" i="3"/>
  <c r="X648" i="3"/>
  <c r="BB645" i="3"/>
  <c r="BF645" i="3"/>
  <c r="BJ644" i="3" s="1"/>
  <c r="BK644" i="3" s="1"/>
  <c r="BQ645" i="3"/>
  <c r="AR649" i="3"/>
  <c r="A650" i="3"/>
  <c r="AQ649" i="3"/>
  <c r="B649" i="3"/>
  <c r="C649" i="3"/>
  <c r="D649" i="3"/>
  <c r="G649" i="3"/>
  <c r="H649" i="3" s="1"/>
  <c r="F649" i="3"/>
  <c r="Q649" i="3"/>
  <c r="S649" i="3"/>
  <c r="O649" i="3"/>
  <c r="U649" i="3"/>
  <c r="AF649" i="3"/>
  <c r="AD649" i="3"/>
  <c r="AE649" i="3"/>
  <c r="M649" i="3"/>
  <c r="AK649" i="3"/>
  <c r="AM649" i="3"/>
  <c r="T649" i="3"/>
  <c r="P649" i="3"/>
  <c r="R649" i="3"/>
  <c r="V649" i="3"/>
  <c r="BG645" i="3"/>
  <c r="BH645" i="3" s="1"/>
  <c r="BI645" i="3" s="1"/>
  <c r="BD645" i="3"/>
  <c r="AU647" i="3"/>
  <c r="BA646" i="3"/>
  <c r="AV646" i="3"/>
  <c r="BC646" i="3" s="1"/>
  <c r="AN648" i="3"/>
  <c r="Y648" i="3"/>
  <c r="Z648" i="3" s="1"/>
  <c r="AH648" i="3"/>
  <c r="BN648" i="3"/>
  <c r="AU648" i="3" l="1"/>
  <c r="AT648" i="3"/>
  <c r="AV647" i="3"/>
  <c r="Y649" i="3"/>
  <c r="Z649" i="3" s="1"/>
  <c r="AN649" i="3"/>
  <c r="AH649" i="3"/>
  <c r="AU649" i="3" s="1"/>
  <c r="BC647" i="3"/>
  <c r="BD647" i="3" s="1"/>
  <c r="BG647" i="3"/>
  <c r="BH647" i="3" s="1"/>
  <c r="BI647" i="3" s="1"/>
  <c r="BQ646" i="3"/>
  <c r="BB646" i="3"/>
  <c r="BF646" i="3"/>
  <c r="BJ645" i="3" s="1"/>
  <c r="BK645" i="3" s="1"/>
  <c r="B650" i="3"/>
  <c r="A651" i="3"/>
  <c r="C650" i="3"/>
  <c r="AQ650" i="3"/>
  <c r="D650" i="3"/>
  <c r="AR650" i="3"/>
  <c r="G650" i="3"/>
  <c r="H650" i="3" s="1"/>
  <c r="F650" i="3"/>
  <c r="Q650" i="3"/>
  <c r="S650" i="3"/>
  <c r="O650" i="3"/>
  <c r="U650" i="3"/>
  <c r="AK650" i="3"/>
  <c r="AD650" i="3"/>
  <c r="AE650" i="3"/>
  <c r="M650" i="3"/>
  <c r="AM650" i="3"/>
  <c r="AF650" i="3"/>
  <c r="V650" i="3"/>
  <c r="P650" i="3"/>
  <c r="T650" i="3"/>
  <c r="R650" i="3"/>
  <c r="BD646" i="3"/>
  <c r="BG646" i="3"/>
  <c r="BH646" i="3" s="1"/>
  <c r="BI646" i="3" s="1"/>
  <c r="AO649" i="3"/>
  <c r="BM649" i="3"/>
  <c r="BA647" i="3"/>
  <c r="X649" i="3"/>
  <c r="AX648" i="3"/>
  <c r="AW648" i="3"/>
  <c r="AG649" i="3"/>
  <c r="BN649" i="3"/>
  <c r="X650" i="3" l="1"/>
  <c r="AV648" i="3"/>
  <c r="BN650" i="3"/>
  <c r="AO650" i="3"/>
  <c r="AX649" i="3"/>
  <c r="BA648" i="3"/>
  <c r="BQ648" i="3" s="1"/>
  <c r="AW649" i="3"/>
  <c r="AG650" i="3"/>
  <c r="AY648" i="3"/>
  <c r="AT649" i="3"/>
  <c r="C651" i="3"/>
  <c r="D651" i="3"/>
  <c r="A652" i="3"/>
  <c r="AQ651" i="3"/>
  <c r="B651" i="3"/>
  <c r="AR651" i="3"/>
  <c r="F651" i="3"/>
  <c r="G651" i="3"/>
  <c r="H651" i="3" s="1"/>
  <c r="Q651" i="3"/>
  <c r="S651" i="3"/>
  <c r="O651" i="3"/>
  <c r="U651" i="3"/>
  <c r="AE651" i="3"/>
  <c r="AF651" i="3"/>
  <c r="M651" i="3"/>
  <c r="AD651" i="3"/>
  <c r="AK651" i="3"/>
  <c r="AM651" i="3"/>
  <c r="P651" i="3"/>
  <c r="T651" i="3"/>
  <c r="V651" i="3"/>
  <c r="R651" i="3"/>
  <c r="AH650" i="3"/>
  <c r="AN650" i="3"/>
  <c r="BQ647" i="3"/>
  <c r="BB647" i="3"/>
  <c r="BF647" i="3"/>
  <c r="BJ646" i="3" s="1"/>
  <c r="BK646" i="3" s="1"/>
  <c r="Y650" i="3"/>
  <c r="Z650" i="3" s="1"/>
  <c r="BM650" i="3"/>
  <c r="AY649" i="3" l="1"/>
  <c r="BC648" i="3"/>
  <c r="BD648" i="3" s="1"/>
  <c r="BB648" i="3"/>
  <c r="BF648" i="3"/>
  <c r="BJ647" i="3" s="1"/>
  <c r="BK647" i="3" s="1"/>
  <c r="BM651" i="3"/>
  <c r="AX650" i="3"/>
  <c r="AG651" i="3"/>
  <c r="AN651" i="3"/>
  <c r="X651" i="3"/>
  <c r="AW650" i="3"/>
  <c r="C652" i="3"/>
  <c r="A653" i="3"/>
  <c r="AR652" i="3"/>
  <c r="B652" i="3"/>
  <c r="AQ652" i="3"/>
  <c r="D652" i="3"/>
  <c r="G652" i="3"/>
  <c r="H652" i="3" s="1"/>
  <c r="F652" i="3"/>
  <c r="Q652" i="3"/>
  <c r="S652" i="3"/>
  <c r="O652" i="3"/>
  <c r="U652" i="3"/>
  <c r="AE652" i="3"/>
  <c r="AD652" i="3"/>
  <c r="AF652" i="3"/>
  <c r="M652" i="3"/>
  <c r="AM652" i="3"/>
  <c r="AK652" i="3"/>
  <c r="P652" i="3"/>
  <c r="T652" i="3"/>
  <c r="R652" i="3"/>
  <c r="V652" i="3"/>
  <c r="AT650" i="3"/>
  <c r="AU650" i="3"/>
  <c r="Y651" i="3"/>
  <c r="Z651" i="3" s="1"/>
  <c r="AO651" i="3"/>
  <c r="AH651" i="3"/>
  <c r="BN651" i="3"/>
  <c r="BA649" i="3"/>
  <c r="AV649" i="3"/>
  <c r="BC649" i="3" s="1"/>
  <c r="BM652" i="3" l="1"/>
  <c r="BN652" i="3"/>
  <c r="BG648" i="3"/>
  <c r="BH648" i="3" s="1"/>
  <c r="BI648" i="3" s="1"/>
  <c r="AH652" i="3"/>
  <c r="AX651" i="3"/>
  <c r="AY650" i="3"/>
  <c r="AU651" i="3"/>
  <c r="AO652" i="3"/>
  <c r="AQ653" i="3"/>
  <c r="B653" i="3"/>
  <c r="A654" i="3"/>
  <c r="AR653" i="3"/>
  <c r="C653" i="3"/>
  <c r="D653" i="3"/>
  <c r="G653" i="3"/>
  <c r="H653" i="3" s="1"/>
  <c r="F653" i="3"/>
  <c r="Q653" i="3"/>
  <c r="S653" i="3"/>
  <c r="O653" i="3"/>
  <c r="U653" i="3"/>
  <c r="M653" i="3"/>
  <c r="AM653" i="3"/>
  <c r="AD653" i="3"/>
  <c r="AE653" i="3"/>
  <c r="AK653" i="3"/>
  <c r="AF653" i="3"/>
  <c r="P653" i="3"/>
  <c r="R653" i="3"/>
  <c r="V653" i="3"/>
  <c r="T653" i="3"/>
  <c r="AN652" i="3"/>
  <c r="Y652" i="3"/>
  <c r="Z652" i="3" s="1"/>
  <c r="AT651" i="3"/>
  <c r="BD649" i="3"/>
  <c r="BG649" i="3"/>
  <c r="BH649" i="3" s="1"/>
  <c r="BI649" i="3" s="1"/>
  <c r="AG652" i="3"/>
  <c r="AT652" i="3" s="1"/>
  <c r="AW651" i="3"/>
  <c r="BB649" i="3"/>
  <c r="BQ649" i="3"/>
  <c r="BF649" i="3"/>
  <c r="BJ648" i="3" s="1"/>
  <c r="BK648" i="3" s="1"/>
  <c r="BA650" i="3"/>
  <c r="AV650" i="3"/>
  <c r="BC650" i="3" s="1"/>
  <c r="X652" i="3"/>
  <c r="AY651" i="3" l="1"/>
  <c r="AN653" i="3"/>
  <c r="BM653" i="3"/>
  <c r="AX652" i="3"/>
  <c r="BN653" i="3"/>
  <c r="AW652" i="3"/>
  <c r="AY652" i="3" s="1"/>
  <c r="AG653" i="3"/>
  <c r="AU652" i="3"/>
  <c r="AV652" i="3" s="1"/>
  <c r="BD650" i="3"/>
  <c r="BG650" i="3"/>
  <c r="BH650" i="3" s="1"/>
  <c r="BI650" i="3" s="1"/>
  <c r="Y653" i="3"/>
  <c r="Z653" i="3" s="1"/>
  <c r="BB650" i="3"/>
  <c r="BQ650" i="3"/>
  <c r="BF650" i="3"/>
  <c r="BJ649" i="3" s="1"/>
  <c r="BK649" i="3" s="1"/>
  <c r="B654" i="3"/>
  <c r="A655" i="3"/>
  <c r="C654" i="3"/>
  <c r="D654" i="3"/>
  <c r="AQ654" i="3"/>
  <c r="AR654" i="3"/>
  <c r="F654" i="3"/>
  <c r="G654" i="3"/>
  <c r="H654" i="3" s="1"/>
  <c r="Q654" i="3"/>
  <c r="S654" i="3"/>
  <c r="O654" i="3"/>
  <c r="U654" i="3"/>
  <c r="AF654" i="3"/>
  <c r="AE654" i="3"/>
  <c r="AD654" i="3"/>
  <c r="AM654" i="3"/>
  <c r="AK654" i="3"/>
  <c r="AO654" i="3" s="1"/>
  <c r="M654" i="3"/>
  <c r="P654" i="3"/>
  <c r="R654" i="3"/>
  <c r="V654" i="3"/>
  <c r="T654" i="3"/>
  <c r="AH653" i="3"/>
  <c r="X653" i="3"/>
  <c r="AV651" i="3"/>
  <c r="BC651" i="3" s="1"/>
  <c r="BA651" i="3"/>
  <c r="AO653" i="3"/>
  <c r="AT653" i="3" l="1"/>
  <c r="AU653" i="3"/>
  <c r="X654" i="3"/>
  <c r="Y654" i="3"/>
  <c r="Z654" i="3" s="1"/>
  <c r="BC652" i="3"/>
  <c r="BD652" i="3" s="1"/>
  <c r="BG652" i="3"/>
  <c r="BH652" i="3" s="1"/>
  <c r="BI652" i="3" s="1"/>
  <c r="BD651" i="3"/>
  <c r="BG651" i="3"/>
  <c r="BH651" i="3" s="1"/>
  <c r="BI651" i="3" s="1"/>
  <c r="BN654" i="3"/>
  <c r="BA652" i="3"/>
  <c r="AN654" i="3"/>
  <c r="AH654" i="3"/>
  <c r="BM654" i="3"/>
  <c r="BF651" i="3"/>
  <c r="BJ650" i="3" s="1"/>
  <c r="BK650" i="3" s="1"/>
  <c r="BQ651" i="3"/>
  <c r="BB651" i="3"/>
  <c r="C655" i="3"/>
  <c r="B655" i="3"/>
  <c r="D655" i="3"/>
  <c r="A656" i="3"/>
  <c r="AQ655" i="3"/>
  <c r="AR655" i="3"/>
  <c r="G655" i="3"/>
  <c r="H655" i="3" s="1"/>
  <c r="F655" i="3"/>
  <c r="Q655" i="3"/>
  <c r="S655" i="3"/>
  <c r="O655" i="3"/>
  <c r="U655" i="3"/>
  <c r="AF655" i="3"/>
  <c r="AD655" i="3"/>
  <c r="M655" i="3"/>
  <c r="AE655" i="3"/>
  <c r="AK655" i="3"/>
  <c r="AM655" i="3"/>
  <c r="P655" i="3"/>
  <c r="T655" i="3"/>
  <c r="R655" i="3"/>
  <c r="V655" i="3"/>
  <c r="AX653" i="3"/>
  <c r="AG654" i="3"/>
  <c r="AW653" i="3"/>
  <c r="AV653" i="3" l="1"/>
  <c r="BN655" i="3"/>
  <c r="BA653" i="3"/>
  <c r="BF653" i="3" s="1"/>
  <c r="AW654" i="3"/>
  <c r="AG655" i="3"/>
  <c r="BM655" i="3"/>
  <c r="AO655" i="3"/>
  <c r="AY653" i="3"/>
  <c r="BC653" i="3" s="1"/>
  <c r="X655" i="3"/>
  <c r="AT654" i="3"/>
  <c r="AH655" i="3"/>
  <c r="A657" i="3"/>
  <c r="AR656" i="3"/>
  <c r="B656" i="3"/>
  <c r="AQ656" i="3"/>
  <c r="C656" i="3"/>
  <c r="D656" i="3"/>
  <c r="F656" i="3"/>
  <c r="G656" i="3"/>
  <c r="H656" i="3" s="1"/>
  <c r="BN656" i="3" s="1"/>
  <c r="Q656" i="3"/>
  <c r="S656" i="3"/>
  <c r="O656" i="3"/>
  <c r="U656" i="3"/>
  <c r="AD656" i="3"/>
  <c r="AE656" i="3"/>
  <c r="M656" i="3"/>
  <c r="AF656" i="3"/>
  <c r="AK656" i="3"/>
  <c r="AM656" i="3"/>
  <c r="T656" i="3"/>
  <c r="V656" i="3"/>
  <c r="R656" i="3"/>
  <c r="P656" i="3"/>
  <c r="AX654" i="3"/>
  <c r="AU654" i="3"/>
  <c r="Y655" i="3"/>
  <c r="Z655" i="3" s="1"/>
  <c r="BB652" i="3"/>
  <c r="BQ652" i="3"/>
  <c r="BF652" i="3"/>
  <c r="BJ651" i="3" s="1"/>
  <c r="BK651" i="3" s="1"/>
  <c r="AN655" i="3"/>
  <c r="BM656" i="3" l="1"/>
  <c r="AN656" i="3"/>
  <c r="BQ653" i="3"/>
  <c r="AY654" i="3"/>
  <c r="AT655" i="3"/>
  <c r="BB653" i="3"/>
  <c r="AX655" i="3"/>
  <c r="AW655" i="3"/>
  <c r="AG656" i="3"/>
  <c r="BD653" i="3"/>
  <c r="BG653" i="3"/>
  <c r="BH653" i="3" s="1"/>
  <c r="BI653" i="3" s="1"/>
  <c r="BA654" i="3"/>
  <c r="AV654" i="3"/>
  <c r="AH656" i="3"/>
  <c r="X656" i="3"/>
  <c r="BJ652" i="3"/>
  <c r="BK652" i="3" s="1"/>
  <c r="Y656" i="3"/>
  <c r="Z656" i="3" s="1"/>
  <c r="AU655" i="3"/>
  <c r="AO656" i="3"/>
  <c r="AR657" i="3"/>
  <c r="A658" i="3"/>
  <c r="AQ657" i="3"/>
  <c r="B657" i="3"/>
  <c r="C657" i="3"/>
  <c r="D657" i="3"/>
  <c r="F657" i="3"/>
  <c r="G657" i="3"/>
  <c r="H657" i="3" s="1"/>
  <c r="Q657" i="3"/>
  <c r="S657" i="3"/>
  <c r="O657" i="3"/>
  <c r="U657" i="3"/>
  <c r="AF657" i="3"/>
  <c r="AD657" i="3"/>
  <c r="AE657" i="3"/>
  <c r="M657" i="3"/>
  <c r="AK657" i="3"/>
  <c r="AM657" i="3"/>
  <c r="AN657" i="3" s="1"/>
  <c r="V657" i="3"/>
  <c r="T657" i="3"/>
  <c r="R657" i="3"/>
  <c r="P657" i="3"/>
  <c r="BM657" i="3" l="1"/>
  <c r="BC654" i="3"/>
  <c r="AG657" i="3"/>
  <c r="BA655" i="3"/>
  <c r="BB655" i="3" s="1"/>
  <c r="AY655" i="3"/>
  <c r="AX656" i="3"/>
  <c r="BF655" i="3"/>
  <c r="BQ655" i="3"/>
  <c r="BG654" i="3"/>
  <c r="BH654" i="3" s="1"/>
  <c r="BI654" i="3" s="1"/>
  <c r="BD654" i="3"/>
  <c r="BB654" i="3"/>
  <c r="BQ654" i="3"/>
  <c r="BF654" i="3"/>
  <c r="BJ653" i="3" s="1"/>
  <c r="BK653" i="3" s="1"/>
  <c r="AT656" i="3"/>
  <c r="AQ658" i="3"/>
  <c r="A659" i="3"/>
  <c r="C658" i="3"/>
  <c r="D658" i="3"/>
  <c r="B658" i="3"/>
  <c r="AR658" i="3"/>
  <c r="G658" i="3"/>
  <c r="H658" i="3" s="1"/>
  <c r="F658" i="3"/>
  <c r="Q658" i="3"/>
  <c r="S658" i="3"/>
  <c r="O658" i="3"/>
  <c r="U658" i="3"/>
  <c r="AE658" i="3"/>
  <c r="M658" i="3"/>
  <c r="AM658" i="3"/>
  <c r="AF658" i="3"/>
  <c r="AD658" i="3"/>
  <c r="AK658" i="3"/>
  <c r="R658" i="3"/>
  <c r="P658" i="3"/>
  <c r="T658" i="3"/>
  <c r="V658" i="3"/>
  <c r="AV655" i="3"/>
  <c r="AU656" i="3"/>
  <c r="Y657" i="3"/>
  <c r="Z657" i="3" s="1"/>
  <c r="AO657" i="3"/>
  <c r="AW656" i="3"/>
  <c r="AH657" i="3"/>
  <c r="X657" i="3"/>
  <c r="BN657" i="3"/>
  <c r="BC655" i="3" l="1"/>
  <c r="AW657" i="3"/>
  <c r="AY656" i="3"/>
  <c r="X658" i="3"/>
  <c r="AT657" i="3"/>
  <c r="AO658" i="3"/>
  <c r="C659" i="3"/>
  <c r="D659" i="3"/>
  <c r="A660" i="3"/>
  <c r="AR659" i="3"/>
  <c r="B659" i="3"/>
  <c r="AQ659" i="3"/>
  <c r="F659" i="3"/>
  <c r="G659" i="3"/>
  <c r="H659" i="3" s="1"/>
  <c r="Q659" i="3"/>
  <c r="S659" i="3"/>
  <c r="O659" i="3"/>
  <c r="U659" i="3"/>
  <c r="AF659" i="3"/>
  <c r="AD659" i="3"/>
  <c r="M659" i="3"/>
  <c r="AE659" i="3"/>
  <c r="AM659" i="3"/>
  <c r="AK659" i="3"/>
  <c r="AO659" i="3" s="1"/>
  <c r="T659" i="3"/>
  <c r="P659" i="3"/>
  <c r="R659" i="3"/>
  <c r="V659" i="3"/>
  <c r="BM658" i="3"/>
  <c r="BN658" i="3"/>
  <c r="AN658" i="3"/>
  <c r="AV656" i="3"/>
  <c r="BA656" i="3"/>
  <c r="BJ654" i="3"/>
  <c r="BK654" i="3" s="1"/>
  <c r="AH658" i="3"/>
  <c r="BD655" i="3"/>
  <c r="BG655" i="3"/>
  <c r="BH655" i="3" s="1"/>
  <c r="BI655" i="3" s="1"/>
  <c r="Y658" i="3"/>
  <c r="Z658" i="3" s="1"/>
  <c r="AX657" i="3"/>
  <c r="AY657" i="3" s="1"/>
  <c r="AG658" i="3"/>
  <c r="AU657" i="3"/>
  <c r="AV657" i="3" l="1"/>
  <c r="BC656" i="3"/>
  <c r="BD656" i="3" s="1"/>
  <c r="BC657" i="3"/>
  <c r="BG657" i="3" s="1"/>
  <c r="BH657" i="3" s="1"/>
  <c r="BI657" i="3" s="1"/>
  <c r="BM659" i="3"/>
  <c r="AW658" i="3"/>
  <c r="Y659" i="3"/>
  <c r="Z659" i="3" s="1"/>
  <c r="AH659" i="3"/>
  <c r="BD657" i="3"/>
  <c r="AU658" i="3"/>
  <c r="BG656" i="3"/>
  <c r="BH656" i="3" s="1"/>
  <c r="BI656" i="3" s="1"/>
  <c r="C660" i="3"/>
  <c r="A661" i="3"/>
  <c r="AR660" i="3"/>
  <c r="B660" i="3"/>
  <c r="AQ660" i="3"/>
  <c r="D660" i="3"/>
  <c r="G660" i="3"/>
  <c r="H660" i="3" s="1"/>
  <c r="F660" i="3"/>
  <c r="Q660" i="3"/>
  <c r="S660" i="3"/>
  <c r="O660" i="3"/>
  <c r="U660" i="3"/>
  <c r="AE660" i="3"/>
  <c r="AD660" i="3"/>
  <c r="AF660" i="3"/>
  <c r="M660" i="3"/>
  <c r="AM660" i="3"/>
  <c r="AK660" i="3"/>
  <c r="P660" i="3"/>
  <c r="V660" i="3"/>
  <c r="T660" i="3"/>
  <c r="R660" i="3"/>
  <c r="BA657" i="3"/>
  <c r="AX658" i="3"/>
  <c r="AN659" i="3"/>
  <c r="BF656" i="3"/>
  <c r="BJ655" i="3" s="1"/>
  <c r="BK655" i="3" s="1"/>
  <c r="BQ656" i="3"/>
  <c r="BB656" i="3"/>
  <c r="AT658" i="3"/>
  <c r="X659" i="3"/>
  <c r="AG659" i="3"/>
  <c r="BN659" i="3"/>
  <c r="BM660" i="3" l="1"/>
  <c r="BN660" i="3"/>
  <c r="AW659" i="3"/>
  <c r="AY658" i="3"/>
  <c r="AT659" i="3"/>
  <c r="AX659" i="3"/>
  <c r="AN660" i="3"/>
  <c r="AU659" i="3"/>
  <c r="AV659" i="3" s="1"/>
  <c r="AV658" i="3"/>
  <c r="BC658" i="3" s="1"/>
  <c r="BA658" i="3"/>
  <c r="AG660" i="3"/>
  <c r="AH660" i="3"/>
  <c r="Y660" i="3"/>
  <c r="Z660" i="3" s="1"/>
  <c r="X660" i="3"/>
  <c r="BQ657" i="3"/>
  <c r="BB657" i="3"/>
  <c r="BF657" i="3"/>
  <c r="BJ656" i="3" s="1"/>
  <c r="BK656" i="3" s="1"/>
  <c r="AO660" i="3"/>
  <c r="AQ661" i="3"/>
  <c r="B661" i="3"/>
  <c r="A662" i="3"/>
  <c r="AR661" i="3"/>
  <c r="C661" i="3"/>
  <c r="D661" i="3"/>
  <c r="F661" i="3"/>
  <c r="G661" i="3"/>
  <c r="H661" i="3" s="1"/>
  <c r="Q661" i="3"/>
  <c r="S661" i="3"/>
  <c r="O661" i="3"/>
  <c r="U661" i="3"/>
  <c r="M661" i="3"/>
  <c r="AK661" i="3"/>
  <c r="AE661" i="3"/>
  <c r="AD661" i="3"/>
  <c r="AF661" i="3"/>
  <c r="AM661" i="3"/>
  <c r="T661" i="3"/>
  <c r="R661" i="3"/>
  <c r="V661" i="3"/>
  <c r="P661" i="3"/>
  <c r="BN661" i="3" l="1"/>
  <c r="BM661" i="3"/>
  <c r="AY659" i="3"/>
  <c r="BA659" i="3"/>
  <c r="BC659" i="3"/>
  <c r="BD659" i="3" s="1"/>
  <c r="AH661" i="3"/>
  <c r="AN661" i="3"/>
  <c r="AX660" i="3"/>
  <c r="AU660" i="3"/>
  <c r="AW660" i="3"/>
  <c r="AY660" i="3" s="1"/>
  <c r="AG661" i="3"/>
  <c r="AO661" i="3"/>
  <c r="BQ659" i="3"/>
  <c r="BF659" i="3"/>
  <c r="BB659" i="3"/>
  <c r="AT660" i="3"/>
  <c r="BF658" i="3"/>
  <c r="BJ657" i="3" s="1"/>
  <c r="BK657" i="3" s="1"/>
  <c r="BB658" i="3"/>
  <c r="BQ658" i="3"/>
  <c r="Y661" i="3"/>
  <c r="Z661" i="3" s="1"/>
  <c r="X661" i="3"/>
  <c r="B662" i="3"/>
  <c r="A663" i="3"/>
  <c r="C662" i="3"/>
  <c r="AQ662" i="3"/>
  <c r="D662" i="3"/>
  <c r="AR662" i="3"/>
  <c r="F662" i="3"/>
  <c r="G662" i="3"/>
  <c r="H662" i="3" s="1"/>
  <c r="Q662" i="3"/>
  <c r="S662" i="3"/>
  <c r="O662" i="3"/>
  <c r="U662" i="3"/>
  <c r="AF662" i="3"/>
  <c r="AE662" i="3"/>
  <c r="M662" i="3"/>
  <c r="AD662" i="3"/>
  <c r="AM662" i="3"/>
  <c r="AK662" i="3"/>
  <c r="AO662" i="3" s="1"/>
  <c r="P662" i="3"/>
  <c r="R662" i="3"/>
  <c r="T662" i="3"/>
  <c r="V662" i="3"/>
  <c r="BD658" i="3"/>
  <c r="BG658" i="3"/>
  <c r="BH658" i="3" s="1"/>
  <c r="BI658" i="3" s="1"/>
  <c r="AU661" i="3" l="1"/>
  <c r="BG659" i="3"/>
  <c r="BH659" i="3" s="1"/>
  <c r="BI659" i="3" s="1"/>
  <c r="AT661" i="3"/>
  <c r="X662" i="3"/>
  <c r="C663" i="3"/>
  <c r="D663" i="3"/>
  <c r="AR663" i="3"/>
  <c r="B663" i="3"/>
  <c r="A664" i="3"/>
  <c r="AQ663" i="3"/>
  <c r="F663" i="3"/>
  <c r="G663" i="3"/>
  <c r="H663" i="3" s="1"/>
  <c r="Q663" i="3"/>
  <c r="S663" i="3"/>
  <c r="O663" i="3"/>
  <c r="U663" i="3"/>
  <c r="AF663" i="3"/>
  <c r="AE663" i="3"/>
  <c r="M663" i="3"/>
  <c r="AK663" i="3"/>
  <c r="AM663" i="3"/>
  <c r="AD663" i="3"/>
  <c r="P663" i="3"/>
  <c r="V663" i="3"/>
  <c r="T663" i="3"/>
  <c r="R663" i="3"/>
  <c r="AV661" i="3"/>
  <c r="AN662" i="3"/>
  <c r="AW661" i="3"/>
  <c r="AH662" i="3"/>
  <c r="BN662" i="3"/>
  <c r="AX661" i="3"/>
  <c r="AY661" i="3" s="1"/>
  <c r="BM662" i="3"/>
  <c r="BJ658" i="3"/>
  <c r="BK658" i="3" s="1"/>
  <c r="BA660" i="3"/>
  <c r="AV660" i="3"/>
  <c r="BC660" i="3" s="1"/>
  <c r="Y662" i="3"/>
  <c r="Z662" i="3" s="1"/>
  <c r="AG662" i="3"/>
  <c r="AT662" i="3" l="1"/>
  <c r="BM663" i="3"/>
  <c r="AO663" i="3"/>
  <c r="AG663" i="3"/>
  <c r="AW662" i="3"/>
  <c r="AN663" i="3"/>
  <c r="BA661" i="3"/>
  <c r="BF661" i="3" s="1"/>
  <c r="BC661" i="3"/>
  <c r="BD661" i="3" s="1"/>
  <c r="A665" i="3"/>
  <c r="AR664" i="3"/>
  <c r="B664" i="3"/>
  <c r="AQ664" i="3"/>
  <c r="C664" i="3"/>
  <c r="D664" i="3"/>
  <c r="F664" i="3"/>
  <c r="G664" i="3"/>
  <c r="H664" i="3" s="1"/>
  <c r="Q664" i="3"/>
  <c r="S664" i="3"/>
  <c r="O664" i="3"/>
  <c r="U664" i="3"/>
  <c r="AM664" i="3"/>
  <c r="M664" i="3"/>
  <c r="AE664" i="3"/>
  <c r="AF664" i="3"/>
  <c r="AD664" i="3"/>
  <c r="AK664" i="3"/>
  <c r="T664" i="3"/>
  <c r="V664" i="3"/>
  <c r="P664" i="3"/>
  <c r="R664" i="3"/>
  <c r="X663" i="3"/>
  <c r="Y663" i="3"/>
  <c r="Z663" i="3" s="1"/>
  <c r="AH663" i="3"/>
  <c r="BG660" i="3"/>
  <c r="BH660" i="3" s="1"/>
  <c r="BI660" i="3" s="1"/>
  <c r="BD660" i="3"/>
  <c r="AX662" i="3"/>
  <c r="BQ660" i="3"/>
  <c r="BF660" i="3"/>
  <c r="BJ659" i="3" s="1"/>
  <c r="BK659" i="3" s="1"/>
  <c r="BB660" i="3"/>
  <c r="BN663" i="3"/>
  <c r="AU662" i="3"/>
  <c r="AV662" i="3" s="1"/>
  <c r="BQ661" i="3" l="1"/>
  <c r="AY662" i="3"/>
  <c r="BC662" i="3" s="1"/>
  <c r="BD662" i="3" s="1"/>
  <c r="BN664" i="3"/>
  <c r="BB661" i="3"/>
  <c r="AX663" i="3"/>
  <c r="AH664" i="3"/>
  <c r="BG661" i="3"/>
  <c r="BH661" i="3" s="1"/>
  <c r="BI661" i="3" s="1"/>
  <c r="AN664" i="3"/>
  <c r="AW663" i="3"/>
  <c r="AT663" i="3"/>
  <c r="Y664" i="3"/>
  <c r="Z664" i="3" s="1"/>
  <c r="X664" i="3"/>
  <c r="AO664" i="3"/>
  <c r="AR665" i="3"/>
  <c r="A666" i="3"/>
  <c r="AQ665" i="3"/>
  <c r="B665" i="3"/>
  <c r="C665" i="3"/>
  <c r="D665" i="3"/>
  <c r="G665" i="3"/>
  <c r="H665" i="3" s="1"/>
  <c r="BN665" i="3" s="1"/>
  <c r="F665" i="3"/>
  <c r="BM665" i="3" s="1"/>
  <c r="Q665" i="3"/>
  <c r="S665" i="3"/>
  <c r="O665" i="3"/>
  <c r="U665" i="3"/>
  <c r="AF665" i="3"/>
  <c r="AE665" i="3"/>
  <c r="M665" i="3"/>
  <c r="AM665" i="3"/>
  <c r="AD665" i="3"/>
  <c r="AK665" i="3"/>
  <c r="T665" i="3"/>
  <c r="R665" i="3"/>
  <c r="V665" i="3"/>
  <c r="P665" i="3"/>
  <c r="BJ660" i="3"/>
  <c r="BK660" i="3" s="1"/>
  <c r="BA662" i="3"/>
  <c r="AU663" i="3"/>
  <c r="AG664" i="3"/>
  <c r="BM664" i="3"/>
  <c r="AX664" i="3" l="1"/>
  <c r="AY663" i="3"/>
  <c r="BG662" i="3"/>
  <c r="BH662" i="3" s="1"/>
  <c r="BI662" i="3" s="1"/>
  <c r="AV663" i="3"/>
  <c r="BC663" i="3" s="1"/>
  <c r="BG663" i="3" s="1"/>
  <c r="BH663" i="3" s="1"/>
  <c r="BI663" i="3" s="1"/>
  <c r="AN665" i="3"/>
  <c r="AT664" i="3"/>
  <c r="AU664" i="3"/>
  <c r="AV664" i="3" s="1"/>
  <c r="AH665" i="3"/>
  <c r="BQ662" i="3"/>
  <c r="BB662" i="3"/>
  <c r="BF662" i="3"/>
  <c r="BJ661" i="3" s="1"/>
  <c r="BK661" i="3" s="1"/>
  <c r="Y665" i="3"/>
  <c r="Z665" i="3" s="1"/>
  <c r="BA663" i="3"/>
  <c r="X665" i="3"/>
  <c r="AW664" i="3"/>
  <c r="AY664" i="3" s="1"/>
  <c r="AG665" i="3"/>
  <c r="AO665" i="3"/>
  <c r="B666" i="3"/>
  <c r="A667" i="3"/>
  <c r="C666" i="3"/>
  <c r="D666" i="3"/>
  <c r="AQ666" i="3"/>
  <c r="AR666" i="3"/>
  <c r="F666" i="3"/>
  <c r="BM666" i="3" s="1"/>
  <c r="G666" i="3"/>
  <c r="H666" i="3" s="1"/>
  <c r="Q666" i="3"/>
  <c r="S666" i="3"/>
  <c r="O666" i="3"/>
  <c r="U666" i="3"/>
  <c r="AF666" i="3"/>
  <c r="AD666" i="3"/>
  <c r="AE666" i="3"/>
  <c r="M666" i="3"/>
  <c r="AM666" i="3"/>
  <c r="AK666" i="3"/>
  <c r="AO666" i="3" s="1"/>
  <c r="T666" i="3"/>
  <c r="V666" i="3"/>
  <c r="P666" i="3"/>
  <c r="R666" i="3"/>
  <c r="BD663" i="3" l="1"/>
  <c r="AG666" i="3"/>
  <c r="AW665" i="3"/>
  <c r="AN666" i="3"/>
  <c r="X666" i="3"/>
  <c r="AH666" i="3"/>
  <c r="AU666" i="3" s="1"/>
  <c r="AX665" i="3"/>
  <c r="AY665" i="3" s="1"/>
  <c r="AT666" i="3"/>
  <c r="C667" i="3"/>
  <c r="D667" i="3"/>
  <c r="B667" i="3"/>
  <c r="A668" i="3"/>
  <c r="AQ667" i="3"/>
  <c r="AR667" i="3"/>
  <c r="F667" i="3"/>
  <c r="G667" i="3"/>
  <c r="H667" i="3" s="1"/>
  <c r="Q667" i="3"/>
  <c r="S667" i="3"/>
  <c r="O667" i="3"/>
  <c r="U667" i="3"/>
  <c r="AF667" i="3"/>
  <c r="AD667" i="3"/>
  <c r="M667" i="3"/>
  <c r="AE667" i="3"/>
  <c r="AK667" i="3"/>
  <c r="AM667" i="3"/>
  <c r="P667" i="3"/>
  <c r="R667" i="3"/>
  <c r="T667" i="3"/>
  <c r="V667" i="3"/>
  <c r="BQ663" i="3"/>
  <c r="BF663" i="3"/>
  <c r="BJ662" i="3" s="1"/>
  <c r="BK662" i="3" s="1"/>
  <c r="BB663" i="3"/>
  <c r="AT665" i="3"/>
  <c r="Y666" i="3"/>
  <c r="Z666" i="3" s="1"/>
  <c r="BC664" i="3"/>
  <c r="AU665" i="3"/>
  <c r="BN666" i="3"/>
  <c r="BA664" i="3"/>
  <c r="AG667" i="3" l="1"/>
  <c r="AN667" i="3"/>
  <c r="AX666" i="3"/>
  <c r="BA665" i="3"/>
  <c r="AV665" i="3"/>
  <c r="BC665" i="3" s="1"/>
  <c r="BB664" i="3"/>
  <c r="BF664" i="3"/>
  <c r="BJ663" i="3" s="1"/>
  <c r="BK663" i="3" s="1"/>
  <c r="BQ664" i="3"/>
  <c r="BN667" i="3"/>
  <c r="AV666" i="3"/>
  <c r="AO667" i="3"/>
  <c r="Y667" i="3"/>
  <c r="Z667" i="3" s="1"/>
  <c r="BM667" i="3"/>
  <c r="AH667" i="3"/>
  <c r="AX667" i="3" s="1"/>
  <c r="BD664" i="3"/>
  <c r="BG664" i="3"/>
  <c r="BH664" i="3" s="1"/>
  <c r="BI664" i="3" s="1"/>
  <c r="X667" i="3"/>
  <c r="D668" i="3"/>
  <c r="A669" i="3"/>
  <c r="AR668" i="3"/>
  <c r="B668" i="3"/>
  <c r="AQ668" i="3"/>
  <c r="C668" i="3"/>
  <c r="F668" i="3"/>
  <c r="BM668" i="3" s="1"/>
  <c r="G668" i="3"/>
  <c r="H668" i="3" s="1"/>
  <c r="BN668" i="3" s="1"/>
  <c r="Q668" i="3"/>
  <c r="S668" i="3"/>
  <c r="O668" i="3"/>
  <c r="U668" i="3"/>
  <c r="AD668" i="3"/>
  <c r="M668" i="3"/>
  <c r="AE668" i="3"/>
  <c r="AF668" i="3"/>
  <c r="AK668" i="3"/>
  <c r="AM668" i="3"/>
  <c r="P668" i="3"/>
  <c r="V668" i="3"/>
  <c r="R668" i="3"/>
  <c r="T668" i="3"/>
  <c r="AW666" i="3"/>
  <c r="AY666" i="3" s="1"/>
  <c r="AN668" i="3" l="1"/>
  <c r="BA666" i="3"/>
  <c r="BQ666" i="3" s="1"/>
  <c r="Y668" i="3"/>
  <c r="Z668" i="3" s="1"/>
  <c r="X668" i="3"/>
  <c r="BC666" i="3"/>
  <c r="AQ669" i="3"/>
  <c r="B669" i="3"/>
  <c r="A670" i="3"/>
  <c r="AR669" i="3"/>
  <c r="D669" i="3"/>
  <c r="C669" i="3"/>
  <c r="G669" i="3"/>
  <c r="H669" i="3" s="1"/>
  <c r="BN669" i="3" s="1"/>
  <c r="F669" i="3"/>
  <c r="S669" i="3"/>
  <c r="Q669" i="3"/>
  <c r="O669" i="3"/>
  <c r="U669" i="3"/>
  <c r="AD669" i="3"/>
  <c r="AF669" i="3"/>
  <c r="AE669" i="3"/>
  <c r="AG669" i="3" s="1"/>
  <c r="M669" i="3"/>
  <c r="AM669" i="3"/>
  <c r="AK669" i="3"/>
  <c r="AO669" i="3" s="1"/>
  <c r="V669" i="3"/>
  <c r="T669" i="3"/>
  <c r="P669" i="3"/>
  <c r="R669" i="3"/>
  <c r="AG668" i="3"/>
  <c r="AT667" i="3"/>
  <c r="AO668" i="3"/>
  <c r="AU667" i="3"/>
  <c r="BD665" i="3"/>
  <c r="BG665" i="3"/>
  <c r="BH665" i="3" s="1"/>
  <c r="BI665" i="3" s="1"/>
  <c r="AH668" i="3"/>
  <c r="AW667" i="3"/>
  <c r="AY667" i="3" s="1"/>
  <c r="BF665" i="3"/>
  <c r="BJ664" i="3" s="1"/>
  <c r="BK664" i="3" s="1"/>
  <c r="BB665" i="3"/>
  <c r="BQ665" i="3"/>
  <c r="BF666" i="3" l="1"/>
  <c r="BB666" i="3"/>
  <c r="AH669" i="3"/>
  <c r="AU669" i="3" s="1"/>
  <c r="AW668" i="3"/>
  <c r="B670" i="3"/>
  <c r="A671" i="3"/>
  <c r="D670" i="3"/>
  <c r="C670" i="3"/>
  <c r="AQ670" i="3"/>
  <c r="AR670" i="3"/>
  <c r="G670" i="3"/>
  <c r="H670" i="3" s="1"/>
  <c r="F670" i="3"/>
  <c r="Q670" i="3"/>
  <c r="S670" i="3"/>
  <c r="O670" i="3"/>
  <c r="U670" i="3"/>
  <c r="AF670" i="3"/>
  <c r="AE670" i="3"/>
  <c r="AD670" i="3"/>
  <c r="M670" i="3"/>
  <c r="AK670" i="3"/>
  <c r="AM670" i="3"/>
  <c r="V670" i="3"/>
  <c r="R670" i="3"/>
  <c r="P670" i="3"/>
  <c r="T670" i="3"/>
  <c r="AU668" i="3"/>
  <c r="X669" i="3"/>
  <c r="AX668" i="3"/>
  <c r="BJ665" i="3"/>
  <c r="BK665" i="3" s="1"/>
  <c r="AT668" i="3"/>
  <c r="AN669" i="3"/>
  <c r="BA667" i="3"/>
  <c r="AV667" i="3"/>
  <c r="BC667" i="3" s="1"/>
  <c r="Y669" i="3"/>
  <c r="Z669" i="3" s="1"/>
  <c r="BM669" i="3"/>
  <c r="BD666" i="3"/>
  <c r="BG666" i="3"/>
  <c r="BH666" i="3" s="1"/>
  <c r="BI666" i="3" s="1"/>
  <c r="AT669" i="3" l="1"/>
  <c r="X670" i="3"/>
  <c r="AN670" i="3"/>
  <c r="C671" i="3"/>
  <c r="D671" i="3"/>
  <c r="AR671" i="3"/>
  <c r="B671" i="3"/>
  <c r="AQ671" i="3"/>
  <c r="A672" i="3"/>
  <c r="G671" i="3"/>
  <c r="H671" i="3" s="1"/>
  <c r="F671" i="3"/>
  <c r="Q671" i="3"/>
  <c r="S671" i="3"/>
  <c r="O671" i="3"/>
  <c r="U671" i="3"/>
  <c r="AE671" i="3"/>
  <c r="AF671" i="3"/>
  <c r="AD671" i="3"/>
  <c r="M671" i="3"/>
  <c r="AK671" i="3"/>
  <c r="AM671" i="3"/>
  <c r="AN671" i="3" s="1"/>
  <c r="T671" i="3"/>
  <c r="V671" i="3"/>
  <c r="R671" i="3"/>
  <c r="P671" i="3"/>
  <c r="BD667" i="3"/>
  <c r="BG667" i="3"/>
  <c r="BH667" i="3" s="1"/>
  <c r="BI667" i="3" s="1"/>
  <c r="AY668" i="3"/>
  <c r="BN670" i="3"/>
  <c r="AV669" i="3"/>
  <c r="Y670" i="3"/>
  <c r="Z670" i="3" s="1"/>
  <c r="AO670" i="3"/>
  <c r="BQ667" i="3"/>
  <c r="BF667" i="3"/>
  <c r="BJ666" i="3" s="1"/>
  <c r="BK666" i="3" s="1"/>
  <c r="BB667" i="3"/>
  <c r="AG670" i="3"/>
  <c r="AX669" i="3"/>
  <c r="BA668" i="3"/>
  <c r="AV668" i="3"/>
  <c r="BC668" i="3" s="1"/>
  <c r="BM670" i="3"/>
  <c r="AH670" i="3"/>
  <c r="AW669" i="3"/>
  <c r="AX670" i="3" l="1"/>
  <c r="BM671" i="3"/>
  <c r="BN671" i="3"/>
  <c r="AH671" i="3"/>
  <c r="BA669" i="3"/>
  <c r="BB669" i="3" s="1"/>
  <c r="BD668" i="3"/>
  <c r="BG668" i="3"/>
  <c r="BH668" i="3" s="1"/>
  <c r="BI668" i="3" s="1"/>
  <c r="BF668" i="3"/>
  <c r="BJ667" i="3" s="1"/>
  <c r="BK667" i="3" s="1"/>
  <c r="BQ668" i="3"/>
  <c r="BB668" i="3"/>
  <c r="Y671" i="3"/>
  <c r="Z671" i="3" s="1"/>
  <c r="X671" i="3"/>
  <c r="AG671" i="3"/>
  <c r="AU671" i="3" s="1"/>
  <c r="AT670" i="3"/>
  <c r="AW670" i="3"/>
  <c r="AY670" i="3" s="1"/>
  <c r="A673" i="3"/>
  <c r="D672" i="3"/>
  <c r="AR672" i="3"/>
  <c r="B672" i="3"/>
  <c r="AQ672" i="3"/>
  <c r="C672" i="3"/>
  <c r="G672" i="3"/>
  <c r="H672" i="3" s="1"/>
  <c r="F672" i="3"/>
  <c r="BM672" i="3" s="1"/>
  <c r="Q672" i="3"/>
  <c r="S672" i="3"/>
  <c r="O672" i="3"/>
  <c r="U672" i="3"/>
  <c r="M672" i="3"/>
  <c r="AE672" i="3"/>
  <c r="AF672" i="3"/>
  <c r="AD672" i="3"/>
  <c r="AK672" i="3"/>
  <c r="AM672" i="3"/>
  <c r="P672" i="3"/>
  <c r="V672" i="3"/>
  <c r="R672" i="3"/>
  <c r="T672" i="3"/>
  <c r="AY669" i="3"/>
  <c r="BC669" i="3" s="1"/>
  <c r="AU670" i="3"/>
  <c r="AO671" i="3"/>
  <c r="BQ669" i="3" l="1"/>
  <c r="BF669" i="3"/>
  <c r="BJ668" i="3" s="1"/>
  <c r="BK668" i="3" s="1"/>
  <c r="AN672" i="3"/>
  <c r="X672" i="3"/>
  <c r="AT671" i="3"/>
  <c r="AV671" i="3" s="1"/>
  <c r="Y672" i="3"/>
  <c r="Z672" i="3" s="1"/>
  <c r="AX671" i="3"/>
  <c r="AW671" i="3"/>
  <c r="BD669" i="3"/>
  <c r="BG669" i="3"/>
  <c r="BH669" i="3" s="1"/>
  <c r="BI669" i="3" s="1"/>
  <c r="BN672" i="3"/>
  <c r="AO672" i="3"/>
  <c r="AG672" i="3"/>
  <c r="BA670" i="3"/>
  <c r="AV670" i="3"/>
  <c r="BC670" i="3" s="1"/>
  <c r="AR673" i="3"/>
  <c r="A674" i="3"/>
  <c r="AQ673" i="3"/>
  <c r="B673" i="3"/>
  <c r="C673" i="3"/>
  <c r="D673" i="3"/>
  <c r="G673" i="3"/>
  <c r="H673" i="3" s="1"/>
  <c r="BN673" i="3" s="1"/>
  <c r="F673" i="3"/>
  <c r="BM673" i="3" s="1"/>
  <c r="S673" i="3"/>
  <c r="Q673" i="3"/>
  <c r="O673" i="3"/>
  <c r="U673" i="3"/>
  <c r="AD673" i="3"/>
  <c r="AE673" i="3"/>
  <c r="M673" i="3"/>
  <c r="AF673" i="3"/>
  <c r="AM673" i="3"/>
  <c r="AK673" i="3"/>
  <c r="T673" i="3"/>
  <c r="P673" i="3"/>
  <c r="R673" i="3"/>
  <c r="V673" i="3"/>
  <c r="AH672" i="3"/>
  <c r="AU672" i="3" s="1"/>
  <c r="AY671" i="3" l="1"/>
  <c r="AO673" i="3"/>
  <c r="BA671" i="3"/>
  <c r="AN673" i="3"/>
  <c r="AX672" i="3"/>
  <c r="AT672" i="3"/>
  <c r="BG670" i="3"/>
  <c r="BH670" i="3" s="1"/>
  <c r="BI670" i="3" s="1"/>
  <c r="BD670" i="3"/>
  <c r="AQ674" i="3"/>
  <c r="B674" i="3"/>
  <c r="A675" i="3"/>
  <c r="C674" i="3"/>
  <c r="D674" i="3"/>
  <c r="AR674" i="3"/>
  <c r="G674" i="3"/>
  <c r="H674" i="3" s="1"/>
  <c r="BN674" i="3" s="1"/>
  <c r="F674" i="3"/>
  <c r="BM674" i="3" s="1"/>
  <c r="Q674" i="3"/>
  <c r="S674" i="3"/>
  <c r="O674" i="3"/>
  <c r="U674" i="3"/>
  <c r="AF674" i="3"/>
  <c r="M674" i="3"/>
  <c r="AD674" i="3"/>
  <c r="AE674" i="3"/>
  <c r="AM674" i="3"/>
  <c r="AK674" i="3"/>
  <c r="R674" i="3"/>
  <c r="T674" i="3"/>
  <c r="P674" i="3"/>
  <c r="V674" i="3"/>
  <c r="Y673" i="3"/>
  <c r="Z673" i="3" s="1"/>
  <c r="AH673" i="3"/>
  <c r="AX673" i="3" s="1"/>
  <c r="BQ670" i="3"/>
  <c r="BB670" i="3"/>
  <c r="BF670" i="3"/>
  <c r="BJ669" i="3" s="1"/>
  <c r="BK669" i="3" s="1"/>
  <c r="BB671" i="3"/>
  <c r="BF671" i="3"/>
  <c r="BQ671" i="3"/>
  <c r="AG673" i="3"/>
  <c r="X673" i="3"/>
  <c r="AW672" i="3"/>
  <c r="BC671" i="3"/>
  <c r="AN674" i="3" l="1"/>
  <c r="AH674" i="3"/>
  <c r="AY672" i="3"/>
  <c r="BJ670" i="3"/>
  <c r="BK670" i="3" s="1"/>
  <c r="Y674" i="3"/>
  <c r="Z674" i="3" s="1"/>
  <c r="AV672" i="3"/>
  <c r="BC672" i="3" s="1"/>
  <c r="BA672" i="3"/>
  <c r="X674" i="3"/>
  <c r="D675" i="3"/>
  <c r="C675" i="3"/>
  <c r="B675" i="3"/>
  <c r="A676" i="3"/>
  <c r="AQ675" i="3"/>
  <c r="AR675" i="3"/>
  <c r="F675" i="3"/>
  <c r="G675" i="3"/>
  <c r="H675" i="3" s="1"/>
  <c r="BN675" i="3" s="1"/>
  <c r="Q675" i="3"/>
  <c r="S675" i="3"/>
  <c r="O675" i="3"/>
  <c r="U675" i="3"/>
  <c r="AF675" i="3"/>
  <c r="AE675" i="3"/>
  <c r="M675" i="3"/>
  <c r="AK675" i="3"/>
  <c r="AO675" i="3" s="1"/>
  <c r="AM675" i="3"/>
  <c r="AD675" i="3"/>
  <c r="V675" i="3"/>
  <c r="P675" i="3"/>
  <c r="T675" i="3"/>
  <c r="R675" i="3"/>
  <c r="AT673" i="3"/>
  <c r="AW673" i="3"/>
  <c r="AY673" i="3" s="1"/>
  <c r="BD671" i="3"/>
  <c r="BG671" i="3"/>
  <c r="BH671" i="3" s="1"/>
  <c r="BI671" i="3" s="1"/>
  <c r="AO674" i="3"/>
  <c r="AG674" i="3"/>
  <c r="AU673" i="3"/>
  <c r="AW674" i="3" l="1"/>
  <c r="AU674" i="3"/>
  <c r="AH675" i="3"/>
  <c r="AT674" i="3"/>
  <c r="AV674" i="3" s="1"/>
  <c r="AN675" i="3"/>
  <c r="BB672" i="3"/>
  <c r="BQ672" i="3"/>
  <c r="BF672" i="3"/>
  <c r="BJ671" i="3" s="1"/>
  <c r="BK671" i="3" s="1"/>
  <c r="BD672" i="3"/>
  <c r="BG672" i="3"/>
  <c r="BH672" i="3" s="1"/>
  <c r="BI672" i="3" s="1"/>
  <c r="BA673" i="3"/>
  <c r="AV673" i="3"/>
  <c r="BC673" i="3" s="1"/>
  <c r="AG675" i="3"/>
  <c r="AW675" i="3" s="1"/>
  <c r="BM675" i="3"/>
  <c r="X675" i="3"/>
  <c r="AQ676" i="3"/>
  <c r="AR676" i="3"/>
  <c r="B676" i="3"/>
  <c r="D676" i="3"/>
  <c r="C676" i="3"/>
  <c r="G676" i="3"/>
  <c r="H676" i="3" s="1"/>
  <c r="BN676" i="3" s="1"/>
  <c r="F676" i="3"/>
  <c r="BM676" i="3" s="1"/>
  <c r="S676" i="3"/>
  <c r="Q676" i="3"/>
  <c r="O676" i="3"/>
  <c r="U676" i="3"/>
  <c r="AD676" i="3"/>
  <c r="AE676" i="3"/>
  <c r="AF676" i="3"/>
  <c r="M676" i="3"/>
  <c r="AM676" i="3"/>
  <c r="AK676" i="3"/>
  <c r="P676" i="3"/>
  <c r="V676" i="3"/>
  <c r="R676" i="3"/>
  <c r="T676" i="3"/>
  <c r="AX674" i="3"/>
  <c r="AY674" i="3" s="1"/>
  <c r="Y675" i="3"/>
  <c r="Z675" i="3" s="1"/>
  <c r="AT675" i="3" l="1"/>
  <c r="AU675" i="3"/>
  <c r="AV675" i="3" s="1"/>
  <c r="BC674" i="3"/>
  <c r="BG674" i="3" s="1"/>
  <c r="BH674" i="3" s="1"/>
  <c r="BI674" i="3" s="1"/>
  <c r="BA674" i="3"/>
  <c r="BB674" i="3" s="1"/>
  <c r="AO676" i="3"/>
  <c r="BF673" i="3"/>
  <c r="BJ672" i="3" s="1"/>
  <c r="BK672" i="3" s="1"/>
  <c r="BB673" i="3"/>
  <c r="BQ673" i="3"/>
  <c r="AN676" i="3"/>
  <c r="AG676" i="3"/>
  <c r="X676" i="3"/>
  <c r="AH676" i="3"/>
  <c r="Y676" i="3"/>
  <c r="Z676" i="3" s="1"/>
  <c r="BD673" i="3"/>
  <c r="BG673" i="3"/>
  <c r="BH673" i="3" s="1"/>
  <c r="BI673" i="3" s="1"/>
  <c r="AX675" i="3"/>
  <c r="AY675" i="3" s="1"/>
  <c r="BD674" i="3" l="1"/>
  <c r="BF674" i="3"/>
  <c r="BQ674" i="3"/>
  <c r="AX676" i="3"/>
  <c r="BJ673" i="3"/>
  <c r="BK673" i="3" s="1"/>
  <c r="BA675" i="3"/>
  <c r="BC675" i="3"/>
  <c r="AU676" i="3"/>
  <c r="AT676" i="3"/>
  <c r="AW676" i="3"/>
  <c r="AY676" i="3" l="1"/>
  <c r="AV676" i="3"/>
  <c r="BC676" i="3" s="1"/>
  <c r="BA676" i="3"/>
  <c r="BD675" i="3"/>
  <c r="BG675" i="3"/>
  <c r="BH675" i="3" s="1"/>
  <c r="BI675" i="3" s="1"/>
  <c r="BQ675" i="3"/>
  <c r="BB675" i="3"/>
  <c r="BF675" i="3"/>
  <c r="BJ674" i="3" s="1"/>
  <c r="BK674" i="3" s="1"/>
  <c r="BQ676" i="3" l="1"/>
  <c r="BB676" i="3"/>
  <c r="BF676" i="3"/>
  <c r="BD676" i="3"/>
  <c r="BG676" i="3"/>
  <c r="BH676" i="3" s="1"/>
  <c r="BI676" i="3" s="1"/>
  <c r="BJ675" i="3" l="1"/>
  <c r="BK675" i="3" s="1"/>
  <c r="BJ676" i="3"/>
  <c r="BK676"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B1, March 2025,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B1,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07"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8"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<sst xmlns="http://schemas.openxmlformats.org/spreadsheetml/2006/main" count="1372" uniqueCount="772">
  <si>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</si>
  <si>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</si>
  <si>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</si>
  <si>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</si>
  <si>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</si>
  <si>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</si>
  <si>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</si>
  <si>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</si>
  <si>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</si>
  <si>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</si>
  <si>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</si>
  <si>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</si>
  <si>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</si>
  <si>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</si>
  <si>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</si>
  <si>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</si>
  <si>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</si>
  <si>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</si>
  <si>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</si>
  <si>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</si>
  <si>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</si>
  <si>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</si>
  <si>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</si>
  <si>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</si>
  <si>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</si>
  <si>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</si>
  <si>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</si>
  <si>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</si>
  <si>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</si>
  <si>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</si>
  <si>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</si>
  <si>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</si>
  <si>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</si>
  <si>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</si>
  <si>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</si>
  <si>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</si>
  <si>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</si>
  <si>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</si>
  <si>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</si>
  <si>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</si>
  <si>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</si>
  <si>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</si>
  <si>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</si>
  <si>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</si>
  <si>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</si>
  <si>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</si>
  <si>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</si>
  <si>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</si>
  <si>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</si>
  <si>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</si>
  <si>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</si>
  <si>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</si>
  <si>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</si>
  <si>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</si>
  <si>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</si>
  <si>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</si>
  <si>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</si>
  <si>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</si>
  <si>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</si>
  <si>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</si>
  <si>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</si>
  <si>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</si>
  <si>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</si>
  <si>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</si>
  <si>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</si>
  <si>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</si>
  <si>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</si>
  <si>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</si>
  <si>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</si>
  <si>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</si>
  <si>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</si>
  <si>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</si>
  <si>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</si>
  <si>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</si>
  <si>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</si>
  <si>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</si>
  <si>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</si>
  <si>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</si>
  <si>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</si>
  <si>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</si>
  <si>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</si>
  <si>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</si>
  <si>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</si>
  <si>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</si>
  <si>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</si>
  <si>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</si>
  <si>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</si>
  <si>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</si>
  <si>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</si>
  <si>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</si>
  <si>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</si>
  <si>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</si>
  <si>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</si>
  <si>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</si>
  <si>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</si>
  <si>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</si>
  <si>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</si>
  <si>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</si>
  <si>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</si>
  <si>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</si>
  <si>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</si>
  <si>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</si>
  <si>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</si>
  <si>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</si>
  <si>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</si>
  <si>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</si>
  <si>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</si>
  <si>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</si>
  <si>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</si>
  <si>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</si>
  <si>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</si>
  <si>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</si>
  <si>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</si>
  <si>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</si>
  <si>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</si>
  <si>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</si>
  <si>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</si>
  <si>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</si>
  <si>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</si>
  <si>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</si>
  <si>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</si>
  <si>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</si>
  <si>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</si>
  <si>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</si>
  <si>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</si>
  <si>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</si>
  <si>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</si>
  <si>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</si>
  <si>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</si>
  <si>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</si>
  <si>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</si>
  <si>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</si>
  <si>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</si>
  <si>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</si>
  <si>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</si>
  <si>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</si>
  <si>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</si>
  <si>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</si>
  <si>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</si>
  <si>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</si>
  <si>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</si>
  <si>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</si>
  <si>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</si>
  <si>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</si>
  <si>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</si>
  <si>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</si>
  <si>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</si>
  <si>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</si>
  <si>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</si>
  <si>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</si>
  <si>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</si>
  <si>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</si>
  <si>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</si>
  <si>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</si>
  <si>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</si>
  <si>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</si>
  <si>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</si>
  <si>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</si>
  <si>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</si>
  <si>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</si>
  <si>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</si>
  <si>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</si>
  <si>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</si>
  <si>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</si>
  <si>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</si>
  <si>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</si>
  <si>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</si>
  <si>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</si>
  <si>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</si>
  <si>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</si>
  <si>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</si>
  <si>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</si>
  <si>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</si>
  <si>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</si>
  <si>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</si>
  <si>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</si>
  <si>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</si>
  <si>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</si>
  <si>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</si>
  <si>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</si>
  <si>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</si>
  <si>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</si>
  <si>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</si>
  <si>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</si>
  <si>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</si>
  <si>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</si>
  <si>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</si>
  <si>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</si>
  <si>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</si>
  <si>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</si>
  <si>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</si>
  <si>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</si>
  <si>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</si>
  <si>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</si>
  <si>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</si>
  <si>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</si>
  <si>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</si>
  <si>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</si>
  <si>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</si>
  <si>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</si>
  <si>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</si>
  <si>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</si>
  <si>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</si>
  <si>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</si>
  <si>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</si>
  <si>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</si>
  <si>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</si>
  <si>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</si>
  <si>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</si>
  <si>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</si>
  <si>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</si>
  <si>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</si>
  <si>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</si>
  <si>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</si>
  <si>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</si>
  <si>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</si>
  <si>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</si>
  <si>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</si>
  <si>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</si>
  <si>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</si>
  <si>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</si>
  <si>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</si>
  <si>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</si>
  <si>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</si>
  <si>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</si>
  <si>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</si>
  <si>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</si>
  <si>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</si>
  <si>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</si>
  <si>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</si>
  <si>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</si>
  <si>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</si>
  <si>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</si>
  <si>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</si>
  <si>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</si>
  <si>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</si>
  <si>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</si>
  <si>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</si>
  <si>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</si>
  <si>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</si>
  <si>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</si>
  <si>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</si>
  <si>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</si>
  <si>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</si>
  <si>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</si>
  <si>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</si>
  <si>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</si>
  <si>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</si>
  <si>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</si>
  <si>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</si>
  <si>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</si>
  <si>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</si>
  <si>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</si>
  <si>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</si>
  <si>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</si>
  <si>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</si>
  <si>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</si>
  <si>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</si>
  <si>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</si>
  <si>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</si>
  <si>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</si>
  <si>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</si>
  <si>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</si>
  <si>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</si>
  <si>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</si>
  <si>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</si>
  <si>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</si>
  <si>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</si>
  <si>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</si>
  <si>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</si>
  <si>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</si>
  <si>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</si>
  <si>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</si>
  <si>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</si>
  <si>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</si>
  <si>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</si>
  <si>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</si>
  <si>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</si>
  <si>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</si>
  <si>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</si>
  <si>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</si>
  <si>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</si>
  <si>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</si>
  <si>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</si>
  <si>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</si>
  <si>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</si>
  <si>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</si>
  <si>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</si>
  <si>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</si>
  <si>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</si>
  <si>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</si>
  <si>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</si>
  <si>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</si>
  <si>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</si>
  <si>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</si>
  <si>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</si>
  <si>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</si>
  <si>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</si>
  <si>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</si>
  <si>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</si>
  <si>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</si>
  <si>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</si>
  <si>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</si>
  <si>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</si>
  <si>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</si>
  <si>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</si>
  <si>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</si>
  <si>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</si>
  <si>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</si>
  <si>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</si>
  <si>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</si>
  <si>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</si>
  <si>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</si>
  <si>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</si>
  <si>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</si>
  <si>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</si>
  <si>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</si>
  <si>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</si>
  <si>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</si>
  <si>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</si>
  <si>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</si>
  <si>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</si>
  <si>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</si>
  <si>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</si>
  <si>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</si>
  <si>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</si>
  <si>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</si>
  <si>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</si>
  <si>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</si>
  <si>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</si>
  <si>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</si>
  <si>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</si>
  <si>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</si>
  <si>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</si>
  <si>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</si>
  <si>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</si>
  <si>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</si>
  <si>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</si>
  <si>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</si>
  <si>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</si>
  <si>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</si>
  <si>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</si>
  <si>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</si>
  <si>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</si>
  <si>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</si>
  <si>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</si>
  <si>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</si>
  <si>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</si>
  <si>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</si>
  <si>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</si>
  <si>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</si>
  <si>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</si>
  <si>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</si>
  <si>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</si>
  <si>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</si>
  <si>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</si>
  <si>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</si>
  <si>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</si>
  <si>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</si>
  <si>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</si>
  <si>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</si>
  <si>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</si>
  <si>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</si>
  <si>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</si>
  <si>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</si>
  <si>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</si>
  <si>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</si>
  <si>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</si>
  <si>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</si>
  <si>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</si>
  <si>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</si>
  <si>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</si>
  <si>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</si>
  <si>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</si>
  <si>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</si>
  <si>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</si>
  <si>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</si>
  <si>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</si>
  <si>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</si>
  <si>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</si>
  <si>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</si>
  <si>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</si>
  <si>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</si>
  <si>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</si>
  <si>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</si>
  <si>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</si>
  <si>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</si>
  <si>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</si>
  <si>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</si>
  <si>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</si>
  <si>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</si>
  <si>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</si>
  <si>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</si>
  <si>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</si>
  <si>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</si>
  <si>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</si>
  <si>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</si>
  <si>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</si>
  <si>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</si>
  <si>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</si>
  <si>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</si>
  <si>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</si>
  <si>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</si>
  <si>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</si>
  <si>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</si>
  <si>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</si>
  <si>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</si>
  <si>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</si>
  <si>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</si>
  <si>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</si>
  <si>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</si>
  <si>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</si>
  <si>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</si>
  <si>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</si>
  <si>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</si>
  <si>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</si>
  <si>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</si>
  <si>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</si>
  <si>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</si>
  <si>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</si>
  <si>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</si>
  <si>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</si>
  <si>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</si>
  <si>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</si>
  <si>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</si>
  <si>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</si>
  <si>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</si>
  <si>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</si>
  <si>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</si>
  <si>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</si>
  <si>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</si>
  <si>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</si>
  <si>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</si>
  <si>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</si>
  <si>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</si>
  <si>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</si>
  <si>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</si>
  <si>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</si>
  <si>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</si>
  <si>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</si>
  <si>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</si>
  <si>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</si>
  <si>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</si>
  <si>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</si>
  <si>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</si>
  <si>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</si>
  <si>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</si>
  <si>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</si>
  <si>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</si>
  <si>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</si>
  <si>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</si>
  <si>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</si>
  <si>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</si>
  <si>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</si>
  <si>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</si>
  <si>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</si>
  <si>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</si>
  <si>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</si>
  <si>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</si>
  <si>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</si>
  <si>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</si>
  <si>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</si>
  <si>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</si>
  <si>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</si>
  <si>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</si>
  <si>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</si>
  <si>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</si>
  <si>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</si>
  <si>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</si>
  <si>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</si>
  <si>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</si>
  <si>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</si>
  <si>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</si>
  <si>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</si>
  <si>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</si>
  <si>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</si>
  <si>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</si>
  <si>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</si>
  <si>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</si>
  <si>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</si>
  <si>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</si>
  <si>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</si>
  <si>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</si>
  <si>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</si>
  <si>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</si>
  <si>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</si>
  <si>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</si>
  <si>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</si>
  <si>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</si>
  <si>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</si>
  <si>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</si>
  <si>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</si>
  <si>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</si>
  <si>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</si>
  <si>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</si>
  <si>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</si>
  <si>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</si>
  <si>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</si>
  <si>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</si>
  <si>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</si>
  <si>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</si>
  <si>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</si>
  <si>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</si>
  <si>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</si>
  <si>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</si>
  <si>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</si>
  <si>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</si>
  <si>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</si>
  <si>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</si>
  <si>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</si>
  <si>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</si>
  <si>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</si>
  <si>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</si>
  <si>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</si>
  <si>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</si>
  <si>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</si>
  <si>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</si>
  <si>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</si>
  <si>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</si>
  <si>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</si>
  <si>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</si>
  <si>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</si>
  <si>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</si>
  <si>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</si>
  <si>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</si>
  <si>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</si>
  <si>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</si>
  <si>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</si>
  <si>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</si>
  <si>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</si>
  <si>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</si>
  <si>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</si>
  <si>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</si>
  <si>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</si>
  <si>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</si>
  <si>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</si>
  <si>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</si>
  <si>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</si>
  <si>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</si>
  <si>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</si>
  <si>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</si>
  <si>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</si>
  <si>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</si>
  <si>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</si>
  <si>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</si>
  <si>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</si>
  <si>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</si>
  <si>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</si>
  <si>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</si>
  <si>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</si>
  <si>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</si>
  <si>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</si>
  <si>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</si>
  <si>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Body Diode Forward Voltage, V</t>
    </r>
    <r>
      <rPr>
        <b/>
        <vertAlign val="subscript"/>
        <sz val="10"/>
        <rFont val="Arial"/>
        <family val="2"/>
      </rPr>
      <t>BD2</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</si>
  <si>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</si>
  <si>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</si>
  <si>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</si>
  <si>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</si>
  <si>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</si>
  <si>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</si>
  <si>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</si>
  <si>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</si>
  <si>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</si>
  <si>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</si>
  <si>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</si>
  <si>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</si>
  <si>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</si>
  <si>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</si>
  <si>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</si>
  <si>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</si>
  <si>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</si>
  <si>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</si>
  <si>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</si>
  <si>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</si>
  <si>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</si>
  <si>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</si>
  <si>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</si>
  <si>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</si>
  <si>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</si>
  <si>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</si>
  <si>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</si>
  <si>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</si>
  <si>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</si>
  <si>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</si>
  <si>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</si>
  <si>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</si>
  <si>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</si>
  <si>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</si>
  <si>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</si>
  <si>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</si>
  <si>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</si>
  <si>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</si>
  <si>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</si>
  <si>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</si>
  <si>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</si>
  <si>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</si>
  <si>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</si>
  <si>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</si>
  <si>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</si>
  <si>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</si>
  <si>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</si>
  <si>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</si>
  <si>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</si>
  <si>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</si>
  <si>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</si>
  <si>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</si>
  <si>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</si>
  <si>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</si>
  <si>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</si>
  <si>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</si>
  <si>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</si>
  <si>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</si>
  <si>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</si>
  <si>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</si>
  <si>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</si>
  <si>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</si>
  <si>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</si>
  <si>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</si>
  <si>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</si>
  <si>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</si>
  <si>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</si>
  <si>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</si>
  <si>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</si>
  <si>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</si>
  <si>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</si>
  <si>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</si>
  <si>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</si>
  <si>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</si>
  <si>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</si>
  <si>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</si>
  <si>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</si>
  <si>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</si>
  <si>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</si>
  <si>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</si>
  <si>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</si>
  <si>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</si>
  <si>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</si>
  <si>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</si>
  <si>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</si>
  <si>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</si>
  <si>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</si>
  <si>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</si>
  <si>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</si>
  <si>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</si>
  <si>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</si>
  <si>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</si>
  <si>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</si>
  <si>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</si>
  <si>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</si>
  <si>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</si>
  <si>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</si>
  <si>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</si>
  <si>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</si>
  <si>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</si>
  <si>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</si>
  <si>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</si>
  <si>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</si>
  <si>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</si>
  <si>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</si>
  <si>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</si>
  <si>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</si>
  <si>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</si>
  <si>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</si>
  <si>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</si>
  <si>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</si>
  <si>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</si>
  <si>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</si>
  <si>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</si>
  <si>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</si>
  <si>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</si>
  <si>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</si>
  <si>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</si>
  <si>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</si>
  <si>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</si>
  <si>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</si>
  <si>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</si>
  <si>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</si>
  <si>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</si>
  <si>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</si>
  <si>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</si>
  <si>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</si>
  <si>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</si>
  <si>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</si>
  <si>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</si>
  <si>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</si>
  <si>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</si>
  <si>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</si>
  <si>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</si>
  <si>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</si>
  <si>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</si>
  <si>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</si>
  <si>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</si>
  <si>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</si>
  <si>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</si>
  <si>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</si>
  <si>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</si>
  <si>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</si>
  <si>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</si>
  <si>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</si>
  <si>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</si>
  <si>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</si>
  <si>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</si>
  <si>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</si>
  <si>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</si>
  <si>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</si>
  <si>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</si>
  <si>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</si>
  <si>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</si>
  <si>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</si>
  <si>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</si>
  <si>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</si>
  <si>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</si>
  <si>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</si>
  <si>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</si>
  <si>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</si>
  <si>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</si>
  <si>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</si>
  <si>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</si>
  <si>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</si>
  <si>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</si>
  <si>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</si>
  <si>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</si>
  <si>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</si>
  <si>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</si>
  <si>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</si>
  <si>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</si>
  <si>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</si>
  <si>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Pole &amp; Zero Placement</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</si>
  <si>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</si>
  <si>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</si>
  <si>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</si>
  <si>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</si>
  <si>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</si>
  <si>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</si>
  <si>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</si>
  <si>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</si>
  <si>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</si>
  <si>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</si>
  <si>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</si>
  <si>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</si>
  <si>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</si>
  <si>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</si>
  <si>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</si>
  <si>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</si>
  <si>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</si>
  <si>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</si>
  <si>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</si>
  <si>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</si>
  <si>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</si>
  <si>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</si>
  <si>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</si>
  <si>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</si>
  <si>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</si>
  <si>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</si>
  <si>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</si>
  <si>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</si>
  <si>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</si>
  <si>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</si>
  <si>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</si>
  <si>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</si>
  <si>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</si>
  <si>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</si>
  <si>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r>
      <t>Estimate Core Loss at V</t>
    </r>
    <r>
      <rPr>
        <b/>
        <vertAlign val="subscript"/>
        <sz val="10"/>
        <rFont val="Arial"/>
        <family val="2"/>
      </rPr>
      <t>IN(nom)</t>
    </r>
  </si>
  <si>
    <t>CSD19538Q3A</t>
  </si>
  <si>
    <t>NVMFS6B14NL</t>
  </si>
  <si>
    <r>
      <t>Inductance, L</t>
    </r>
    <r>
      <rPr>
        <b/>
        <vertAlign val="subscript"/>
        <sz val="10"/>
        <color theme="1"/>
        <rFont val="Arial"/>
        <family val="2"/>
      </rPr>
      <t>O</t>
    </r>
    <r>
      <rPr>
        <b/>
        <sz val="10"/>
        <color theme="1"/>
        <rFont val="Arial"/>
        <family val="2"/>
      </rPr>
      <t xml:space="preserve"> </t>
    </r>
  </si>
  <si>
    <r>
      <t>L</t>
    </r>
    <r>
      <rPr>
        <vertAlign val="subscript"/>
        <sz val="10"/>
        <rFont val="Arial"/>
        <family val="2"/>
      </rPr>
      <t>O</t>
    </r>
  </si>
  <si>
    <r>
      <t>mV</t>
    </r>
    <r>
      <rPr>
        <vertAlign val="subscript"/>
        <sz val="10"/>
        <rFont val="Arial"/>
        <family val="2"/>
      </rPr>
      <t>PK-PK</t>
    </r>
  </si>
  <si>
    <r>
      <t>A</t>
    </r>
    <r>
      <rPr>
        <vertAlign val="subscript"/>
        <sz val="10"/>
        <rFont val="Arial"/>
        <family val="2"/>
      </rPr>
      <t>RMS</t>
    </r>
  </si>
  <si>
    <r>
      <t>A</t>
    </r>
    <r>
      <rPr>
        <vertAlign val="subscript"/>
        <sz val="10"/>
        <rFont val="Arial"/>
        <family val="2"/>
      </rPr>
      <t>PK-PK</t>
    </r>
  </si>
  <si>
    <r>
      <t>mV</t>
    </r>
    <r>
      <rPr>
        <b/>
        <vertAlign val="subscript"/>
        <sz val="10"/>
        <rFont val="Arial"/>
        <family val="2"/>
      </rPr>
      <t>PK-PK</t>
    </r>
  </si>
  <si>
    <t xml:space="preserve"> or VCC for diode emulation or FPWM modes, respectively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</si>
</sst>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_(* #,##0.00_);_(* \(#,##0.00\);_(* &quot;-&quot;??_);_(@_)"/>
    <numFmt numFmtId="165" formatCode="0.00000"/>
    <numFmt numFmtId="166" formatCode="0.0000"/>
    <numFmt numFmtId="167" formatCode="0.000"/>
    <numFmt numFmtId="168" formatCode="0.0"/>
    <numFmt numFmtId="169" formatCode="0.000E+00"/>
    <numFmt numFmtId="170" formatCode="0.00000000"/>
    <numFmt numFmtId="171" formatCode="0.000000000"/>
    <numFmt numFmtId="172" formatCode="#0.0#"/>
    <numFmt numFmtId="173" formatCode="General&quot;nF&quot;"/>
    <numFmt numFmtId="174" formatCode="General&quot;k&quot;"/>
    <numFmt numFmtId="175" formatCode="General&quot;pF&quot;"/>
    <numFmt numFmtId="176" formatCode="General&quot;µF&quot;"/>
    <numFmt numFmtId="177" formatCode="General&quot;µH&quot;"/>
    <numFmt numFmtId="178" formatCode="&quot;MOSFET, N-CH, 100V, &quot;General&quot;mΩ&quot;"/>
    <numFmt numFmtId="179" formatCode="General&quot;mΩ&quot;"/>
    <numFmt numFmtId="180" formatCode="&quot;Capacitor, Ceramic, &quot;General&quot;pF, 50V, NP0, 5%&quot;"/>
    <numFmt numFmtId="181" formatCode="&quot;Capacitor, Ceramic, &quot;General&quot;pF, 16V, X7R, 10%&quot;"/>
    <numFmt numFmtId="182" formatCode="&quot;Capacitor, Ceramic, &quot;General&quot;µF, 25V, X7R, 20%&quot;"/>
    <numFmt numFmtId="183" formatCode="&quot;Capacitor, Ceramic, &quot;General&quot;nF, 16V, X7R, 10%&quot;"/>
    <numFmt numFmtId="184" formatCode="&quot;Capacitor, Ceramic, &quot;General&quot;µF, 50V, X7R, 20%&quot;"/>
    <numFmt numFmtId="185" formatCode="&quot;Resistor, Chip, &quot;General&quot;kΩ, 1/16W, 1%&quot;"/>
    <numFmt numFmtId="186" formatCode="&quot;Resistor, Chip, &quot;General&quot;Ω, 1/16W, 1%&quot;"/>
    <numFmt numFmtId="187" formatCode="&quot;Resistor, &quot;General&quot;mΩ, 1/4W, 1%&quot;"/>
    <numFmt numFmtId="188" formatCode="&quot;MOSFET, N-CH, 80V/100V, &quot;General&quot;mΩ&quot;"/>
  </numFmts>
  <fonts count="106"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sz val="36"/>
      <color rgb="FFFF0000"/>
      <name val="Arial"/>
      <family val="2"/>
    </font>
    <font>
      <sz val="16"/>
      <color theme="0"/>
      <name val="Arial"/>
      <family val="2"/>
    </font>
    <font>
      <sz val="28"/>
      <color theme="0"/>
      <name val="Arial"/>
      <family val="2"/>
    </font>
    <font>
      <sz val="10"/>
      <name val="Arial"/>
      <family val="2"/>
    </font>
    <font>
      <b/>
      <sz val="9"/>
      <color rgb="FF000000"/>
      <name val="Arial"/>
      <family val="2"/>
      <charset val="162"/>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64" fontId="1" fillId="0" borderId="0" applyFont="0" applyFill="0" applyBorder="0" applyAlignment="0" applyProtection="0"/>
    <xf numFmtId="164" fontId="104"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69"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69"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69"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72" fontId="21" fillId="0" borderId="0" xfId="0" applyNumberFormat="1" applyFont="1" applyAlignment="1">
      <alignment horizontal="center"/>
    </xf>
    <xf numFmtId="172" fontId="8" fillId="0" borderId="0" xfId="0" applyNumberFormat="1" applyFont="1" applyAlignment="1">
      <alignment horizontal="center"/>
    </xf>
    <xf numFmtId="172" fontId="8" fillId="0" borderId="0" xfId="0" applyNumberFormat="1" applyFont="1" applyAlignment="1" applyProtection="1">
      <alignment horizontal="center"/>
      <protection locked="0"/>
    </xf>
    <xf numFmtId="11" fontId="7" fillId="0" borderId="0" xfId="0" applyNumberFormat="1" applyFont="1"/>
    <xf numFmtId="172" fontId="0" fillId="0" borderId="0" xfId="0" applyNumberFormat="1"/>
    <xf numFmtId="0" fontId="0" fillId="12" borderId="0" xfId="0" applyFill="1"/>
    <xf numFmtId="168"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69"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69"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72" fontId="18" fillId="3" borderId="0" xfId="0" applyNumberFormat="1" applyFont="1" applyFill="1" applyAlignment="1">
      <alignment horizontal="center"/>
    </xf>
    <xf numFmtId="172"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68" fontId="0" fillId="13" borderId="32" xfId="0" applyNumberFormat="1" applyFill="1" applyBorder="1"/>
    <xf numFmtId="0" fontId="7" fillId="0" borderId="31" xfId="0" applyFont="1" applyBorder="1"/>
    <xf numFmtId="0" fontId="0" fillId="4" borderId="32" xfId="0" applyFill="1" applyBorder="1"/>
    <xf numFmtId="171"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67" fontId="18" fillId="10" borderId="0" xfId="0" applyNumberFormat="1" applyFont="1" applyFill="1"/>
    <xf numFmtId="170" fontId="18" fillId="10" borderId="0" xfId="0" applyNumberFormat="1" applyFont="1" applyFill="1"/>
    <xf numFmtId="166" fontId="18" fillId="10" borderId="0" xfId="0" applyNumberFormat="1" applyFont="1" applyFill="1"/>
    <xf numFmtId="2" fontId="7" fillId="4" borderId="0" xfId="0" applyNumberFormat="1" applyFont="1" applyFill="1"/>
    <xf numFmtId="168" fontId="0" fillId="13" borderId="0" xfId="0" applyNumberFormat="1" applyFill="1"/>
    <xf numFmtId="0" fontId="11" fillId="0" borderId="0" xfId="1" applyAlignment="1" applyProtection="1"/>
    <xf numFmtId="2" fontId="31" fillId="13" borderId="0" xfId="0" applyNumberFormat="1" applyFont="1" applyFill="1"/>
    <xf numFmtId="167"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68"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68" fontId="7" fillId="10" borderId="0" xfId="0" applyNumberFormat="1" applyFont="1" applyFill="1"/>
    <xf numFmtId="0" fontId="7" fillId="10" borderId="0" xfId="0" applyFont="1" applyFill="1"/>
    <xf numFmtId="168" fontId="3" fillId="19" borderId="0" xfId="0" applyNumberFormat="1" applyFont="1" applyFill="1" applyAlignment="1">
      <alignment horizontal="right" vertical="center"/>
    </xf>
    <xf numFmtId="168"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68"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68"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68"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68"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68" fontId="3" fillId="10" borderId="44" xfId="0" applyNumberFormat="1" applyFont="1" applyFill="1" applyBorder="1" applyAlignment="1">
      <alignment horizontal="right"/>
    </xf>
    <xf numFmtId="168"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68"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68" fontId="3" fillId="19" borderId="42" xfId="0" applyNumberFormat="1" applyFont="1" applyFill="1" applyBorder="1" applyAlignment="1">
      <alignment horizontal="right" vertical="center"/>
    </xf>
    <xf numFmtId="168"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72" fontId="18" fillId="21" borderId="0" xfId="0" applyNumberFormat="1" applyFont="1" applyFill="1" applyAlignment="1">
      <alignment horizontal="center"/>
    </xf>
    <xf numFmtId="0" fontId="18" fillId="21" borderId="0" xfId="0" applyFont="1" applyFill="1"/>
    <xf numFmtId="172"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72" fontId="71" fillId="21" borderId="0" xfId="0" applyNumberFormat="1" applyFont="1" applyFill="1" applyAlignment="1">
      <alignment horizontal="center"/>
    </xf>
    <xf numFmtId="0" fontId="71" fillId="21" borderId="0" xfId="0" applyFont="1" applyFill="1"/>
    <xf numFmtId="172"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68" fontId="69" fillId="10" borderId="46" xfId="0" applyNumberFormat="1" applyFont="1" applyFill="1" applyBorder="1" applyAlignment="1">
      <alignment horizontal="center" vertical="center"/>
    </xf>
    <xf numFmtId="168"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74"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74"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76"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75"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76" fontId="2" fillId="19" borderId="11" xfId="2" applyNumberFormat="1" applyFill="1" applyBorder="1" applyAlignment="1">
      <alignment horizontal="center" vertical="center"/>
    </xf>
    <xf numFmtId="176"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77"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68"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72" fontId="18" fillId="25" borderId="46" xfId="0" applyNumberFormat="1" applyFont="1" applyFill="1" applyBorder="1" applyAlignment="1">
      <alignment horizontal="center"/>
    </xf>
    <xf numFmtId="0" fontId="18" fillId="25" borderId="0" xfId="0" applyFont="1" applyFill="1"/>
    <xf numFmtId="172" fontId="18" fillId="25" borderId="0" xfId="0" applyNumberFormat="1" applyFont="1" applyFill="1" applyAlignment="1">
      <alignment horizontal="center"/>
    </xf>
    <xf numFmtId="172" fontId="71" fillId="25" borderId="0" xfId="0" applyNumberFormat="1" applyFont="1" applyFill="1" applyAlignment="1">
      <alignment horizontal="center"/>
    </xf>
    <xf numFmtId="172"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67"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67" fontId="7" fillId="13" borderId="2" xfId="0" applyNumberFormat="1" applyFont="1" applyFill="1" applyBorder="1"/>
    <xf numFmtId="166" fontId="7" fillId="13" borderId="0" xfId="0" applyNumberFormat="1" applyFont="1" applyFill="1"/>
    <xf numFmtId="167" fontId="7" fillId="13" borderId="0" xfId="0" applyNumberFormat="1" applyFont="1" applyFill="1"/>
    <xf numFmtId="0" fontId="7" fillId="0" borderId="56" xfId="0" applyFont="1" applyBorder="1"/>
    <xf numFmtId="0" fontId="3" fillId="13" borderId="0" xfId="0" applyFont="1" applyFill="1" applyAlignment="1">
      <alignment horizontal="right"/>
    </xf>
    <xf numFmtId="168" fontId="0" fillId="4" borderId="0" xfId="0" applyNumberFormat="1" applyFill="1"/>
    <xf numFmtId="167"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68"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66" fontId="0" fillId="0" borderId="0" xfId="0" applyNumberFormat="1"/>
    <xf numFmtId="167" fontId="0" fillId="0" borderId="0" xfId="0" applyNumberFormat="1"/>
    <xf numFmtId="166" fontId="0" fillId="0" borderId="0" xfId="0" applyNumberFormat="1" applyAlignment="1">
      <alignment horizontal="left" indent="1"/>
    </xf>
    <xf numFmtId="167" fontId="16" fillId="7" borderId="0" xfId="0" applyNumberFormat="1" applyFont="1" applyFill="1"/>
    <xf numFmtId="167" fontId="8" fillId="0" borderId="0" xfId="0" applyNumberFormat="1" applyFont="1"/>
    <xf numFmtId="168" fontId="16" fillId="0" borderId="0" xfId="0" applyNumberFormat="1" applyFont="1"/>
    <xf numFmtId="165" fontId="0" fillId="0" borderId="0" xfId="0" applyNumberFormat="1"/>
    <xf numFmtId="165"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78" fontId="2" fillId="19" borderId="8" xfId="2" applyNumberFormat="1" applyFill="1" applyBorder="1" applyAlignment="1">
      <alignment horizontal="left" vertical="center"/>
    </xf>
    <xf numFmtId="178" fontId="2" fillId="19" borderId="9" xfId="2" applyNumberFormat="1" applyFill="1" applyBorder="1" applyAlignment="1">
      <alignment horizontal="left" vertical="center"/>
    </xf>
    <xf numFmtId="178"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68"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68"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68" fontId="88" fillId="0" borderId="0" xfId="2" applyNumberFormat="1" applyFont="1" applyAlignment="1">
      <alignment horizontal="right" vertical="center"/>
    </xf>
    <xf numFmtId="0" fontId="88" fillId="10" borderId="0" xfId="2" applyFont="1" applyFill="1" applyAlignment="1">
      <alignment horizontal="left"/>
    </xf>
    <xf numFmtId="166" fontId="88" fillId="10" borderId="0" xfId="2" applyNumberFormat="1" applyFont="1" applyFill="1" applyAlignment="1">
      <alignment vertical="center"/>
    </xf>
    <xf numFmtId="165" fontId="0" fillId="4" borderId="32" xfId="0" applyNumberFormat="1" applyFill="1" applyBorder="1"/>
    <xf numFmtId="165" fontId="0" fillId="13" borderId="2" xfId="0" applyNumberFormat="1" applyFill="1" applyBorder="1"/>
    <xf numFmtId="173"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68" fontId="2" fillId="19" borderId="11" xfId="2" applyNumberFormat="1" applyFill="1" applyBorder="1" applyAlignment="1">
      <alignment horizontal="center" vertical="center"/>
    </xf>
    <xf numFmtId="167"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68" fontId="2" fillId="10" borderId="42" xfId="0" applyNumberFormat="1" applyFont="1" applyFill="1" applyBorder="1"/>
    <xf numFmtId="0" fontId="3" fillId="0" borderId="56" xfId="0" applyFont="1" applyBorder="1"/>
    <xf numFmtId="167"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79" fontId="2" fillId="19" borderId="11" xfId="2" applyNumberFormat="1" applyFill="1" applyBorder="1" applyAlignment="1">
      <alignment horizontal="center" vertical="center"/>
    </xf>
    <xf numFmtId="166" fontId="0" fillId="0" borderId="11" xfId="0" applyNumberFormat="1" applyBorder="1"/>
    <xf numFmtId="165"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67"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2" fillId="21" borderId="0" xfId="2" applyFont="1" applyFill="1"/>
    <xf numFmtId="0" fontId="102" fillId="21" borderId="0" xfId="2" applyFont="1" applyFill="1" applyAlignment="1">
      <alignment horizontal="center" vertical="center"/>
    </xf>
    <xf numFmtId="0" fontId="102"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68"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3" fillId="19" borderId="0" xfId="0" applyFont="1" applyFill="1" applyProtection="1">
      <protection locked="0"/>
    </xf>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3" fillId="20" borderId="44" xfId="0" applyFont="1" applyFill="1" applyBorder="1" applyAlignment="1">
      <alignment horizontal="left" vertical="center"/>
    </xf>
    <xf numFmtId="0" fontId="103" fillId="20" borderId="42" xfId="0" applyFon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85" fontId="2" fillId="19" borderId="8" xfId="2" applyNumberFormat="1" applyFill="1" applyBorder="1" applyAlignment="1">
      <alignment horizontal="left" vertical="center"/>
    </xf>
    <xf numFmtId="185" fontId="2" fillId="19" borderId="9" xfId="2" applyNumberFormat="1" applyFill="1" applyBorder="1" applyAlignment="1">
      <alignment horizontal="left" vertical="center"/>
    </xf>
    <xf numFmtId="185" fontId="2" fillId="19" borderId="15" xfId="2" applyNumberFormat="1" applyFill="1" applyBorder="1" applyAlignment="1">
      <alignment horizontal="left" vertical="center"/>
    </xf>
    <xf numFmtId="185" fontId="2" fillId="24" borderId="8" xfId="2" applyNumberFormat="1" applyFill="1" applyBorder="1" applyAlignment="1">
      <alignment horizontal="left" vertical="center"/>
    </xf>
    <xf numFmtId="185" fontId="2" fillId="24" borderId="9" xfId="2" applyNumberFormat="1" applyFill="1" applyBorder="1" applyAlignment="1">
      <alignment horizontal="left" vertical="center"/>
    </xf>
    <xf numFmtId="185" fontId="2" fillId="24" borderId="15" xfId="2" applyNumberFormat="1" applyFill="1" applyBorder="1" applyAlignment="1">
      <alignment horizontal="left" vertical="center"/>
    </xf>
    <xf numFmtId="188" fontId="2" fillId="19" borderId="8" xfId="2" applyNumberFormat="1" applyFill="1" applyBorder="1" applyAlignment="1">
      <alignment horizontal="left" vertical="center"/>
    </xf>
    <xf numFmtId="188" fontId="2" fillId="19" borderId="9" xfId="2" applyNumberFormat="1" applyFill="1" applyBorder="1" applyAlignment="1">
      <alignment horizontal="left" vertical="center"/>
    </xf>
    <xf numFmtId="188" fontId="2" fillId="19" borderId="15" xfId="2" applyNumberFormat="1" applyFill="1" applyBorder="1" applyAlignment="1">
      <alignment horizontal="left" vertical="center"/>
    </xf>
    <xf numFmtId="186" fontId="2" fillId="19" borderId="8" xfId="2" applyNumberFormat="1" applyFill="1" applyBorder="1" applyAlignment="1">
      <alignment horizontal="left" vertical="center"/>
    </xf>
    <xf numFmtId="186" fontId="2" fillId="19" borderId="9" xfId="2" applyNumberFormat="1" applyFill="1" applyBorder="1" applyAlignment="1">
      <alignment horizontal="left" vertical="center"/>
    </xf>
    <xf numFmtId="186" fontId="2" fillId="19" borderId="15" xfId="2" applyNumberFormat="1" applyFill="1" applyBorder="1" applyAlignment="1">
      <alignment horizontal="left" vertical="center"/>
    </xf>
    <xf numFmtId="187" fontId="2" fillId="19" borderId="8" xfId="2" applyNumberFormat="1" applyFill="1" applyBorder="1" applyAlignment="1">
      <alignment horizontal="left" vertical="center"/>
    </xf>
    <xf numFmtId="187" fontId="2" fillId="19" borderId="9" xfId="2" applyNumberFormat="1" applyFill="1" applyBorder="1" applyAlignment="1">
      <alignment horizontal="left" vertical="center"/>
    </xf>
    <xf numFmtId="187" fontId="2" fillId="19" borderId="15" xfId="2" applyNumberFormat="1" applyFill="1" applyBorder="1" applyAlignment="1">
      <alignment horizontal="left" vertical="center"/>
    </xf>
    <xf numFmtId="182" fontId="2" fillId="10" borderId="8" xfId="2" applyNumberFormat="1" applyFill="1" applyBorder="1" applyAlignment="1">
      <alignment horizontal="left" vertical="center"/>
    </xf>
    <xf numFmtId="182" fontId="2" fillId="10" borderId="9" xfId="2" applyNumberFormat="1" applyFill="1" applyBorder="1" applyAlignment="1">
      <alignment horizontal="left" vertical="center"/>
    </xf>
    <xf numFmtId="181" fontId="2" fillId="23" borderId="8" xfId="2" applyNumberFormat="1" applyFill="1" applyBorder="1" applyAlignment="1">
      <alignment horizontal="left" vertical="center"/>
    </xf>
    <xf numFmtId="181" fontId="2" fillId="23" borderId="9" xfId="2" applyNumberFormat="1" applyFill="1" applyBorder="1" applyAlignment="1">
      <alignment horizontal="left" vertical="center"/>
    </xf>
    <xf numFmtId="180" fontId="2" fillId="23" borderId="8" xfId="2" applyNumberFormat="1" applyFill="1" applyBorder="1" applyAlignment="1">
      <alignment horizontal="left" vertical="center"/>
    </xf>
    <xf numFmtId="180" fontId="2" fillId="23"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82" fontId="2" fillId="19" borderId="8" xfId="2" applyNumberFormat="1" applyFill="1" applyBorder="1" applyAlignment="1">
      <alignment horizontal="left" vertical="center"/>
    </xf>
    <xf numFmtId="182" fontId="2" fillId="19" borderId="9"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186" fontId="2" fillId="24" borderId="8" xfId="2" applyNumberFormat="1" applyFill="1" applyBorder="1" applyAlignment="1">
      <alignment horizontal="left" vertical="center"/>
    </xf>
    <xf numFmtId="186" fontId="2" fillId="24" borderId="9" xfId="2" applyNumberFormat="1" applyFill="1" applyBorder="1" applyAlignment="1">
      <alignment horizontal="left" vertical="center"/>
    </xf>
    <xf numFmtId="186" fontId="2" fillId="24" borderId="15" xfId="2" applyNumberFormat="1" applyFill="1" applyBorder="1" applyAlignment="1">
      <alignment horizontal="left" vertical="center"/>
    </xf>
    <xf numFmtId="0" fontId="88" fillId="10" borderId="0" xfId="2" applyFont="1" applyFill="1" applyAlignment="1">
      <alignment horizontal="right" wrapText="1"/>
    </xf>
    <xf numFmtId="0" fontId="2" fillId="23" borderId="15" xfId="2" applyFill="1" applyBorder="1" applyAlignment="1">
      <alignment horizontal="left" vertical="center"/>
    </xf>
    <xf numFmtId="183" fontId="2" fillId="19" borderId="8" xfId="2" applyNumberFormat="1" applyFill="1" applyBorder="1" applyAlignment="1">
      <alignment horizontal="left" vertical="center"/>
    </xf>
    <xf numFmtId="183" fontId="2" fillId="19" borderId="9" xfId="2" applyNumberFormat="1" applyFill="1" applyBorder="1" applyAlignment="1">
      <alignment horizontal="left" vertical="center"/>
    </xf>
    <xf numFmtId="184" fontId="2" fillId="19" borderId="8" xfId="2" applyNumberFormat="1" applyFill="1" applyBorder="1" applyAlignment="1">
      <alignment horizontal="left" vertical="center"/>
    </xf>
    <xf numFmtId="184" fontId="2" fillId="19" borderId="9" xfId="2" applyNumberFormat="1" applyFill="1" applyBorder="1" applyAlignment="1">
      <alignment horizontal="left" vertical="center"/>
    </xf>
    <xf numFmtId="0" fontId="101" fillId="19" borderId="56" xfId="2" applyFont="1" applyFill="1" applyBorder="1" applyAlignment="1">
      <alignment horizontal="left" vertical="center"/>
    </xf>
    <xf numFmtId="0" fontId="101"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Köprü" xfId="1" builtinId="8"/>
    <cellStyle name="Normal" xfId="0" builtinId="0"/>
    <cellStyle name="Normal 2" xfId="2" xr:uid="{00000000-0005-0000-0000-000003000000}"/>
    <cellStyle name="Normal 3" xfId="3" xr:uid="{00000000-0005-0000-0000-000004000000}"/>
    <cellStyle name="Virgül" xfId="5" builtinId="3"/>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77.825473637753618</c:v>
                </c:pt>
                <c:pt idx="1">
                  <c:v>76.000548910844984</c:v>
                </c:pt>
                <c:pt idx="2">
                  <c:v>74.03654285877127</c:v>
                </c:pt>
                <c:pt idx="3">
                  <c:v>72.248765240802399</c:v>
                </c:pt>
                <c:pt idx="4">
                  <c:v>70.683708228984045</c:v>
                </c:pt>
                <c:pt idx="5">
                  <c:v>69.317075035861308</c:v>
                </c:pt>
                <c:pt idx="6">
                  <c:v>68.114420789739569</c:v>
                </c:pt>
                <c:pt idx="7">
                  <c:v>67.045381584435646</c:v>
                </c:pt>
                <c:pt idx="8">
                  <c:v>66.085701388033641</c:v>
                </c:pt>
                <c:pt idx="9">
                  <c:v>65.216456956286336</c:v>
                </c:pt>
                <c:pt idx="10">
                  <c:v>59.34608408034012</c:v>
                </c:pt>
                <c:pt idx="11">
                  <c:v>55.852858677279457</c:v>
                </c:pt>
                <c:pt idx="12">
                  <c:v>53.364375968624174</c:v>
                </c:pt>
                <c:pt idx="13">
                  <c:v>51.431208488135873</c:v>
                </c:pt>
                <c:pt idx="14">
                  <c:v>49.850596684865145</c:v>
                </c:pt>
                <c:pt idx="15">
                  <c:v>48.513767222376487</c:v>
                </c:pt>
                <c:pt idx="16">
                  <c:v>47.355593309533944</c:v>
                </c:pt>
                <c:pt idx="17">
                  <c:v>46.333989133800856</c:v>
                </c:pt>
                <c:pt idx="18">
                  <c:v>45.420184114100152</c:v>
                </c:pt>
                <c:pt idx="19">
                  <c:v>39.414732184725231</c:v>
                </c:pt>
                <c:pt idx="20">
                  <c:v>35.915850516413187</c:v>
                </c:pt>
                <c:pt idx="21">
                  <c:v>33.448865787192737</c:v>
                </c:pt>
                <c:pt idx="22">
                  <c:v>31.551404132059041</c:v>
                </c:pt>
                <c:pt idx="23">
                  <c:v>30.01746093751628</c:v>
                </c:pt>
                <c:pt idx="24">
                  <c:v>28.737115462021489</c:v>
                </c:pt>
                <c:pt idx="25">
                  <c:v>27.644727283429273</c:v>
                </c:pt>
                <c:pt idx="26">
                  <c:v>26.697930922297619</c:v>
                </c:pt>
                <c:pt idx="27">
                  <c:v>25.867774467873758</c:v>
                </c:pt>
                <c:pt idx="28">
                  <c:v>22.899420063912657</c:v>
                </c:pt>
                <c:pt idx="29">
                  <c:v>21.160847658452873</c:v>
                </c:pt>
                <c:pt idx="30">
                  <c:v>20.179828635412662</c:v>
                </c:pt>
                <c:pt idx="31">
                  <c:v>19.743666494766945</c:v>
                </c:pt>
                <c:pt idx="32">
                  <c:v>19.741949887480235</c:v>
                </c:pt>
                <c:pt idx="33">
                  <c:v>20.118108858342495</c:v>
                </c:pt>
                <c:pt idx="34">
                  <c:v>20.852566244051264</c:v>
                </c:pt>
                <c:pt idx="35">
                  <c:v>21.958562878288475</c:v>
                </c:pt>
                <c:pt idx="36">
                  <c:v>23.483996151605169</c:v>
                </c:pt>
                <c:pt idx="37">
                  <c:v>25.507199960859886</c:v>
                </c:pt>
                <c:pt idx="38">
                  <c:v>28.049433510796369</c:v>
                </c:pt>
                <c:pt idx="39">
                  <c:v>30.470154248549388</c:v>
                </c:pt>
                <c:pt idx="40">
                  <c:v>30.392223162562445</c:v>
                </c:pt>
                <c:pt idx="41">
                  <c:v>27.729556000675007</c:v>
                </c:pt>
                <c:pt idx="42">
                  <c:v>24.869850256194294</c:v>
                </c:pt>
                <c:pt idx="43">
                  <c:v>22.480219563163175</c:v>
                </c:pt>
                <c:pt idx="44">
                  <c:v>20.524061383454143</c:v>
                </c:pt>
                <c:pt idx="45">
                  <c:v>18.895722408085284</c:v>
                </c:pt>
                <c:pt idx="46">
                  <c:v>17.512388478756755</c:v>
                </c:pt>
                <c:pt idx="47">
                  <c:v>16.315784076530147</c:v>
                </c:pt>
                <c:pt idx="48">
                  <c:v>15.264924497228986</c:v>
                </c:pt>
                <c:pt idx="49">
                  <c:v>14.330362347440921</c:v>
                </c:pt>
                <c:pt idx="50">
                  <c:v>13.490405133238268</c:v>
                </c:pt>
                <c:pt idx="51">
                  <c:v>12.728690340975717</c:v>
                </c:pt>
                <c:pt idx="52">
                  <c:v>12.032611574902569</c:v>
                </c:pt>
                <c:pt idx="53">
                  <c:v>11.392273776133008</c:v>
                </c:pt>
                <c:pt idx="54">
                  <c:v>10.799782430750337</c:v>
                </c:pt>
                <c:pt idx="55">
                  <c:v>10.248748388796523</c:v>
                </c:pt>
                <c:pt idx="56">
                  <c:v>9.7339352289178329</c:v>
                </c:pt>
                <c:pt idx="57">
                  <c:v>9.2510030669600702</c:v>
                </c:pt>
                <c:pt idx="58">
                  <c:v>8.7963190430918718</c:v>
                </c:pt>
                <c:pt idx="59">
                  <c:v>8.3668148350363332</c:v>
                </c:pt>
                <c:pt idx="60">
                  <c:v>7.9598779457333606</c:v>
                </c:pt>
                <c:pt idx="61">
                  <c:v>7.5732676531874619</c:v>
                </c:pt>
                <c:pt idx="62">
                  <c:v>7.2050492425142307</c:v>
                </c:pt>
                <c:pt idx="63">
                  <c:v>6.8535419784355938</c:v>
                </c:pt>
                <c:pt idx="64">
                  <c:v>6.5172775353833146</c:v>
                </c:pt>
                <c:pt idx="65">
                  <c:v>6.1949664788325931</c:v>
                </c:pt>
                <c:pt idx="66">
                  <c:v>5.8854710110522195</c:v>
                </c:pt>
                <c:pt idx="67">
                  <c:v>5.5877826386380338</c:v>
                </c:pt>
                <c:pt idx="68">
                  <c:v>5.3010037418236458</c:v>
                </c:pt>
                <c:pt idx="69">
                  <c:v>5.0243322627527922</c:v>
                </c:pt>
                <c:pt idx="70">
                  <c:v>4.7570489062465562</c:v>
                </c:pt>
                <c:pt idx="71">
                  <c:v>4.4985063790895889</c:v>
                </c:pt>
                <c:pt idx="72">
                  <c:v>4.2481202943733543</c:v>
                </c:pt>
                <c:pt idx="73">
                  <c:v>4.005361444384695</c:v>
                </c:pt>
                <c:pt idx="74">
                  <c:v>3.7697492049412364</c:v>
                </c:pt>
                <c:pt idx="75">
                  <c:v>3.5408458803143761</c:v>
                </c:pt>
                <c:pt idx="76">
                  <c:v>3.3182518341360865</c:v>
                </c:pt>
                <c:pt idx="77">
                  <c:v>3.1016012803137558</c:v>
                </c:pt>
                <c:pt idx="78">
                  <c:v>2.8905586307319071</c:v>
                </c:pt>
                <c:pt idx="79">
                  <c:v>2.6848153147185689</c:v>
                </c:pt>
                <c:pt idx="80">
                  <c:v>2.4840869998962152</c:v>
                </c:pt>
                <c:pt idx="81">
                  <c:v>2.2881111558822722</c:v>
                </c:pt>
                <c:pt idx="82">
                  <c:v>2.0966449119378532</c:v>
                </c:pt>
                <c:pt idx="83">
                  <c:v>1.9094631675380589</c:v>
                </c:pt>
                <c:pt idx="84">
                  <c:v>1.7263569213036987</c:v>
                </c:pt>
                <c:pt idx="85">
                  <c:v>1.5471317890697205</c:v>
                </c:pt>
                <c:pt idx="86">
                  <c:v>1.371606686286122</c:v>
                </c:pt>
                <c:pt idx="87">
                  <c:v>1.1996126536246956</c:v>
                </c:pt>
                <c:pt idx="88">
                  <c:v>1.0309918077369769</c:v>
                </c:pt>
                <c:pt idx="89">
                  <c:v>0.86559640168411567</c:v>
                </c:pt>
                <c:pt idx="90">
                  <c:v>0.70328798172620055</c:v>
                </c:pt>
                <c:pt idx="91">
                  <c:v>0.5439366289886236</c:v>
                </c:pt>
                <c:pt idx="92">
                  <c:v>0.38742027607248347</c:v>
                </c:pt>
                <c:pt idx="93">
                  <c:v>0.23362408999359779</c:v>
                </c:pt>
                <c:pt idx="94">
                  <c:v>8.2439913957260982E-2</c:v>
                </c:pt>
                <c:pt idx="95">
                  <c:v>-6.6234238564242653E-2</c:v>
                </c:pt>
                <c:pt idx="96">
                  <c:v>-0.21249464316130368</c:v>
                </c:pt>
                <c:pt idx="97">
                  <c:v>-0.35643228222638818</c:v>
                </c:pt>
                <c:pt idx="98">
                  <c:v>-0.49813322549586286</c:v>
                </c:pt>
                <c:pt idx="99">
                  <c:v>-0.6376789772600262</c:v>
                </c:pt>
                <c:pt idx="100">
                  <c:v>-0.77514679365049033</c:v>
                </c:pt>
                <c:pt idx="101">
                  <c:v>-0.91060997301791469</c:v>
                </c:pt>
                <c:pt idx="102">
                  <c:v>-1.0441381220678851</c:v>
                </c:pt>
                <c:pt idx="103">
                  <c:v>-1.175797400121994</c:v>
                </c:pt>
                <c:pt idx="104">
                  <c:v>-1.3056507436080598</c:v>
                </c:pt>
                <c:pt idx="105">
                  <c:v>-1.4337580726530734</c:v>
                </c:pt>
                <c:pt idx="106">
                  <c:v>-1.560176481450227</c:v>
                </c:pt>
                <c:pt idx="107">
                  <c:v>-1.6849604138935406</c:v>
                </c:pt>
                <c:pt idx="108">
                  <c:v>-1.8081618258169359</c:v>
                </c:pt>
                <c:pt idx="109">
                  <c:v>-1.9298303350362334</c:v>
                </c:pt>
                <c:pt idx="110">
                  <c:v>-2.050013360270261</c:v>
                </c:pt>
                <c:pt idx="111">
                  <c:v>-2.1687562499089612</c:v>
                </c:pt>
                <c:pt idx="112">
                  <c:v>-2.2861024015000515</c:v>
                </c:pt>
                <c:pt idx="113">
                  <c:v>-2.4020933727406635</c:v>
                </c:pt>
                <c:pt idx="114">
                  <c:v>-2.5167689846838592</c:v>
                </c:pt>
                <c:pt idx="115">
                  <c:v>-2.6301674178024932</c:v>
                </c:pt>
                <c:pt idx="116">
                  <c:v>-2.7423253014920945</c:v>
                </c:pt>
                <c:pt idx="117">
                  <c:v>-2.8532777975402324</c:v>
                </c:pt>
                <c:pt idx="118">
                  <c:v>-2.9630586780415062</c:v>
                </c:pt>
                <c:pt idx="119">
                  <c:v>-3.0717003981935038</c:v>
                </c:pt>
                <c:pt idx="120">
                  <c:v>-3.1792341643703126</c:v>
                </c:pt>
                <c:pt idx="121">
                  <c:v>-3.285689997834615</c:v>
                </c:pt>
                <c:pt idx="122">
                  <c:v>-3.3910967944182113</c:v>
                </c:pt>
                <c:pt idx="123">
                  <c:v>-3.4954823804717829</c:v>
                </c:pt>
                <c:pt idx="124">
                  <c:v>-3.5988735653593822</c:v>
                </c:pt>
                <c:pt idx="125">
                  <c:v>-3.7012961907495456</c:v>
                </c:pt>
                <c:pt idx="126">
                  <c:v>-3.802775176933924</c:v>
                </c:pt>
                <c:pt idx="127">
                  <c:v>-3.9033345663853791</c:v>
                </c:pt>
                <c:pt idx="128">
                  <c:v>-4.0029975647499061</c:v>
                </c:pt>
                <c:pt idx="129">
                  <c:v>-4.1017865794512076</c:v>
                </c:pt>
                <c:pt idx="130">
                  <c:v>-4.1997232560724642</c:v>
                </c:pt>
                <c:pt idx="131">
                  <c:v>-4.2968285126665959</c:v>
                </c:pt>
                <c:pt idx="132">
                  <c:v>-4.3931225721347991</c:v>
                </c:pt>
                <c:pt idx="133">
                  <c:v>-4.488624992802011</c:v>
                </c:pt>
                <c:pt idx="134">
                  <c:v>-4.5833546973083363</c:v>
                </c:pt>
                <c:pt idx="135">
                  <c:v>-4.6773299999262008</c:v>
                </c:pt>
                <c:pt idx="136">
                  <c:v>-4.7705686324051184</c:v>
                </c:pt>
                <c:pt idx="137">
                  <c:v>-4.8630877684379117</c:v>
                </c:pt>
                <c:pt idx="138">
                  <c:v>-4.954904046835817</c:v>
                </c:pt>
                <c:pt idx="139">
                  <c:v>-5.0460335934931608</c:v>
                </c:pt>
                <c:pt idx="140">
                  <c:v>-5.1364920422167035</c:v>
                </c:pt>
                <c:pt idx="141">
                  <c:v>-5.2262945544893613</c:v>
                </c:pt>
                <c:pt idx="142">
                  <c:v>-5.3154558382328947</c:v>
                </c:pt>
                <c:pt idx="143">
                  <c:v>-5.4039901656300318</c:v>
                </c:pt>
                <c:pt idx="144">
                  <c:v>-5.4919113900618406</c:v>
                </c:pt>
                <c:pt idx="145">
                  <c:v>-5.5792329622126893</c:v>
                </c:pt>
                <c:pt idx="146">
                  <c:v>-5.6659679453914658</c:v>
                </c:pt>
                <c:pt idx="147">
                  <c:v>-5.752129030114296</c:v>
                </c:pt>
                <c:pt idx="148">
                  <c:v>-5.8377285479913423</c:v>
                </c:pt>
                <c:pt idx="149">
                  <c:v>-5.9227784849570044</c:v>
                </c:pt>
                <c:pt idx="150">
                  <c:v>-6.0072904938806424</c:v>
                </c:pt>
                <c:pt idx="151">
                  <c:v>-6.091275906592398</c:v>
                </c:pt>
                <c:pt idx="152">
                  <c:v>-6.1747457453563035</c:v>
                </c:pt>
                <c:pt idx="153">
                  <c:v>-6.2577107338212121</c:v>
                </c:pt>
                <c:pt idx="154">
                  <c:v>-6.3401813074776578</c:v>
                </c:pt>
                <c:pt idx="155">
                  <c:v>-6.4221676236474732</c:v>
                </c:pt>
                <c:pt idx="156">
                  <c:v>-6.5036795710309816</c:v>
                </c:pt>
                <c:pt idx="157">
                  <c:v>-6.5847267788352069</c:v>
                </c:pt>
                <c:pt idx="158">
                  <c:v>-6.6653186255050914</c:v>
                </c:pt>
                <c:pt idx="159">
                  <c:v>-6.7454642470784059</c:v>
                </c:pt>
                <c:pt idx="160">
                  <c:v>-6.825172545183726</c:v>
                </c:pt>
                <c:pt idx="161">
                  <c:v>-6.9044521946997879</c:v>
                </c:pt>
                <c:pt idx="162">
                  <c:v>-6.9833116510933815</c:v>
                </c:pt>
                <c:pt idx="163">
                  <c:v>-7.0617591574519158</c:v>
                </c:pt>
                <c:pt idx="164">
                  <c:v>-7.1398027512260782</c:v>
                </c:pt>
                <c:pt idx="165">
                  <c:v>-7.2174502706966939</c:v>
                </c:pt>
                <c:pt idx="166">
                  <c:v>-7.2947093611796205</c:v>
                </c:pt>
                <c:pt idx="167">
                  <c:v>-7.3715874809811774</c:v>
                </c:pt>
                <c:pt idx="168">
                  <c:v>-7.4480919071164511</c:v>
                </c:pt>
                <c:pt idx="169">
                  <c:v>-7.5242297408016254</c:v>
                </c:pt>
                <c:pt idx="170">
                  <c:v>-7.600007912731277</c:v>
                </c:pt>
                <c:pt idx="171">
                  <c:v>-7.6754331881507358</c:v>
                </c:pt>
                <c:pt idx="172">
                  <c:v>-7.7505121717330638</c:v>
                </c:pt>
                <c:pt idx="173">
                  <c:v>-7.8252513122699501</c:v>
                </c:pt>
                <c:pt idx="174">
                  <c:v>-7.8996569071849043</c:v>
                </c:pt>
                <c:pt idx="175">
                  <c:v>-7.9737351068770561</c:v>
                </c:pt>
                <c:pt idx="176">
                  <c:v>-8.0474919189032263</c:v>
                </c:pt>
                <c:pt idx="177">
                  <c:v>-8.1209332120056104</c:v>
                </c:pt>
                <c:pt idx="178">
                  <c:v>-8.1940647199919709</c:v>
                </c:pt>
                <c:pt idx="179">
                  <c:v>-8.2668920454749895</c:v>
                </c:pt>
                <c:pt idx="180">
                  <c:v>-8.3394206634769539</c:v>
                </c:pt>
                <c:pt idx="181">
                  <c:v>-8.4116559249057339</c:v>
                </c:pt>
                <c:pt idx="182">
                  <c:v>-8.4836030599076722</c:v>
                </c:pt>
                <c:pt idx="183">
                  <c:v>-8.5552671811027245</c:v>
                </c:pt>
                <c:pt idx="184">
                  <c:v>-8.6266532867069259</c:v>
                </c:pt>
                <c:pt idx="185">
                  <c:v>-8.6977662635470043</c:v>
                </c:pt>
                <c:pt idx="186">
                  <c:v>-8.7686108899717734</c:v>
                </c:pt>
                <c:pt idx="187">
                  <c:v>-8.8391918386645454</c:v>
                </c:pt>
                <c:pt idx="188">
                  <c:v>-8.9095136793608614</c:v>
                </c:pt>
                <c:pt idx="189">
                  <c:v>-8.9795808814754245</c:v>
                </c:pt>
                <c:pt idx="190">
                  <c:v>-9.0493978166419691</c:v>
                </c:pt>
                <c:pt idx="191">
                  <c:v>-9.1189687611696648</c:v>
                </c:pt>
                <c:pt idx="192">
                  <c:v>-9.1882978984195134</c:v>
                </c:pt>
                <c:pt idx="193">
                  <c:v>-9.257389321103954</c:v>
                </c:pt>
                <c:pt idx="194">
                  <c:v>-9.3262470335127325</c:v>
                </c:pt>
                <c:pt idx="195">
                  <c:v>-9.3948749536681131</c:v>
                </c:pt>
                <c:pt idx="196">
                  <c:v>-9.4632769154120915</c:v>
                </c:pt>
                <c:pt idx="197">
                  <c:v>-9.531456670428442</c:v>
                </c:pt>
                <c:pt idx="198">
                  <c:v>-9.5994178902020835</c:v>
                </c:pt>
                <c:pt idx="199">
                  <c:v>-9.6671641679182638</c:v>
                </c:pt>
                <c:pt idx="200">
                  <c:v>-9.7346990203038377</c:v>
                </c:pt>
                <c:pt idx="201">
                  <c:v>-9.8020258894129242</c:v>
                </c:pt>
                <c:pt idx="202">
                  <c:v>-9.8691481443591069</c:v>
                </c:pt>
                <c:pt idx="203">
                  <c:v>-9.9360690829961555</c:v>
                </c:pt>
                <c:pt idx="204">
                  <c:v>-10.002791933549187</c:v>
                </c:pt>
                <c:pt idx="205">
                  <c:v>-10.069319856198318</c:v>
                </c:pt>
                <c:pt idx="206">
                  <c:v>-10.135655944616328</c:v>
                </c:pt>
                <c:pt idx="207">
                  <c:v>-10.201803227462257</c:v>
                </c:pt>
                <c:pt idx="208">
                  <c:v>-10.267764669832452</c:v>
                </c:pt>
                <c:pt idx="209">
                  <c:v>-10.333543174670691</c:v>
                </c:pt>
                <c:pt idx="210">
                  <c:v>-10.399141584138816</c:v>
                </c:pt>
                <c:pt idx="211">
                  <c:v>-10.464562680949358</c:v>
                </c:pt>
                <c:pt idx="212">
                  <c:v>-10.529809189661503</c:v>
                </c:pt>
                <c:pt idx="213">
                  <c:v>-10.594883777941728</c:v>
                </c:pt>
                <c:pt idx="214">
                  <c:v>-10.659789057790359</c:v>
                </c:pt>
                <c:pt idx="215">
                  <c:v>-10.724527586735231</c:v>
                </c:pt>
                <c:pt idx="216">
                  <c:v>-10.78910186899363</c:v>
                </c:pt>
                <c:pt idx="217">
                  <c:v>-10.853514356603668</c:v>
                </c:pt>
                <c:pt idx="218">
                  <c:v>-10.917767450526082</c:v>
                </c:pt>
                <c:pt idx="219">
                  <c:v>-10.98186350171745</c:v>
                </c:pt>
                <c:pt idx="220">
                  <c:v>-11.045804812175973</c:v>
                </c:pt>
                <c:pt idx="221">
                  <c:v>-11.109593635960524</c:v>
                </c:pt>
                <c:pt idx="222">
                  <c:v>-11.173232180184074</c:v>
                </c:pt>
                <c:pt idx="223">
                  <c:v>-11.236722605982219</c:v>
                </c:pt>
                <c:pt idx="224">
                  <c:v>-11.30006702945769</c:v>
                </c:pt>
                <c:pt idx="225">
                  <c:v>-11.363267522601648</c:v>
                </c:pt>
                <c:pt idx="226">
                  <c:v>-11.987782320653405</c:v>
                </c:pt>
                <c:pt idx="227">
                  <c:v>-12.599887779129022</c:v>
                </c:pt>
                <c:pt idx="228">
                  <c:v>-13.201050975033713</c:v>
                </c:pt>
                <c:pt idx="229">
                  <c:v>-13.792452631462481</c:v>
                </c:pt>
                <c:pt idx="230">
                  <c:v>-14.375037750300159</c:v>
                </c:pt>
                <c:pt idx="231">
                  <c:v>-14.949557288179399</c:v>
                </c:pt>
                <c:pt idx="232">
                  <c:v>-15.516602819699351</c:v>
                </c:pt>
                <c:pt idx="233">
                  <c:v>-16.076635574669087</c:v>
                </c:pt>
                <c:pt idx="234">
                  <c:v>-16.630010861927154</c:v>
                </c:pt>
                <c:pt idx="235">
                  <c:v>-17.176998639996796</c:v>
                </c:pt>
                <c:pt idx="236">
                  <c:v>-17.717800823809196</c:v>
                </c:pt>
                <c:pt idx="237">
                  <c:v>-18.252565799579461</c:v>
                </c:pt>
                <c:pt idx="238">
                  <c:v>-18.78140053813647</c:v>
                </c:pt>
                <c:pt idx="239">
                  <c:v>-19.304380638116726</c:v>
                </c:pt>
                <c:pt idx="240">
                  <c:v>-19.8215585861468</c:v>
                </c:pt>
                <c:pt idx="241">
                  <c:v>-20.332970486063637</c:v>
                </c:pt>
                <c:pt idx="242">
                  <c:v>-20.838641479956554</c:v>
                </c:pt>
                <c:pt idx="243">
                  <c:v>-21.338590058300738</c:v>
                </c:pt>
                <c:pt idx="244">
                  <c:v>-21.832831433515743</c:v>
                </c:pt>
                <c:pt idx="245">
                  <c:v>-22.321380130306153</c:v>
                </c:pt>
                <c:pt idx="246">
                  <c:v>-22.804251926836617</c:v>
                </c:pt>
                <c:pt idx="247">
                  <c:v>-23.281465263051526</c:v>
                </c:pt>
                <c:pt idx="248">
                  <c:v>-23.753042216242509</c:v>
                </c:pt>
                <c:pt idx="249">
                  <c:v>-24.21900912929129</c:v>
                </c:pt>
                <c:pt idx="250">
                  <c:v>-24.679396963859158</c:v>
                </c:pt>
                <c:pt idx="251">
                  <c:v>-25.134241439123244</c:v>
                </c:pt>
                <c:pt idx="252">
                  <c:v>-25.583583006414386</c:v>
                </c:pt>
                <c:pt idx="253">
                  <c:v>-26.027466701208549</c:v>
                </c:pt>
                <c:pt idx="254">
                  <c:v>-26.465941906264014</c:v>
                </c:pt>
                <c:pt idx="255">
                  <c:v>-26.899062053167295</c:v>
                </c:pt>
                <c:pt idx="256">
                  <c:v>-27.326884284036772</c:v>
                </c:pt>
                <c:pt idx="257">
                  <c:v>-27.749469090515802</c:v>
                </c:pt>
                <c:pt idx="258">
                  <c:v>-28.166879943355369</c:v>
                </c:pt>
                <c:pt idx="259">
                  <c:v>-28.579182922732848</c:v>
                </c:pt>
                <c:pt idx="260">
                  <c:v>-28.986446356880666</c:v>
                </c:pt>
                <c:pt idx="261">
                  <c:v>-29.388740474518634</c:v>
                </c:pt>
                <c:pt idx="262">
                  <c:v>-29.786137074917825</c:v>
                </c:pt>
                <c:pt idx="263">
                  <c:v>-30.178709218103265</c:v>
                </c:pt>
                <c:pt idx="264">
                  <c:v>-30.566530936668297</c:v>
                </c:pt>
                <c:pt idx="265">
                  <c:v>-30.949676969873188</c:v>
                </c:pt>
                <c:pt idx="266">
                  <c:v>-31.328222520092485</c:v>
                </c:pt>
                <c:pt idx="267">
                  <c:v>-31.702243031221485</c:v>
                </c:pt>
                <c:pt idx="268">
                  <c:v>-32.071813988322873</c:v>
                </c:pt>
                <c:pt idx="269">
                  <c:v>-32.437010737563853</c:v>
                </c:pt>
                <c:pt idx="270">
                  <c:v>-32.797908325341169</c:v>
                </c:pt>
                <c:pt idx="271">
                  <c:v>-33.154581355399493</c:v>
                </c:pt>
                <c:pt idx="272">
                  <c:v>-33.507103862703339</c:v>
                </c:pt>
                <c:pt idx="273">
                  <c:v>-33.855549202812988</c:v>
                </c:pt>
                <c:pt idx="274">
                  <c:v>-34.199989955531493</c:v>
                </c:pt>
                <c:pt idx="275">
                  <c:v>-34.540497841626056</c:v>
                </c:pt>
                <c:pt idx="276">
                  <c:v>-34.877143651476274</c:v>
                </c:pt>
                <c:pt idx="277">
                  <c:v>-35.209997184560478</c:v>
                </c:pt>
                <c:pt idx="278">
                  <c:v>-35.53912719875531</c:v>
                </c:pt>
                <c:pt idx="279">
                  <c:v>-35.864601368490675</c:v>
                </c:pt>
                <c:pt idx="280">
                  <c:v>-36.186486250869848</c:v>
                </c:pt>
                <c:pt idx="281">
                  <c:v>-36.504847258931761</c:v>
                </c:pt>
                <c:pt idx="282">
                  <c:v>-36.819748641297487</c:v>
                </c:pt>
                <c:pt idx="283">
                  <c:v>-37.13125346750612</c:v>
                </c:pt>
                <c:pt idx="284">
                  <c:v>-37.439423618404383</c:v>
                </c:pt>
                <c:pt idx="285">
                  <c:v>-37.744319781011072</c:v>
                </c:pt>
                <c:pt idx="286">
                  <c:v>-38.046001447329722</c:v>
                </c:pt>
                <c:pt idx="287">
                  <c:v>-38.344526916632375</c:v>
                </c:pt>
                <c:pt idx="288">
                  <c:v>-38.639953300782395</c:v>
                </c:pt>
                <c:pt idx="289">
                  <c:v>-38.932336532206612</c:v>
                </c:pt>
                <c:pt idx="290">
                  <c:v>-39.221731374165358</c:v>
                </c:pt>
                <c:pt idx="291">
                  <c:v>-39.508191433004598</c:v>
                </c:pt>
                <c:pt idx="292">
                  <c:v>-39.791769172106477</c:v>
                </c:pt>
                <c:pt idx="293">
                  <c:v>-40.072515927284172</c:v>
                </c:pt>
                <c:pt idx="294">
                  <c:v>-40.350481923393808</c:v>
                </c:pt>
                <c:pt idx="295">
                  <c:v>-40.625716291960444</c:v>
                </c:pt>
                <c:pt idx="296">
                  <c:v>-40.898267089637237</c:v>
                </c:pt>
                <c:pt idx="297">
                  <c:v>-41.16818131733703</c:v>
                </c:pt>
                <c:pt idx="298">
                  <c:v>-41.43550493989337</c:v>
                </c:pt>
                <c:pt idx="299">
                  <c:v>-41.700282906124514</c:v>
                </c:pt>
                <c:pt idx="300">
                  <c:v>-41.962559169188658</c:v>
                </c:pt>
                <c:pt idx="301">
                  <c:v>-42.222376707131517</c:v>
                </c:pt>
                <c:pt idx="302">
                  <c:v>-42.479777543539825</c:v>
                </c:pt>
                <c:pt idx="303">
                  <c:v>-42.734802768224469</c:v>
                </c:pt>
                <c:pt idx="304">
                  <c:v>-42.987492557866901</c:v>
                </c:pt>
                <c:pt idx="305">
                  <c:v>-43.23788619657094</c:v>
                </c:pt>
                <c:pt idx="306">
                  <c:v>-43.486022096269593</c:v>
                </c:pt>
                <c:pt idx="307">
                  <c:v>-43.731937816943841</c:v>
                </c:pt>
                <c:pt idx="308">
                  <c:v>-43.975670086616049</c:v>
                </c:pt>
                <c:pt idx="309">
                  <c:v>-44.217254821086165</c:v>
                </c:pt>
                <c:pt idx="310">
                  <c:v>-44.456727143384178</c:v>
                </c:pt>
                <c:pt idx="311">
                  <c:v>-44.69412140291611</c:v>
                </c:pt>
                <c:pt idx="312">
                  <c:v>-44.929471194285057</c:v>
                </c:pt>
                <c:pt idx="313">
                  <c:v>-45.162809375771971</c:v>
                </c:pt>
                <c:pt idx="314">
                  <c:v>-45.394168087464223</c:v>
                </c:pt>
                <c:pt idx="315">
                  <c:v>-45.623578769022195</c:v>
                </c:pt>
                <c:pt idx="316">
                  <c:v>-45.851072177077192</c:v>
                </c:pt>
                <c:pt idx="317">
                  <c:v>-46.076678402255205</c:v>
                </c:pt>
                <c:pt idx="318">
                  <c:v>-46.300426885823853</c:v>
                </c:pt>
                <c:pt idx="319">
                  <c:v>-46.522346435960529</c:v>
                </c:pt>
                <c:pt idx="320">
                  <c:v>-46.742465243641902</c:v>
                </c:pt>
                <c:pt idx="321">
                  <c:v>-46.960810898155643</c:v>
                </c:pt>
                <c:pt idx="322">
                  <c:v>-47.177410402236745</c:v>
                </c:pt>
                <c:pt idx="323">
                  <c:v>-47.392290186831225</c:v>
                </c:pt>
                <c:pt idx="324">
                  <c:v>-47.605476125491393</c:v>
                </c:pt>
                <c:pt idx="325">
                  <c:v>-47.816993548406884</c:v>
                </c:pt>
                <c:pt idx="326">
                  <c:v>-48.026867256076869</c:v>
                </c:pt>
                <c:pt idx="327">
                  <c:v>-48.235121532628888</c:v>
                </c:pt>
                <c:pt idx="328">
                  <c:v>-48.441780158790174</c:v>
                </c:pt>
                <c:pt idx="329">
                  <c:v>-48.646866424518159</c:v>
                </c:pt>
                <c:pt idx="330">
                  <c:v>-48.850403141296333</c:v>
                </c:pt>
                <c:pt idx="331">
                  <c:v>-49.052412654102596</c:v>
                </c:pt>
                <c:pt idx="332">
                  <c:v>-49.252916853056846</c:v>
                </c:pt>
                <c:pt idx="333">
                  <c:v>-49.45193718475501</c:v>
                </c:pt>
                <c:pt idx="334">
                  <c:v>-49.649494663296636</c:v>
                </c:pt>
                <c:pt idx="335">
                  <c:v>-49.845609881013182</c:v>
                </c:pt>
                <c:pt idx="336">
                  <c:v>-50.040303018904424</c:v>
                </c:pt>
                <c:pt idx="337">
                  <c:v>-50.233593856789881</c:v>
                </c:pt>
                <c:pt idx="338">
                  <c:v>-50.425501783182789</c:v>
                </c:pt>
                <c:pt idx="339">
                  <c:v>-50.616045804893375</c:v>
                </c:pt>
                <c:pt idx="340">
                  <c:v>-50.805244556368869</c:v>
                </c:pt>
                <c:pt idx="341">
                  <c:v>-50.993116308776855</c:v>
                </c:pt>
                <c:pt idx="342">
                  <c:v>-51.179678978839142</c:v>
                </c:pt>
                <c:pt idx="343">
                  <c:v>-51.364950137422682</c:v>
                </c:pt>
                <c:pt idx="344">
                  <c:v>-51.548947017894385</c:v>
                </c:pt>
                <c:pt idx="345">
                  <c:v>-51.731686524246257</c:v>
                </c:pt>
                <c:pt idx="346">
                  <c:v>-51.913185238997187</c:v>
                </c:pt>
                <c:pt idx="347">
                  <c:v>-52.093459430877886</c:v>
                </c:pt>
                <c:pt idx="348">
                  <c:v>-52.272525062304922</c:v>
                </c:pt>
                <c:pt idx="349">
                  <c:v>-52.45039779664986</c:v>
                </c:pt>
                <c:pt idx="350">
                  <c:v>-52.62709300530954</c:v>
                </c:pt>
                <c:pt idx="351">
                  <c:v>-52.802625774582914</c:v>
                </c:pt>
                <c:pt idx="352">
                  <c:v>-52.977010912360342</c:v>
                </c:pt>
                <c:pt idx="353">
                  <c:v>-53.150262954630527</c:v>
                </c:pt>
                <c:pt idx="354">
                  <c:v>-53.322396171810524</c:v>
                </c:pt>
                <c:pt idx="355">
                  <c:v>-53.493424574903969</c:v>
                </c:pt>
                <c:pt idx="356">
                  <c:v>-53.663361921492395</c:v>
                </c:pt>
                <c:pt idx="357">
                  <c:v>-53.832221721564736</c:v>
                </c:pt>
                <c:pt idx="358">
                  <c:v>-54.000017243189674</c:v>
                </c:pt>
                <c:pt idx="359">
                  <c:v>-54.16676151803523</c:v>
                </c:pt>
                <c:pt idx="360">
                  <c:v>-54.332467346740493</c:v>
                </c:pt>
                <c:pt idx="361">
                  <c:v>-54.497147304143439</c:v>
                </c:pt>
                <c:pt idx="362">
                  <c:v>-54.660813744369293</c:v>
                </c:pt>
                <c:pt idx="363">
                  <c:v>-54.823478805783509</c:v>
                </c:pt>
                <c:pt idx="364">
                  <c:v>-54.985154415813156</c:v>
                </c:pt>
                <c:pt idx="365">
                  <c:v>-55.145852295640985</c:v>
                </c:pt>
                <c:pt idx="366">
                  <c:v>-55.305583964775352</c:v>
                </c:pt>
                <c:pt idx="367">
                  <c:v>-55.464360745500151</c:v>
                </c:pt>
                <c:pt idx="368">
                  <c:v>-55.62219376720801</c:v>
                </c:pt>
                <c:pt idx="369">
                  <c:v>-55.77909397062021</c:v>
                </c:pt>
                <c:pt idx="370">
                  <c:v>-55.935072111896645</c:v>
                </c:pt>
                <c:pt idx="371">
                  <c:v>-56.090138766639079</c:v>
                </c:pt>
                <c:pt idx="372">
                  <c:v>-56.244304333790758</c:v>
                </c:pt>
                <c:pt idx="373">
                  <c:v>-56.397579039435456</c:v>
                </c:pt>
                <c:pt idx="374">
                  <c:v>-56.549972940498719</c:v>
                </c:pt>
                <c:pt idx="375">
                  <c:v>-56.701495928354475</c:v>
                </c:pt>
                <c:pt idx="376">
                  <c:v>-56.852157732339357</c:v>
                </c:pt>
                <c:pt idx="377">
                  <c:v>-57.001967923177652</c:v>
                </c:pt>
                <c:pt idx="378">
                  <c:v>-57.150935916319469</c:v>
                </c:pt>
                <c:pt idx="379">
                  <c:v>-57.299070975194468</c:v>
                </c:pt>
                <c:pt idx="380">
                  <c:v>-57.446382214383689</c:v>
                </c:pt>
                <c:pt idx="381">
                  <c:v>-57.59287860271187</c:v>
                </c:pt>
                <c:pt idx="382">
                  <c:v>-57.738568966262314</c:v>
                </c:pt>
                <c:pt idx="383">
                  <c:v>-57.883461991316807</c:v>
                </c:pt>
                <c:pt idx="384">
                  <c:v>-58.027566227222529</c:v>
                </c:pt>
                <c:pt idx="385">
                  <c:v>-58.170890089188021</c:v>
                </c:pt>
                <c:pt idx="386">
                  <c:v>-58.313441861010361</c:v>
                </c:pt>
                <c:pt idx="387">
                  <c:v>-58.455229697735341</c:v>
                </c:pt>
                <c:pt idx="388">
                  <c:v>-58.59626162825262</c:v>
                </c:pt>
                <c:pt idx="389">
                  <c:v>-58.736545557827611</c:v>
                </c:pt>
                <c:pt idx="390">
                  <c:v>-58.87608927057201</c:v>
                </c:pt>
                <c:pt idx="391">
                  <c:v>-59.014900431854471</c:v>
                </c:pt>
                <c:pt idx="392">
                  <c:v>-59.152986590653249</c:v>
                </c:pt>
                <c:pt idx="393">
                  <c:v>-59.290355181852455</c:v>
                </c:pt>
                <c:pt idx="394">
                  <c:v>-59.427013528483286</c:v>
                </c:pt>
                <c:pt idx="395">
                  <c:v>-59.562968843911939</c:v>
                </c:pt>
                <c:pt idx="396">
                  <c:v>-59.698228233975627</c:v>
                </c:pt>
                <c:pt idx="397">
                  <c:v>-59.832798699067993</c:v>
                </c:pt>
                <c:pt idx="398">
                  <c:v>-59.966687136175629</c:v>
                </c:pt>
                <c:pt idx="399">
                  <c:v>-60.099900340866547</c:v>
                </c:pt>
                <c:pt idx="400">
                  <c:v>-60.232445009232343</c:v>
                </c:pt>
                <c:pt idx="401">
                  <c:v>-60.36432773978521</c:v>
                </c:pt>
                <c:pt idx="402">
                  <c:v>-60.495555035310716</c:v>
                </c:pt>
                <c:pt idx="403">
                  <c:v>-60.626133304677992</c:v>
                </c:pt>
                <c:pt idx="404">
                  <c:v>-60.756068864608174</c:v>
                </c:pt>
                <c:pt idx="405">
                  <c:v>-60.885367941402244</c:v>
                </c:pt>
                <c:pt idx="406">
                  <c:v>-61.014036672629501</c:v>
                </c:pt>
                <c:pt idx="407">
                  <c:v>-61.142081108777575</c:v>
                </c:pt>
                <c:pt idx="408">
                  <c:v>-61.269507214864944</c:v>
                </c:pt>
                <c:pt idx="409">
                  <c:v>-61.39632087201722</c:v>
                </c:pt>
                <c:pt idx="410">
                  <c:v>-61.522527879007811</c:v>
                </c:pt>
                <c:pt idx="411">
                  <c:v>-61.648133953764116</c:v>
                </c:pt>
                <c:pt idx="412">
                  <c:v>-61.773144734840109</c:v>
                </c:pt>
                <c:pt idx="413">
                  <c:v>-61.897565782856184</c:v>
                </c:pt>
                <c:pt idx="414">
                  <c:v>-62.021402581906983</c:v>
                </c:pt>
                <c:pt idx="415">
                  <c:v>-62.144660540938325</c:v>
                </c:pt>
                <c:pt idx="416">
                  <c:v>-62.267344995093723</c:v>
                </c:pt>
                <c:pt idx="417">
                  <c:v>-62.389461207031438</c:v>
                </c:pt>
                <c:pt idx="418">
                  <c:v>-62.511014368212834</c:v>
                </c:pt>
                <c:pt idx="419">
                  <c:v>-62.632009600162689</c:v>
                </c:pt>
                <c:pt idx="420">
                  <c:v>-62.752451955702149</c:v>
                </c:pt>
                <c:pt idx="421">
                  <c:v>-62.872346420155253</c:v>
                </c:pt>
                <c:pt idx="422">
                  <c:v>-62.991697912529261</c:v>
                </c:pt>
                <c:pt idx="423">
                  <c:v>-63.110511286670025</c:v>
                </c:pt>
                <c:pt idx="424">
                  <c:v>-63.228791332392369</c:v>
                </c:pt>
                <c:pt idx="425">
                  <c:v>-63.34654277658673</c:v>
                </c:pt>
                <c:pt idx="426">
                  <c:v>-63.4637702843022</c:v>
                </c:pt>
                <c:pt idx="427">
                  <c:v>-63.580478459806756</c:v>
                </c:pt>
                <c:pt idx="428">
                  <c:v>-63.696671847625254</c:v>
                </c:pt>
                <c:pt idx="429">
                  <c:v>-63.812354933555568</c:v>
                </c:pt>
                <c:pt idx="430">
                  <c:v>-63.927532145663704</c:v>
                </c:pt>
                <c:pt idx="431">
                  <c:v>-64.042207855258113</c:v>
                </c:pt>
                <c:pt idx="432">
                  <c:v>-64.156386377843788</c:v>
                </c:pt>
                <c:pt idx="433">
                  <c:v>-64.270071974056791</c:v>
                </c:pt>
                <c:pt idx="434">
                  <c:v>-64.383268850579526</c:v>
                </c:pt>
                <c:pt idx="435">
                  <c:v>-64.495981161037236</c:v>
                </c:pt>
                <c:pt idx="436">
                  <c:v>-64.608213006876213</c:v>
                </c:pt>
                <c:pt idx="437">
                  <c:v>-64.719968438224228</c:v>
                </c:pt>
                <c:pt idx="438">
                  <c:v>-64.831251454733405</c:v>
                </c:pt>
                <c:pt idx="439">
                  <c:v>-64.942066006406208</c:v>
                </c:pt>
                <c:pt idx="440">
                  <c:v>-65.052415994404697</c:v>
                </c:pt>
                <c:pt idx="441">
                  <c:v>-65.162305271843735</c:v>
                </c:pt>
                <c:pt idx="442">
                  <c:v>-65.271737644568162</c:v>
                </c:pt>
                <c:pt idx="443">
                  <c:v>-65.380716871914629</c:v>
                </c:pt>
                <c:pt idx="444">
                  <c:v>-65.489246667458403</c:v>
                </c:pt>
                <c:pt idx="445">
                  <c:v>-65.597330699745186</c:v>
                </c:pt>
                <c:pt idx="446">
                  <c:v>-65.704972593008804</c:v>
                </c:pt>
                <c:pt idx="447">
                  <c:v>-65.812175927874648</c:v>
                </c:pt>
                <c:pt idx="448">
                  <c:v>-65.918944242049406</c:v>
                </c:pt>
                <c:pt idx="449">
                  <c:v>-66.025281030997419</c:v>
                </c:pt>
                <c:pt idx="450">
                  <c:v>-66.13118974860393</c:v>
                </c:pt>
                <c:pt idx="451">
                  <c:v>-66.236673807825355</c:v>
                </c:pt>
                <c:pt idx="452">
                  <c:v>-66.34173658132724</c:v>
                </c:pt>
                <c:pt idx="453">
                  <c:v>-66.446381402109836</c:v>
                </c:pt>
                <c:pt idx="454">
                  <c:v>-66.550611564121766</c:v>
                </c:pt>
                <c:pt idx="455">
                  <c:v>-66.65443032286197</c:v>
                </c:pt>
                <c:pt idx="456">
                  <c:v>-66.757840895970247</c:v>
                </c:pt>
                <c:pt idx="457">
                  <c:v>-66.860846463806581</c:v>
                </c:pt>
                <c:pt idx="458">
                  <c:v>-66.963450170019598</c:v>
                </c:pt>
                <c:pt idx="459">
                  <c:v>-67.065655122104275</c:v>
                </c:pt>
                <c:pt idx="460">
                  <c:v>-67.167464391949267</c:v>
                </c:pt>
                <c:pt idx="461">
                  <c:v>-67.268881016373967</c:v>
                </c:pt>
                <c:pt idx="462">
                  <c:v>-67.369907997655616</c:v>
                </c:pt>
                <c:pt idx="463">
                  <c:v>-67.470548304046631</c:v>
                </c:pt>
                <c:pt idx="464">
                  <c:v>-67.570804870282359</c:v>
                </c:pt>
                <c:pt idx="465">
                  <c:v>-67.670680598079514</c:v>
                </c:pt>
                <c:pt idx="466">
                  <c:v>-67.770178356625422</c:v>
                </c:pt>
                <c:pt idx="467">
                  <c:v>-67.869300983058437</c:v>
                </c:pt>
                <c:pt idx="468">
                  <c:v>-67.968051282939456</c:v>
                </c:pt>
                <c:pt idx="469">
                  <c:v>-68.066432030714964</c:v>
                </c:pt>
                <c:pt idx="470">
                  <c:v>-68.164445970171656</c:v>
                </c:pt>
                <c:pt idx="471">
                  <c:v>-68.262095814882912</c:v>
                </c:pt>
                <c:pt idx="472">
                  <c:v>-68.359384248647203</c:v>
                </c:pt>
                <c:pt idx="473">
                  <c:v>-68.456313925918664</c:v>
                </c:pt>
                <c:pt idx="474">
                  <c:v>-68.552887472229955</c:v>
                </c:pt>
                <c:pt idx="475">
                  <c:v>-68.649107484607597</c:v>
                </c:pt>
                <c:pt idx="476">
                  <c:v>-68.744976531980029</c:v>
                </c:pt>
                <c:pt idx="477">
                  <c:v>-68.840497155578277</c:v>
                </c:pt>
                <c:pt idx="478">
                  <c:v>-68.935671869329809</c:v>
                </c:pt>
                <c:pt idx="479">
                  <c:v>-69.030503160245203</c:v>
                </c:pt>
                <c:pt idx="480">
                  <c:v>-69.124993488798225</c:v>
                </c:pt>
                <c:pt idx="481">
                  <c:v>-69.219145289299277</c:v>
                </c:pt>
                <c:pt idx="482">
                  <c:v>-69.312960970262253</c:v>
                </c:pt>
                <c:pt idx="483">
                  <c:v>-69.40644291476508</c:v>
                </c:pt>
                <c:pt idx="484">
                  <c:v>-69.499593480804137</c:v>
                </c:pt>
                <c:pt idx="485">
                  <c:v>-69.592415001642337</c:v>
                </c:pt>
                <c:pt idx="486">
                  <c:v>-69.684909786151508</c:v>
                </c:pt>
                <c:pt idx="487">
                  <c:v>-69.777080119148692</c:v>
                </c:pt>
                <c:pt idx="488">
                  <c:v>-69.868928261726865</c:v>
                </c:pt>
                <c:pt idx="489">
                  <c:v>-69.96045645157993</c:v>
                </c:pt>
                <c:pt idx="490">
                  <c:v>-70.051666903322314</c:v>
                </c:pt>
                <c:pt idx="491">
                  <c:v>-70.142561808803009</c:v>
                </c:pt>
                <c:pt idx="492">
                  <c:v>-70.233143337414504</c:v>
                </c:pt>
                <c:pt idx="493">
                  <c:v>-70.32341363639641</c:v>
                </c:pt>
                <c:pt idx="494">
                  <c:v>-70.413374831134078</c:v>
                </c:pt>
                <c:pt idx="495">
                  <c:v>-70.503029025452165</c:v>
                </c:pt>
                <c:pt idx="496">
                  <c:v>-70.592378301903423</c:v>
                </c:pt>
                <c:pt idx="497">
                  <c:v>-70.681424722052554</c:v>
                </c:pt>
                <c:pt idx="498">
                  <c:v>-70.770170326755633</c:v>
                </c:pt>
                <c:pt idx="499">
                  <c:v>-70.858617136434532</c:v>
                </c:pt>
                <c:pt idx="500">
                  <c:v>-70.946767151347288</c:v>
                </c:pt>
                <c:pt idx="501">
                  <c:v>-71.034622351853727</c:v>
                </c:pt>
                <c:pt idx="502">
                  <c:v>-71.122184698676861</c:v>
                </c:pt>
                <c:pt idx="503">
                  <c:v>-71.209456133160089</c:v>
                </c:pt>
                <c:pt idx="504">
                  <c:v>-71.296438577520135</c:v>
                </c:pt>
                <c:pt idx="505">
                  <c:v>-71.383133935095927</c:v>
                </c:pt>
                <c:pt idx="506">
                  <c:v>-71.469544090593558</c:v>
                </c:pt>
                <c:pt idx="507">
                  <c:v>-71.555670910327109</c:v>
                </c:pt>
                <c:pt idx="508">
                  <c:v>-71.641516242455893</c:v>
                </c:pt>
                <c:pt idx="509">
                  <c:v>-71.727081917217603</c:v>
                </c:pt>
                <c:pt idx="510">
                  <c:v>-71.812369747158073</c:v>
                </c:pt>
                <c:pt idx="511">
                  <c:v>-71.897381527357084</c:v>
                </c:pt>
                <c:pt idx="512">
                  <c:v>-71.982119035650825</c:v>
                </c:pt>
                <c:pt idx="513">
                  <c:v>-72.066584032850741</c:v>
                </c:pt>
                <c:pt idx="514">
                  <c:v>-72.150778262958994</c:v>
                </c:pt>
                <c:pt idx="515">
                  <c:v>-72.234703453380476</c:v>
                </c:pt>
                <c:pt idx="516">
                  <c:v>-72.318361315131554</c:v>
                </c:pt>
                <c:pt idx="517">
                  <c:v>-72.401753543045572</c:v>
                </c:pt>
                <c:pt idx="518">
                  <c:v>-72.4848818159752</c:v>
                </c:pt>
                <c:pt idx="519">
                  <c:v>-72.567747796991497</c:v>
                </c:pt>
                <c:pt idx="520">
                  <c:v>-72.650353133580069</c:v>
                </c:pt>
                <c:pt idx="521">
                  <c:v>-72.732699457834102</c:v>
                </c:pt>
                <c:pt idx="522">
                  <c:v>-72.814788386644523</c:v>
                </c:pt>
                <c:pt idx="523">
                  <c:v>-72.896621521887127</c:v>
                </c:pt>
                <c:pt idx="524">
                  <c:v>-72.978200450606977</c:v>
                </c:pt>
                <c:pt idx="525">
                  <c:v>-73.059526745199875</c:v>
                </c:pt>
                <c:pt idx="526">
                  <c:v>-73.140601963591209</c:v>
                </c:pt>
                <c:pt idx="527">
                  <c:v>-73.221427649412021</c:v>
                </c:pt>
                <c:pt idx="528">
                  <c:v>-73.302005332172357</c:v>
                </c:pt>
                <c:pt idx="529">
                  <c:v>-73.382336527432173</c:v>
                </c:pt>
                <c:pt idx="530">
                  <c:v>-73.462422736969529</c:v>
                </c:pt>
                <c:pt idx="531">
                  <c:v>-73.542265448946324</c:v>
                </c:pt>
                <c:pt idx="532">
                  <c:v>-73.621866138071638</c:v>
                </c:pt>
                <c:pt idx="533">
                  <c:v>-73.701226265762443</c:v>
                </c:pt>
                <c:pt idx="534">
                  <c:v>-73.780347280302138</c:v>
                </c:pt>
                <c:pt idx="535">
                  <c:v>-73.859230616996697</c:v>
                </c:pt>
                <c:pt idx="536">
                  <c:v>-73.937877698328364</c:v>
                </c:pt>
                <c:pt idx="537">
                  <c:v>-74.016289934107292</c:v>
                </c:pt>
                <c:pt idx="538">
                  <c:v>-74.094468721620856</c:v>
                </c:pt>
                <c:pt idx="539">
                  <c:v>-74.172415445780786</c:v>
                </c:pt>
                <c:pt idx="540">
                  <c:v>-74.250131479268177</c:v>
                </c:pt>
                <c:pt idx="541">
                  <c:v>-74.327618182676375</c:v>
                </c:pt>
                <c:pt idx="542">
                  <c:v>-74.404876904651772</c:v>
                </c:pt>
                <c:pt idx="543">
                  <c:v>-74.481908982032706</c:v>
                </c:pt>
                <c:pt idx="544">
                  <c:v>-74.558715739986098</c:v>
                </c:pt>
                <c:pt idx="545">
                  <c:v>-74.635298492142411</c:v>
                </c:pt>
                <c:pt idx="546">
                  <c:v>-74.711658540728422</c:v>
                </c:pt>
                <c:pt idx="547">
                  <c:v>-74.787797176698319</c:v>
                </c:pt>
                <c:pt idx="548">
                  <c:v>-74.863715679862764</c:v>
                </c:pt>
                <c:pt idx="549">
                  <c:v>-74.939415319016192</c:v>
                </c:pt>
                <c:pt idx="550">
                  <c:v>-75.014897352062306</c:v>
                </c:pt>
                <c:pt idx="551">
                  <c:v>-75.090163026137787</c:v>
                </c:pt>
                <c:pt idx="552">
                  <c:v>-75.165213577734292</c:v>
                </c:pt>
                <c:pt idx="553">
                  <c:v>-75.240050232818604</c:v>
                </c:pt>
                <c:pt idx="554">
                  <c:v>-75.314674206951352</c:v>
                </c:pt>
                <c:pt idx="555">
                  <c:v>-75.389086705403813</c:v>
                </c:pt>
                <c:pt idx="556">
                  <c:v>-75.463288923273225</c:v>
                </c:pt>
                <c:pt idx="557">
                  <c:v>-75.537282045596442</c:v>
                </c:pt>
                <c:pt idx="558">
                  <c:v>-75.611067247462088</c:v>
                </c:pt>
                <c:pt idx="559">
                  <c:v>-75.684645694121073</c:v>
                </c:pt>
                <c:pt idx="560">
                  <c:v>-75.758018541095581</c:v>
                </c:pt>
                <c:pt idx="561">
                  <c:v>-75.831186934286691</c:v>
                </c:pt>
                <c:pt idx="562">
                  <c:v>-75.904152010080324</c:v>
                </c:pt>
                <c:pt idx="563">
                  <c:v>-75.976914895451927</c:v>
                </c:pt>
                <c:pt idx="564">
                  <c:v>-76.049476708069591</c:v>
                </c:pt>
                <c:pt idx="565">
                  <c:v>-76.121838556395829</c:v>
                </c:pt>
                <c:pt idx="566">
                  <c:v>-76.19400153978799</c:v>
                </c:pt>
                <c:pt idx="567">
                  <c:v>-76.265966748597236</c:v>
                </c:pt>
                <c:pt idx="568">
                  <c:v>-76.337735264266314</c:v>
                </c:pt>
                <c:pt idx="569">
                  <c:v>-76.409308159425819</c:v>
                </c:pt>
                <c:pt idx="570">
                  <c:v>-76.480686497989382</c:v>
                </c:pt>
                <c:pt idx="571">
                  <c:v>-76.55187133524737</c:v>
                </c:pt>
                <c:pt idx="572">
                  <c:v>-76.622863717959561</c:v>
                </c:pt>
                <c:pt idx="573">
                  <c:v>-76.693664684446347</c:v>
                </c:pt>
                <c:pt idx="574">
                  <c:v>-76.764275264678915</c:v>
                </c:pt>
                <c:pt idx="575">
                  <c:v>-76.834696480368109</c:v>
                </c:pt>
                <c:pt idx="576">
                  <c:v>-76.904929345052196</c:v>
                </c:pt>
                <c:pt idx="577">
                  <c:v>-76.974974864183451</c:v>
                </c:pt>
                <c:pt idx="578">
                  <c:v>-77.044834035213555</c:v>
                </c:pt>
                <c:pt idx="579">
                  <c:v>-77.114507847677942</c:v>
                </c:pt>
                <c:pt idx="580">
                  <c:v>-77.18399728327897</c:v>
                </c:pt>
                <c:pt idx="581">
                  <c:v>-77.253303315968139</c:v>
                </c:pt>
                <c:pt idx="582">
                  <c:v>-77.322426912027055</c:v>
                </c:pt>
                <c:pt idx="583">
                  <c:v>-77.391369030147473</c:v>
                </c:pt>
                <c:pt idx="584">
                  <c:v>-77.460130621510245</c:v>
                </c:pt>
                <c:pt idx="585">
                  <c:v>-77.528712629863335</c:v>
                </c:pt>
                <c:pt idx="586">
                  <c:v>-77.597115991598614</c:v>
                </c:pt>
                <c:pt idx="587">
                  <c:v>-77.665341635827986</c:v>
                </c:pt>
                <c:pt idx="588">
                  <c:v>-77.733390484458269</c:v>
                </c:pt>
                <c:pt idx="589">
                  <c:v>-77.801263452265189</c:v>
                </c:pt>
                <c:pt idx="590">
                  <c:v>-77.86896144696658</c:v>
                </c:pt>
                <c:pt idx="591">
                  <c:v>-77.936485369294317</c:v>
                </c:pt>
                <c:pt idx="592">
                  <c:v>-78.003836113065773</c:v>
                </c:pt>
                <c:pt idx="593">
                  <c:v>-78.071014565254032</c:v>
                </c:pt>
                <c:pt idx="594">
                  <c:v>-78.138021606057251</c:v>
                </c:pt>
                <c:pt idx="595">
                  <c:v>-78.2048581089674</c:v>
                </c:pt>
                <c:pt idx="596">
                  <c:v>-78.271524940837807</c:v>
                </c:pt>
                <c:pt idx="597">
                  <c:v>-78.338022961950074</c:v>
                </c:pt>
                <c:pt idx="598">
                  <c:v>-78.404353026080088</c:v>
                </c:pt>
                <c:pt idx="599">
                  <c:v>-78.470515980563206</c:v>
                </c:pt>
                <c:pt idx="600">
                  <c:v>-78.53651266635859</c:v>
                </c:pt>
                <c:pt idx="601">
                  <c:v>-78.602343918112894</c:v>
                </c:pt>
                <c:pt idx="602">
                  <c:v>-78.668010564222911</c:v>
                </c:pt>
                <c:pt idx="603">
                  <c:v>-78.733513426897701</c:v>
                </c:pt>
                <c:pt idx="604">
                  <c:v>-78.79885332221977</c:v>
                </c:pt>
                <c:pt idx="605">
                  <c:v>-78.864031060205619</c:v>
                </c:pt>
                <c:pt idx="606">
                  <c:v>-81.932464229056166</c:v>
                </c:pt>
                <c:pt idx="607">
                  <c:v>-84.679743803131231</c:v>
                </c:pt>
                <c:pt idx="608">
                  <c:v>-87.166915548171659</c:v>
                </c:pt>
                <c:pt idx="609">
                  <c:v>-89.439133447045265</c:v>
                </c:pt>
                <c:pt idx="610">
                  <c:v>-91.530728079863124</c:v>
                </c:pt>
                <c:pt idx="611">
                  <c:v>-93.468405355358485</c:v>
                </c:pt>
                <c:pt idx="612">
                  <c:v>-95.273345962595059</c:v>
                </c:pt>
                <c:pt idx="613">
                  <c:v>-96.962629529741676</c:v>
                </c:pt>
                <c:pt idx="614">
                  <c:v>-98.550228270424071</c:v>
                </c:pt>
                <c:pt idx="615">
                  <c:v>-100.04771730056299</c:v>
                </c:pt>
                <c:pt idx="616">
                  <c:v>-101.46479327697568</c:v>
                </c:pt>
                <c:pt idx="617">
                  <c:v>-102.80966019458118</c:v>
                </c:pt>
                <c:pt idx="618">
                  <c:v>-103.32801206008335</c:v>
                </c:pt>
                <c:pt idx="619">
                  <c:v>-103.83635009892586</c:v>
                </c:pt>
                <c:pt idx="620">
                  <c:v>-104.33505499964744</c:v>
                </c:pt>
                <c:pt idx="621">
                  <c:v>-104.82448600116469</c:v>
                </c:pt>
                <c:pt idx="622">
                  <c:v>-105.30498247888585</c:v>
                </c:pt>
                <c:pt idx="623">
                  <c:v>-105.77686538700334</c:v>
                </c:pt>
                <c:pt idx="624">
                  <c:v>-106.24043857231709</c:v>
                </c:pt>
                <c:pt idx="625">
                  <c:v>-106.69598997306088</c:v>
                </c:pt>
                <c:pt idx="626">
                  <c:v>-107.14379271458574</c:v>
                </c:pt>
                <c:pt idx="627">
                  <c:v>-107.58410611235146</c:v>
                </c:pt>
                <c:pt idx="628">
                  <c:v>-108.01717659146445</c:v>
                </c:pt>
                <c:pt idx="629">
                  <c:v>-108.44323853094298</c:v>
                </c:pt>
                <c:pt idx="630">
                  <c:v>-108.86251503997181</c:v>
                </c:pt>
                <c:pt idx="631">
                  <c:v>-109.2752186726038</c:v>
                </c:pt>
                <c:pt idx="632">
                  <c:v>-109.68155208666343</c:v>
                </c:pt>
                <c:pt idx="633">
                  <c:v>-110.08170865198923</c:v>
                </c:pt>
                <c:pt idx="634">
                  <c:v>-110.47587301261012</c:v>
                </c:pt>
                <c:pt idx="635">
                  <c:v>-110.8642216069717</c:v>
                </c:pt>
                <c:pt idx="636">
                  <c:v>-111.24692314990725</c:v>
                </c:pt>
                <c:pt idx="637">
                  <c:v>-111.62413907967461</c:v>
                </c:pt>
                <c:pt idx="638">
                  <c:v>-111.99602397304858</c:v>
                </c:pt>
                <c:pt idx="639">
                  <c:v>-112.3627259311658</c:v>
                </c:pt>
                <c:pt idx="640">
                  <c:v>-112.72438693855689</c:v>
                </c:pt>
                <c:pt idx="641">
                  <c:v>-113.08114319756855</c:v>
                </c:pt>
                <c:pt idx="642">
                  <c:v>-113.43312544017003</c:v>
                </c:pt>
                <c:pt idx="643">
                  <c:v>-113.7804592189532</c:v>
                </c:pt>
                <c:pt idx="644">
                  <c:v>-114.12326517896921</c:v>
                </c:pt>
                <c:pt idx="645">
                  <c:v>-114.4616593118952</c:v>
                </c:pt>
                <c:pt idx="646">
                  <c:v>-114.79575319389178</c:v>
                </c:pt>
                <c:pt idx="647">
                  <c:v>-115.12565420839039</c:v>
                </c:pt>
                <c:pt idx="648">
                  <c:v>-115.45146575494263</c:v>
                </c:pt>
                <c:pt idx="649">
                  <c:v>-115.77328744516514</c:v>
                </c:pt>
                <c:pt idx="650">
                  <c:v>-116.09121528672566</c:v>
                </c:pt>
                <c:pt idx="651">
                  <c:v>-116.40534185623629</c:v>
                </c:pt>
                <c:pt idx="652">
                  <c:v>-116.71575646184814</c:v>
                </c:pt>
                <c:pt idx="653">
                  <c:v>-117.02254529627525</c:v>
                </c:pt>
                <c:pt idx="654">
                  <c:v>-117.32579158091745</c:v>
                </c:pt>
                <c:pt idx="655">
                  <c:v>-117.62557570169724</c:v>
                </c:pt>
                <c:pt idx="656">
                  <c:v>-117.92197533717726</c:v>
                </c:pt>
                <c:pt idx="657">
                  <c:v>-118.21506557947978</c:v>
                </c:pt>
                <c:pt idx="658">
                  <c:v>-118.50491904848964</c:v>
                </c:pt>
                <c:pt idx="659">
                  <c:v>-118.79160599978434</c:v>
                </c:pt>
                <c:pt idx="660">
                  <c:v>-119.07519442670201</c:v>
                </c:pt>
                <c:pt idx="661">
                  <c:v>-119.35575015692595</c:v>
                </c:pt>
                <c:pt idx="662">
                  <c:v>-119.63333694393708</c:v>
                </c:pt>
                <c:pt idx="663">
                  <c:v>-119.90801655365911</c:v>
                </c:pt>
                <c:pt idx="664">
                  <c:v>-120.17984884659796</c:v>
                </c:pt>
                <c:pt idx="665">
                  <c:v>-120.44889185575455</c:v>
                </c:pt>
                <c:pt idx="666">
                  <c:v>-120.71520186057064</c:v>
                </c:pt>
                <c:pt idx="667">
                  <c:v>-120.97883345714874</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7.2972614188887599</c:v>
                </c:pt>
              </c:numCache>
            </c:numRef>
          </c:xVal>
          <c:yVal>
            <c:numRef>
              <c:f>'Bode Plots Calculations'!$BF$683</c:f>
              <c:numCache>
                <c:formatCode>General</c:formatCode>
                <c:ptCount val="1"/>
                <c:pt idx="0">
                  <c:v>30.866634150465838</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5.0921434418095144</c:v>
                </c:pt>
              </c:numCache>
            </c:numRef>
          </c:xVal>
          <c:yVal>
            <c:numRef>
              <c:f>'Bode Plots Calculations'!$BF$684</c:f>
              <c:numCache>
                <c:formatCode>General</c:formatCode>
                <c:ptCount val="1"/>
                <c:pt idx="0">
                  <c:v>22.206144677381062</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5.8581766517136478</c:v>
                </c:pt>
              </c:numCache>
            </c:numRef>
          </c:xVal>
          <c:yVal>
            <c:numRef>
              <c:f>'Bode Plots Calculations'!$BF$685</c:f>
              <c:numCache>
                <c:formatCode>General</c:formatCode>
                <c:ptCount val="1"/>
                <c:pt idx="0">
                  <c:v>24.878104562780852</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207.23299905437028</c:v>
                </c:pt>
              </c:numCache>
            </c:numRef>
          </c:xVal>
          <c:yVal>
            <c:numRef>
              <c:f>'Bode Plots Calculations'!$BF$686</c:f>
              <c:numCache>
                <c:formatCode>General</c:formatCode>
                <c:ptCount val="1"/>
                <c:pt idx="0">
                  <c:v>-23.018073329543437</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204.53442824601549</c:v>
                </c:pt>
              </c:numCache>
            </c:numRef>
          </c:xVal>
          <c:yVal>
            <c:numRef>
              <c:f>'Bode Plots Calculations'!$BF$687</c:f>
              <c:numCache>
                <c:formatCode>General</c:formatCode>
                <c:ptCount val="1"/>
                <c:pt idx="0">
                  <c:v>-22.759528852628982</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8120.150167028386</c:v>
                </c:pt>
              </c:numCache>
            </c:numRef>
          </c:xVal>
          <c:yVal>
            <c:numRef>
              <c:f>'Bode Plots Calculations'!$BF$682</c:f>
              <c:numCache>
                <c:formatCode>General</c:formatCode>
                <c:ptCount val="1"/>
                <c:pt idx="0">
                  <c:v>-115.54065665272208</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-24.641780804394411</c:v>
                </c:pt>
                <c:pt idx="1">
                  <c:v>-42.521490166683726</c:v>
                </c:pt>
                <c:pt idx="2">
                  <c:v>-53.962642308218527</c:v>
                </c:pt>
                <c:pt idx="3">
                  <c:v>-61.355326902789436</c:v>
                </c:pt>
                <c:pt idx="4">
                  <c:v>-66.367000445856306</c:v>
                </c:pt>
                <c:pt idx="5">
                  <c:v>-69.935345145556511</c:v>
                </c:pt>
                <c:pt idx="6">
                  <c:v>-72.584364240571205</c:v>
                </c:pt>
                <c:pt idx="7">
                  <c:v>-74.619118572684968</c:v>
                </c:pt>
                <c:pt idx="8">
                  <c:v>-76.225993622786504</c:v>
                </c:pt>
                <c:pt idx="9">
                  <c:v>-77.524132088895001</c:v>
                </c:pt>
                <c:pt idx="10">
                  <c:v>-83.408321179186785</c:v>
                </c:pt>
                <c:pt idx="11">
                  <c:v>-85.282860986040419</c:v>
                </c:pt>
                <c:pt idx="12">
                  <c:v>-86.130439738756465</c:v>
                </c:pt>
                <c:pt idx="13">
                  <c:v>-86.564745465954203</c:v>
                </c:pt>
                <c:pt idx="14">
                  <c:v>-86.791903078254194</c:v>
                </c:pt>
                <c:pt idx="15">
                  <c:v>-86.900543269448022</c:v>
                </c:pt>
                <c:pt idx="16">
                  <c:v>-86.935059622823957</c:v>
                </c:pt>
                <c:pt idx="17">
                  <c:v>-86.920141792688057</c:v>
                </c:pt>
                <c:pt idx="18">
                  <c:v>-86.870614295196972</c:v>
                </c:pt>
                <c:pt idx="19">
                  <c:v>-85.614412249988149</c:v>
                </c:pt>
                <c:pt idx="20">
                  <c:v>-83.945602810598061</c:v>
                </c:pt>
                <c:pt idx="21">
                  <c:v>-82.177632324232263</c:v>
                </c:pt>
                <c:pt idx="22">
                  <c:v>-80.374471244309319</c:v>
                </c:pt>
                <c:pt idx="23">
                  <c:v>-78.558479239179945</c:v>
                </c:pt>
                <c:pt idx="24">
                  <c:v>-76.740106678139796</c:v>
                </c:pt>
                <c:pt idx="25">
                  <c:v>-74.925317574607604</c:v>
                </c:pt>
                <c:pt idx="26">
                  <c:v>-73.118061484367004</c:v>
                </c:pt>
                <c:pt idx="27">
                  <c:v>-71.321260316812541</c:v>
                </c:pt>
                <c:pt idx="28">
                  <c:v>-62.565656450697141</c:v>
                </c:pt>
                <c:pt idx="29">
                  <c:v>-54.327326991728981</c:v>
                </c:pt>
                <c:pt idx="30">
                  <c:v>-46.747378663204522</c:v>
                </c:pt>
                <c:pt idx="31">
                  <c:v>-39.935424723423651</c:v>
                </c:pt>
                <c:pt idx="32">
                  <c:v>-33.989688380735188</c:v>
                </c:pt>
                <c:pt idx="33">
                  <c:v>-29.022962858783881</c:v>
                </c:pt>
                <c:pt idx="34">
                  <c:v>-25.204747458438664</c:v>
                </c:pt>
                <c:pt idx="35">
                  <c:v>-22.84056125026234</c:v>
                </c:pt>
                <c:pt idx="36">
                  <c:v>-22.545519253205452</c:v>
                </c:pt>
                <c:pt idx="37">
                  <c:v>-25.675649222781246</c:v>
                </c:pt>
                <c:pt idx="38">
                  <c:v>-35.429130947661449</c:v>
                </c:pt>
                <c:pt idx="39">
                  <c:v>-58.099685955830807</c:v>
                </c:pt>
                <c:pt idx="40">
                  <c:v>-91.845141728467254</c:v>
                </c:pt>
                <c:pt idx="41">
                  <c:v>-115.67648963964426</c:v>
                </c:pt>
                <c:pt idx="42">
                  <c:v>-127.03800237384382</c:v>
                </c:pt>
                <c:pt idx="43">
                  <c:v>-132.28884626052735</c:v>
                </c:pt>
                <c:pt idx="44">
                  <c:v>-134.73496996864941</c:v>
                </c:pt>
                <c:pt idx="45">
                  <c:v>-135.78994299899446</c:v>
                </c:pt>
                <c:pt idx="46">
                  <c:v>-136.10397646730675</c:v>
                </c:pt>
                <c:pt idx="47">
                  <c:v>-136.00476497614781</c:v>
                </c:pt>
                <c:pt idx="48">
                  <c:v>-135.67032375185576</c:v>
                </c:pt>
                <c:pt idx="49">
                  <c:v>-135.2030347294556</c:v>
                </c:pt>
                <c:pt idx="50">
                  <c:v>-134.66431095489847</c:v>
                </c:pt>
                <c:pt idx="51">
                  <c:v>-134.09210506988595</c:v>
                </c:pt>
                <c:pt idx="52">
                  <c:v>-133.51032731932875</c:v>
                </c:pt>
                <c:pt idx="53">
                  <c:v>-132.9341817235636</c:v>
                </c:pt>
                <c:pt idx="54">
                  <c:v>-132.37332224367108</c:v>
                </c:pt>
                <c:pt idx="55">
                  <c:v>-131.83378734518058</c:v>
                </c:pt>
                <c:pt idx="56">
                  <c:v>-131.31922154709008</c:v>
                </c:pt>
                <c:pt idx="57">
                  <c:v>-130.83166609643496</c:v>
                </c:pt>
                <c:pt idx="58">
                  <c:v>-130.37208140616707</c:v>
                </c:pt>
                <c:pt idx="59">
                  <c:v>-129.94069818201817</c:v>
                </c:pt>
                <c:pt idx="60">
                  <c:v>-129.53725670460582</c:v>
                </c:pt>
                <c:pt idx="61">
                  <c:v>-129.16117169086988</c:v>
                </c:pt>
                <c:pt idx="62">
                  <c:v>-128.81164681961513</c:v>
                </c:pt>
                <c:pt idx="63">
                  <c:v>-128.48775472969299</c:v>
                </c:pt>
                <c:pt idx="64">
                  <c:v>-128.188493049161</c:v>
                </c:pt>
                <c:pt idx="65">
                  <c:v>-127.91282361645085</c:v>
                </c:pt>
                <c:pt idx="66">
                  <c:v>-127.65969981680023</c:v>
                </c:pt>
                <c:pt idx="67">
                  <c:v>-127.42808545949448</c:v>
                </c:pt>
                <c:pt idx="68">
                  <c:v>-127.21696760457665</c:v>
                </c:pt>
                <c:pt idx="69">
                  <c:v>-127.02536504829264</c:v>
                </c:pt>
                <c:pt idx="70">
                  <c:v>-126.85233368988987</c:v>
                </c:pt>
                <c:pt idx="71">
                  <c:v>-126.69696966021804</c:v>
                </c:pt>
                <c:pt idx="72">
                  <c:v>-126.55841084973208</c:v>
                </c:pt>
                <c:pt idx="73">
                  <c:v>-126.43583729968748</c:v>
                </c:pt>
                <c:pt idx="74">
                  <c:v>-126.32847079499473</c:v>
                </c:pt>
                <c:pt idx="75">
                  <c:v>-126.23557390623745</c:v>
                </c:pt>
                <c:pt idx="76">
                  <c:v>-126.15644866195632</c:v>
                </c:pt>
                <c:pt idx="77">
                  <c:v>-126.09043498359381</c:v>
                </c:pt>
                <c:pt idx="78">
                  <c:v>-126.03690897961448</c:v>
                </c:pt>
                <c:pt idx="79">
                  <c:v>-125.99528116880207</c:v>
                </c:pt>
                <c:pt idx="80">
                  <c:v>-125.96499468309692</c:v>
                </c:pt>
                <c:pt idx="81">
                  <c:v>-125.94552348576597</c:v>
                </c:pt>
                <c:pt idx="82">
                  <c:v>-125.93637062988822</c:v>
                </c:pt>
                <c:pt idx="83">
                  <c:v>-125.93706657411946</c:v>
                </c:pt>
                <c:pt idx="84">
                  <c:v>-125.94716756676804</c:v>
                </c:pt>
                <c:pt idx="85">
                  <c:v>-125.96625410484062</c:v>
                </c:pt>
                <c:pt idx="86">
                  <c:v>-125.99392947151115</c:v>
                </c:pt>
                <c:pt idx="87">
                  <c:v>-126.0298183531397</c:v>
                </c:pt>
                <c:pt idx="88">
                  <c:v>-126.07356553529654</c:v>
                </c:pt>
                <c:pt idx="89">
                  <c:v>-126.12483467607207</c:v>
                </c:pt>
                <c:pt idx="90">
                  <c:v>-126.18330715414471</c:v>
                </c:pt>
                <c:pt idx="91">
                  <c:v>-126.24868098854922</c:v>
                </c:pt>
                <c:pt idx="92">
                  <c:v>-126.32066982676211</c:v>
                </c:pt>
                <c:pt idx="93">
                  <c:v>-126.39900199754595</c:v>
                </c:pt>
                <c:pt idx="94">
                  <c:v>-126.48341962493255</c:v>
                </c:pt>
                <c:pt idx="95">
                  <c:v>-126.57367779974022</c:v>
                </c:pt>
                <c:pt idx="96">
                  <c:v>-126.66954380509598</c:v>
                </c:pt>
                <c:pt idx="97">
                  <c:v>-126.77079639254576</c:v>
                </c:pt>
                <c:pt idx="98">
                  <c:v>-126.87722510547599</c:v>
                </c:pt>
                <c:pt idx="99">
                  <c:v>-126.98862964672431</c:v>
                </c:pt>
                <c:pt idx="100">
                  <c:v>-127.10481928742462</c:v>
                </c:pt>
                <c:pt idx="101">
                  <c:v>-127.22561231429718</c:v>
                </c:pt>
                <c:pt idx="102">
                  <c:v>-127.35083551276428</c:v>
                </c:pt>
                <c:pt idx="103">
                  <c:v>-127.48032368343648</c:v>
                </c:pt>
                <c:pt idx="104">
                  <c:v>-127.61391918967385</c:v>
                </c:pt>
                <c:pt idx="105">
                  <c:v>-127.7514715340803</c:v>
                </c:pt>
                <c:pt idx="106">
                  <c:v>-127.89283696193429</c:v>
                </c:pt>
                <c:pt idx="107">
                  <c:v>-128.03787808969881</c:v>
                </c:pt>
                <c:pt idx="108">
                  <c:v>-128.18646355688176</c:v>
                </c:pt>
                <c:pt idx="109">
                  <c:v>-128.33846769964259</c:v>
                </c:pt>
                <c:pt idx="110">
                  <c:v>-128.49377024465255</c:v>
                </c:pt>
                <c:pt idx="111">
                  <c:v>-128.65225602182596</c:v>
                </c:pt>
                <c:pt idx="112">
                  <c:v>-128.81381469463645</c:v>
                </c:pt>
                <c:pt idx="113">
                  <c:v>-128.97834050682692</c:v>
                </c:pt>
                <c:pt idx="114">
                  <c:v>-129.14573204440651</c:v>
                </c:pt>
                <c:pt idx="115">
                  <c:v>-129.31589201190909</c:v>
                </c:pt>
                <c:pt idx="116">
                  <c:v>-129.48872702195936</c:v>
                </c:pt>
                <c:pt idx="117">
                  <c:v>-129.66414739726497</c:v>
                </c:pt>
                <c:pt idx="118">
                  <c:v>-129.84206698421232</c:v>
                </c:pt>
                <c:pt idx="119">
                  <c:v>-130.02240297730549</c:v>
                </c:pt>
                <c:pt idx="120">
                  <c:v>-130.20507575374103</c:v>
                </c:pt>
                <c:pt idx="121">
                  <c:v>-130.39000871746154</c:v>
                </c:pt>
                <c:pt idx="122">
                  <c:v>-130.57712815207768</c:v>
                </c:pt>
                <c:pt idx="123">
                  <c:v>-130.76636308209132</c:v>
                </c:pt>
                <c:pt idx="124">
                  <c:v>-130.95764514189239</c:v>
                </c:pt>
                <c:pt idx="125">
                  <c:v>-131.15090845203909</c:v>
                </c:pt>
                <c:pt idx="126">
                  <c:v>-131.34608950236418</c:v>
                </c:pt>
                <c:pt idx="127">
                  <c:v>-131.54312704148339</c:v>
                </c:pt>
                <c:pt idx="128">
                  <c:v>-131.74196197230933</c:v>
                </c:pt>
                <c:pt idx="129">
                  <c:v>-131.94253725320289</c:v>
                </c:pt>
                <c:pt idx="130">
                  <c:v>-132.14479780441835</c:v>
                </c:pt>
                <c:pt idx="131">
                  <c:v>-132.34869041952126</c:v>
                </c:pt>
                <c:pt idx="132">
                  <c:v>-132.5541636814815</c:v>
                </c:pt>
                <c:pt idx="133">
                  <c:v>-132.76116788316114</c:v>
                </c:pt>
                <c:pt idx="134">
                  <c:v>-132.969654951938</c:v>
                </c:pt>
                <c:pt idx="135">
                  <c:v>-133.17957837822061</c:v>
                </c:pt>
                <c:pt idx="136">
                  <c:v>-133.39089314762833</c:v>
                </c:pt>
                <c:pt idx="137">
                  <c:v>-133.60355567662305</c:v>
                </c:pt>
                <c:pt idx="138">
                  <c:v>-133.81752375139499</c:v>
                </c:pt>
                <c:pt idx="139">
                  <c:v>-134.03275646981541</c:v>
                </c:pt>
                <c:pt idx="140">
                  <c:v>-134.24921418628296</c:v>
                </c:pt>
                <c:pt idx="141">
                  <c:v>-134.46685845930034</c:v>
                </c:pt>
                <c:pt idx="142">
                  <c:v>-134.68565200162868</c:v>
                </c:pt>
                <c:pt idx="143">
                  <c:v>-134.90555863287614</c:v>
                </c:pt>
                <c:pt idx="144">
                  <c:v>-135.1265432343869</c:v>
                </c:pt>
                <c:pt idx="145">
                  <c:v>-135.3485717063038</c:v>
                </c:pt>
                <c:pt idx="146">
                  <c:v>-135.57161092668767</c:v>
                </c:pt>
                <c:pt idx="147">
                  <c:v>-135.79562871258054</c:v>
                </c:pt>
                <c:pt idx="148">
                  <c:v>-136.02059378291017</c:v>
                </c:pt>
                <c:pt idx="149">
                  <c:v>-136.2464757231368</c:v>
                </c:pt>
                <c:pt idx="150">
                  <c:v>-136.47324495155007</c:v>
                </c:pt>
                <c:pt idx="151">
                  <c:v>-136.70087268712973</c:v>
                </c:pt>
                <c:pt idx="152">
                  <c:v>-136.92933091888833</c:v>
                </c:pt>
                <c:pt idx="153">
                  <c:v>-137.15859237661908</c:v>
                </c:pt>
                <c:pt idx="154">
                  <c:v>-137.38863050297664</c:v>
                </c:pt>
                <c:pt idx="155">
                  <c:v>-137.61941942682262</c:v>
                </c:pt>
                <c:pt idx="156">
                  <c:v>-137.85093393777149</c:v>
                </c:pt>
                <c:pt idx="157">
                  <c:v>-138.0831494618763</c:v>
                </c:pt>
                <c:pt idx="158">
                  <c:v>-138.31604203839743</c:v>
                </c:pt>
                <c:pt idx="159">
                  <c:v>-138.54958829759988</c:v>
                </c:pt>
                <c:pt idx="160">
                  <c:v>-138.78376543952837</c:v>
                </c:pt>
                <c:pt idx="161">
                  <c:v>-139.01855121371284</c:v>
                </c:pt>
                <c:pt idx="162">
                  <c:v>-139.25392389975758</c:v>
                </c:pt>
                <c:pt idx="163">
                  <c:v>-139.48986228877214</c:v>
                </c:pt>
                <c:pt idx="164">
                  <c:v>-139.72634566560325</c:v>
                </c:pt>
                <c:pt idx="165">
                  <c:v>-139.96335379182878</c:v>
                </c:pt>
                <c:pt idx="166">
                  <c:v>-140.20086688947819</c:v>
                </c:pt>
                <c:pt idx="167">
                  <c:v>-140.43886562544438</c:v>
                </c:pt>
                <c:pt idx="168">
                  <c:v>-140.6773310965547</c:v>
                </c:pt>
                <c:pt idx="169">
                  <c:v>-140.9162448152702</c:v>
                </c:pt>
                <c:pt idx="170">
                  <c:v>-141.15558869598408</c:v>
                </c:pt>
                <c:pt idx="171">
                  <c:v>-141.3953450418912</c:v>
                </c:pt>
                <c:pt idx="172">
                  <c:v>-141.6354965324025</c:v>
                </c:pt>
                <c:pt idx="173">
                  <c:v>-141.87602621107976</c:v>
                </c:pt>
                <c:pt idx="174">
                  <c:v>-142.11691747406647</c:v>
                </c:pt>
                <c:pt idx="175">
                  <c:v>-142.35815405899282</c:v>
                </c:pt>
                <c:pt idx="176">
                  <c:v>-142.59972003433293</c:v>
                </c:pt>
                <c:pt idx="177">
                  <c:v>-142.84159978919482</c:v>
                </c:pt>
                <c:pt idx="178">
                  <c:v>-143.083778023523</c:v>
                </c:pt>
                <c:pt idx="179">
                  <c:v>-143.32623973869599</c:v>
                </c:pt>
                <c:pt idx="180">
                  <c:v>-143.56897022850117</c:v>
                </c:pt>
                <c:pt idx="181">
                  <c:v>-143.81195507047011</c:v>
                </c:pt>
                <c:pt idx="182">
                  <c:v>-144.05518011755927</c:v>
                </c:pt>
                <c:pt idx="183">
                  <c:v>-144.29863149016018</c:v>
                </c:pt>
                <c:pt idx="184">
                  <c:v>-144.542295568426</c:v>
                </c:pt>
                <c:pt idx="185">
                  <c:v>-144.7861589848992</c:v>
                </c:pt>
                <c:pt idx="186">
                  <c:v>-145.03020861742931</c:v>
                </c:pt>
                <c:pt idx="187">
                  <c:v>-145.2744315823667</c:v>
                </c:pt>
                <c:pt idx="188">
                  <c:v>-145.51881522802188</c:v>
                </c:pt>
                <c:pt idx="189">
                  <c:v>-145.7633471283782</c:v>
                </c:pt>
                <c:pt idx="190">
                  <c:v>-146.00801507704745</c:v>
                </c:pt>
                <c:pt idx="191">
                  <c:v>-146.25280708145894</c:v>
                </c:pt>
                <c:pt idx="192">
                  <c:v>-146.49771135727076</c:v>
                </c:pt>
                <c:pt idx="193">
                  <c:v>-146.74271632299545</c:v>
                </c:pt>
                <c:pt idx="194">
                  <c:v>-146.98781059483008</c:v>
                </c:pt>
                <c:pt idx="195">
                  <c:v>-147.23298298168277</c:v>
                </c:pt>
                <c:pt idx="196">
                  <c:v>-147.47822248038773</c:v>
                </c:pt>
                <c:pt idx="197">
                  <c:v>-147.72351827110009</c:v>
                </c:pt>
                <c:pt idx="198">
                  <c:v>-147.9688597128644</c:v>
                </c:pt>
                <c:pt idx="199">
                  <c:v>-148.21423633934884</c:v>
                </c:pt>
                <c:pt idx="200">
                  <c:v>-148.45963785473811</c:v>
                </c:pt>
                <c:pt idx="201">
                  <c:v>-148.70505412977974</c:v>
                </c:pt>
                <c:pt idx="202">
                  <c:v>-148.95047519797643</c:v>
                </c:pt>
                <c:pt idx="203">
                  <c:v>-149.19589125191851</c:v>
                </c:pt>
                <c:pt idx="204">
                  <c:v>-149.44129263975196</c:v>
                </c:pt>
                <c:pt idx="205">
                  <c:v>-149.68666986177507</c:v>
                </c:pt>
                <c:pt idx="206">
                  <c:v>-149.93201356715946</c:v>
                </c:pt>
                <c:pt idx="207">
                  <c:v>-150.17731455079007</c:v>
                </c:pt>
                <c:pt idx="208">
                  <c:v>-150.42256375021989</c:v>
                </c:pt>
                <c:pt idx="209">
                  <c:v>-150.66775224273334</c:v>
                </c:pt>
                <c:pt idx="210">
                  <c:v>-150.91287124251616</c:v>
                </c:pt>
                <c:pt idx="211">
                  <c:v>-151.15791209792533</c:v>
                </c:pt>
                <c:pt idx="212">
                  <c:v>-151.40286628885664</c:v>
                </c:pt>
                <c:pt idx="213">
                  <c:v>-151.64772542420485</c:v>
                </c:pt>
                <c:pt idx="214">
                  <c:v>-151.8924812394136</c:v>
                </c:pt>
                <c:pt idx="215">
                  <c:v>-152.1371255941107</c:v>
                </c:pt>
                <c:pt idx="216">
                  <c:v>-152.38165046982633</c:v>
                </c:pt>
                <c:pt idx="217">
                  <c:v>-152.62604796778933</c:v>
                </c:pt>
                <c:pt idx="218">
                  <c:v>-152.87031030680046</c:v>
                </c:pt>
                <c:pt idx="219">
                  <c:v>-153.11442982117754</c:v>
                </c:pt>
                <c:pt idx="220">
                  <c:v>-153.35839895877098</c:v>
                </c:pt>
                <c:pt idx="221">
                  <c:v>-153.60221027904618</c:v>
                </c:pt>
                <c:pt idx="222">
                  <c:v>-153.84585645123053</c:v>
                </c:pt>
                <c:pt idx="223">
                  <c:v>-154.0893302525219</c:v>
                </c:pt>
                <c:pt idx="224">
                  <c:v>-154.33262456635643</c:v>
                </c:pt>
                <c:pt idx="225">
                  <c:v>-154.57573238073368</c:v>
                </c:pt>
                <c:pt idx="226">
                  <c:v>-156.99508208280008</c:v>
                </c:pt>
                <c:pt idx="227">
                  <c:v>-159.38878869892503</c:v>
                </c:pt>
                <c:pt idx="228">
                  <c:v>-161.75135318389394</c:v>
                </c:pt>
                <c:pt idx="229">
                  <c:v>-164.07806267791281</c:v>
                </c:pt>
                <c:pt idx="230">
                  <c:v>-166.36491205610864</c:v>
                </c:pt>
                <c:pt idx="231">
                  <c:v>-168.60853968389318</c:v>
                </c:pt>
                <c:pt idx="232">
                  <c:v>-170.80617201757104</c:v>
                </c:pt>
                <c:pt idx="233">
                  <c:v>-172.95557361346306</c:v>
                </c:pt>
                <c:pt idx="234">
                  <c:v>-175.05500045105006</c:v>
                </c:pt>
                <c:pt idx="235">
                  <c:v>-177.10315539994195</c:v>
                </c:pt>
                <c:pt idx="236">
                  <c:v>-179.09914527991069</c:v>
                </c:pt>
                <c:pt idx="237">
                  <c:v>-181.04243935945789</c:v>
                </c:pt>
                <c:pt idx="238">
                  <c:v>-182.93282937256035</c:v>
                </c:pt>
                <c:pt idx="239">
                  <c:v>-184.77039125219224</c:v>
                </c:pt>
                <c:pt idx="240">
                  <c:v>-186.55544881909591</c:v>
                </c:pt>
                <c:pt idx="241">
                  <c:v>-188.28853965279518</c:v>
                </c:pt>
                <c:pt idx="242">
                  <c:v>-189.97038332987546</c:v>
                </c:pt>
                <c:pt idx="243">
                  <c:v>-191.60185215736212</c:v>
                </c:pt>
                <c:pt idx="244">
                  <c:v>-193.18394446729246</c:v>
                </c:pt>
                <c:pt idx="245">
                  <c:v>-194.71776047938067</c:v>
                </c:pt>
                <c:pt idx="246">
                  <c:v>-196.20448068628625</c:v>
                </c:pt>
                <c:pt idx="247">
                  <c:v>-197.64534667260679</c:v>
                </c:pt>
                <c:pt idx="248">
                  <c:v>-199.0416442450551</c:v>
                </c:pt>
                <c:pt idx="249">
                  <c:v>-200.39468872707698</c:v>
                </c:pt>
                <c:pt idx="250">
                  <c:v>-201.70581225555264</c:v>
                </c:pt>
                <c:pt idx="251">
                  <c:v>-202.97635290901675</c:v>
                </c:pt>
                <c:pt idx="252">
                  <c:v>-204.20764549471559</c:v>
                </c:pt>
                <c:pt idx="253">
                  <c:v>-205.40101382450672</c:v>
                </c:pt>
                <c:pt idx="254">
                  <c:v>-206.55776431590411</c:v>
                </c:pt>
                <c:pt idx="255">
                  <c:v>-207.67918076343497</c:v>
                </c:pt>
                <c:pt idx="256">
                  <c:v>-208.7665201360162</c:v>
                </c:pt>
                <c:pt idx="257">
                  <c:v>-209.82100926756317</c:v>
                </c:pt>
                <c:pt idx="258">
                  <c:v>-210.84384231994173</c:v>
                </c:pt>
                <c:pt idx="259">
                  <c:v>-211.83617890923443</c:v>
                </c:pt>
                <c:pt idx="260">
                  <c:v>-212.79914279780039</c:v>
                </c:pt>
                <c:pt idx="261">
                  <c:v>-213.73382106554138</c:v>
                </c:pt>
                <c:pt idx="262">
                  <c:v>-214.64126368400701</c:v>
                </c:pt>
                <c:pt idx="263">
                  <c:v>-215.52248342639535</c:v>
                </c:pt>
                <c:pt idx="264">
                  <c:v>-216.37845605509756</c:v>
                </c:pt>
                <c:pt idx="265">
                  <c:v>-217.21012073619326</c:v>
                </c:pt>
                <c:pt idx="266">
                  <c:v>-218.01838063725813</c:v>
                </c:pt>
                <c:pt idx="267">
                  <c:v>-218.80410367102348</c:v>
                </c:pt>
                <c:pt idx="268">
                  <c:v>-219.56812335289712</c:v>
                </c:pt>
                <c:pt idx="269">
                  <c:v>-220.3112397451562</c:v>
                </c:pt>
                <c:pt idx="270">
                  <c:v>-221.03422046482498</c:v>
                </c:pt>
                <c:pt idx="271">
                  <c:v>-221.73780173590896</c:v>
                </c:pt>
                <c:pt idx="272">
                  <c:v>-222.42268946982739</c:v>
                </c:pt>
                <c:pt idx="273">
                  <c:v>-223.08956036062551</c:v>
                </c:pt>
                <c:pt idx="274">
                  <c:v>-223.73906298390258</c:v>
                </c:pt>
                <c:pt idx="275">
                  <c:v>-224.37181889041099</c:v>
                </c:pt>
                <c:pt idx="276">
                  <c:v>-224.9884236870073</c:v>
                </c:pt>
                <c:pt idx="277">
                  <c:v>-225.58944809910105</c:v>
                </c:pt>
                <c:pt idx="278">
                  <c:v>-226.17543900999286</c:v>
                </c:pt>
                <c:pt idx="279">
                  <c:v>-226.7469204735433</c:v>
                </c:pt>
                <c:pt idx="280">
                  <c:v>-227.30439469749726</c:v>
                </c:pt>
                <c:pt idx="281">
                  <c:v>-227.84834299552861</c:v>
                </c:pt>
                <c:pt idx="282">
                  <c:v>-228.37922670668624</c:v>
                </c:pt>
                <c:pt idx="283">
                  <c:v>-228.89748808143409</c:v>
                </c:pt>
                <c:pt idx="284">
                  <c:v>-229.40355113389779</c:v>
                </c:pt>
                <c:pt idx="285">
                  <c:v>-229.89782246027534</c:v>
                </c:pt>
                <c:pt idx="286">
                  <c:v>-230.38069202364701</c:v>
                </c:pt>
                <c:pt idx="287">
                  <c:v>-230.85253390564523</c:v>
                </c:pt>
                <c:pt idx="288">
                  <c:v>-231.31370702562052</c:v>
                </c:pt>
                <c:pt idx="289">
                  <c:v>-231.76455582807822</c:v>
                </c:pt>
                <c:pt idx="290">
                  <c:v>-232.20541093926656</c:v>
                </c:pt>
                <c:pt idx="291">
                  <c:v>-232.63658979387202</c:v>
                </c:pt>
                <c:pt idx="292">
                  <c:v>-233.05839723283609</c:v>
                </c:pt>
                <c:pt idx="293">
                  <c:v>-233.47112607333878</c:v>
                </c:pt>
                <c:pt idx="294">
                  <c:v>-233.87505765201934</c:v>
                </c:pt>
                <c:pt idx="295">
                  <c:v>-234.27046234250787</c:v>
                </c:pt>
                <c:pt idx="296">
                  <c:v>-234.65760004834107</c:v>
                </c:pt>
                <c:pt idx="297">
                  <c:v>-235.03672067232378</c:v>
                </c:pt>
                <c:pt idx="298">
                  <c:v>-235.40806456337833</c:v>
                </c:pt>
                <c:pt idx="299">
                  <c:v>-235.77186294190389</c:v>
                </c:pt>
                <c:pt idx="300">
                  <c:v>-236.12833830463768</c:v>
                </c:pt>
                <c:pt idx="301">
                  <c:v>-236.47770480998193</c:v>
                </c:pt>
                <c:pt idx="302">
                  <c:v>-236.82016864472718</c:v>
                </c:pt>
                <c:pt idx="303">
                  <c:v>-237.15592837307057</c:v>
                </c:pt>
                <c:pt idx="304">
                  <c:v>-237.48517526879044</c:v>
                </c:pt>
                <c:pt idx="305">
                  <c:v>-237.80809363140679</c:v>
                </c:pt>
                <c:pt idx="306">
                  <c:v>-238.12486108711991</c:v>
                </c:pt>
                <c:pt idx="307">
                  <c:v>-238.43564887528532</c:v>
                </c:pt>
                <c:pt idx="308">
                  <c:v>-238.74062212114995</c:v>
                </c:pt>
                <c:pt idx="309">
                  <c:v>-239.0399400955404</c:v>
                </c:pt>
                <c:pt idx="310">
                  <c:v>-239.33375646215981</c:v>
                </c:pt>
                <c:pt idx="311">
                  <c:v>-239.62221951312176</c:v>
                </c:pt>
                <c:pt idx="312">
                  <c:v>-239.90547239331568</c:v>
                </c:pt>
                <c:pt idx="313">
                  <c:v>-240.18365331417016</c:v>
                </c:pt>
                <c:pt idx="314">
                  <c:v>-240.45689575735267</c:v>
                </c:pt>
                <c:pt idx="315">
                  <c:v>-240.72532866891507</c:v>
                </c:pt>
                <c:pt idx="316">
                  <c:v>-240.98907664437081</c:v>
                </c:pt>
                <c:pt idx="317">
                  <c:v>-241.24826010516242</c:v>
                </c:pt>
                <c:pt idx="318">
                  <c:v>-241.50299546695467</c:v>
                </c:pt>
                <c:pt idx="319">
                  <c:v>-241.75339530016831</c:v>
                </c:pt>
                <c:pt idx="320">
                  <c:v>-241.99956848314355</c:v>
                </c:pt>
                <c:pt idx="321">
                  <c:v>-242.24162034830616</c:v>
                </c:pt>
                <c:pt idx="322">
                  <c:v>-242.47965282168656</c:v>
                </c:pt>
                <c:pt idx="323">
                  <c:v>-242.71376455612534</c:v>
                </c:pt>
                <c:pt idx="324">
                  <c:v>-242.94405105848011</c:v>
                </c:pt>
                <c:pt idx="325">
                  <c:v>-243.17060481113316</c:v>
                </c:pt>
                <c:pt idx="326">
                  <c:v>-243.39351538808233</c:v>
                </c:pt>
                <c:pt idx="327">
                  <c:v>-243.6128695658829</c:v>
                </c:pt>
                <c:pt idx="328">
                  <c:v>-243.82875142969539</c:v>
                </c:pt>
                <c:pt idx="329">
                  <c:v>-244.04124247467806</c:v>
                </c:pt>
                <c:pt idx="330">
                  <c:v>-244.25042170295387</c:v>
                </c:pt>
                <c:pt idx="331">
                  <c:v>-244.45636571636561</c:v>
                </c:pt>
                <c:pt idx="332">
                  <c:v>-244.65914880522558</c:v>
                </c:pt>
                <c:pt idx="333">
                  <c:v>-244.85884303325201</c:v>
                </c:pt>
                <c:pt idx="334">
                  <c:v>-245.05551831887666</c:v>
                </c:pt>
                <c:pt idx="335">
                  <c:v>-245.24924251309753</c:v>
                </c:pt>
                <c:pt idx="336">
                  <c:v>-245.44008147404105</c:v>
                </c:pt>
                <c:pt idx="337">
                  <c:v>-245.62809913839084</c:v>
                </c:pt>
                <c:pt idx="338">
                  <c:v>-245.81335758983062</c:v>
                </c:pt>
                <c:pt idx="339">
                  <c:v>-245.99591712464243</c:v>
                </c:pt>
                <c:pt idx="340">
                  <c:v>-246.17583631459314</c:v>
                </c:pt>
                <c:pt idx="341">
                  <c:v>-246.3531720672359</c:v>
                </c:pt>
                <c:pt idx="342">
                  <c:v>-246.52797968374654</c:v>
                </c:pt>
                <c:pt idx="343">
                  <c:v>-246.70031291440887</c:v>
                </c:pt>
                <c:pt idx="344">
                  <c:v>-246.87022401185718</c:v>
                </c:pt>
                <c:pt idx="345">
                  <c:v>-247.03776378217785</c:v>
                </c:pt>
                <c:pt idx="346">
                  <c:v>-247.20298163396893</c:v>
                </c:pt>
                <c:pt idx="347">
                  <c:v>-247.36592562544899</c:v>
                </c:pt>
                <c:pt idx="348">
                  <c:v>-247.52664250970335</c:v>
                </c:pt>
                <c:pt idx="349">
                  <c:v>-247.68517777815245</c:v>
                </c:pt>
                <c:pt idx="350">
                  <c:v>-247.84157570232063</c:v>
                </c:pt>
                <c:pt idx="351">
                  <c:v>-247.99587937398047</c:v>
                </c:pt>
                <c:pt idx="352">
                  <c:v>-248.14813074374621</c:v>
                </c:pt>
                <c:pt idx="353">
                  <c:v>-248.29837065818256</c:v>
                </c:pt>
                <c:pt idx="354">
                  <c:v>-248.4466388954956</c:v>
                </c:pt>
                <c:pt idx="355">
                  <c:v>-248.59297419986578</c:v>
                </c:pt>
                <c:pt idx="356">
                  <c:v>-248.73741431448346</c:v>
                </c:pt>
                <c:pt idx="357">
                  <c:v>-248.87999601334198</c:v>
                </c:pt>
                <c:pt idx="358">
                  <c:v>-249.02075513184167</c:v>
                </c:pt>
                <c:pt idx="359">
                  <c:v>-249.15972659625572</c:v>
                </c:pt>
                <c:pt idx="360">
                  <c:v>-249.29694445210649</c:v>
                </c:pt>
                <c:pt idx="361">
                  <c:v>-249.43244189149783</c:v>
                </c:pt>
                <c:pt idx="362">
                  <c:v>-249.56625127944687</c:v>
                </c:pt>
                <c:pt idx="363">
                  <c:v>-249.69840417925874</c:v>
                </c:pt>
                <c:pt idx="364">
                  <c:v>-249.82893137698207</c:v>
                </c:pt>
                <c:pt idx="365">
                  <c:v>-249.95786290498506</c:v>
                </c:pt>
                <c:pt idx="366">
                  <c:v>-250.0852280646867</c:v>
                </c:pt>
                <c:pt idx="367">
                  <c:v>-250.2110554484793</c:v>
                </c:pt>
                <c:pt idx="368">
                  <c:v>-250.33537296087437</c:v>
                </c:pt>
                <c:pt idx="369">
                  <c:v>-250.45820783890335</c:v>
                </c:pt>
                <c:pt idx="370">
                  <c:v>-250.57958667180387</c:v>
                </c:pt>
                <c:pt idx="371">
                  <c:v>-250.69953542001963</c:v>
                </c:pt>
                <c:pt idx="372">
                  <c:v>-250.81807943354175</c:v>
                </c:pt>
                <c:pt idx="373">
                  <c:v>-250.93524346961752</c:v>
                </c:pt>
                <c:pt idx="374">
                  <c:v>-251.05105170985144</c:v>
                </c:pt>
                <c:pt idx="375">
                  <c:v>-251.16552777672314</c:v>
                </c:pt>
                <c:pt idx="376">
                  <c:v>-251.27869474954423</c:v>
                </c:pt>
                <c:pt idx="377">
                  <c:v>-251.39057517987629</c:v>
                </c:pt>
                <c:pt idx="378">
                  <c:v>-251.50119110643115</c:v>
                </c:pt>
                <c:pt idx="379">
                  <c:v>-251.61056406947267</c:v>
                </c:pt>
                <c:pt idx="380">
                  <c:v>-251.71871512474044</c:v>
                </c:pt>
                <c:pt idx="381">
                  <c:v>-251.82566485691217</c:v>
                </c:pt>
                <c:pt idx="382">
                  <c:v>-251.93143339262326</c:v>
                </c:pt>
                <c:pt idx="383">
                  <c:v>-252.0360404130605</c:v>
                </c:pt>
                <c:pt idx="384">
                  <c:v>-252.13950516614483</c:v>
                </c:pt>
                <c:pt idx="385">
                  <c:v>-252.24184647831979</c:v>
                </c:pt>
                <c:pt idx="386">
                  <c:v>-252.34308276595965</c:v>
                </c:pt>
                <c:pt idx="387">
                  <c:v>-252.44323204641123</c:v>
                </c:pt>
                <c:pt idx="388">
                  <c:v>-252.54231194868393</c:v>
                </c:pt>
                <c:pt idx="389">
                  <c:v>-252.64033972379906</c:v>
                </c:pt>
                <c:pt idx="390">
                  <c:v>-252.73733225481334</c:v>
                </c:pt>
                <c:pt idx="391">
                  <c:v>-252.83330606652598</c:v>
                </c:pt>
                <c:pt idx="392">
                  <c:v>-252.92827733488295</c:v>
                </c:pt>
                <c:pt idx="393">
                  <c:v>-253.02226189608746</c:v>
                </c:pt>
                <c:pt idx="394">
                  <c:v>-253.11527525542877</c:v>
                </c:pt>
                <c:pt idx="395">
                  <c:v>-253.20733259583849</c:v>
                </c:pt>
                <c:pt idx="396">
                  <c:v>-253.29844878618414</c:v>
                </c:pt>
                <c:pt idx="397">
                  <c:v>-253.38863838930973</c:v>
                </c:pt>
                <c:pt idx="398">
                  <c:v>-253.47791566983153</c:v>
                </c:pt>
                <c:pt idx="399">
                  <c:v>-253.56629460169847</c:v>
                </c:pt>
                <c:pt idx="400">
                  <c:v>-253.65378887552467</c:v>
                </c:pt>
                <c:pt idx="401">
                  <c:v>-253.74041190570219</c:v>
                </c:pt>
                <c:pt idx="402">
                  <c:v>-253.82617683730203</c:v>
                </c:pt>
                <c:pt idx="403">
                  <c:v>-253.91109655277012</c:v>
                </c:pt>
                <c:pt idx="404">
                  <c:v>-253.99518367842524</c:v>
                </c:pt>
                <c:pt idx="405">
                  <c:v>-254.07845059076655</c:v>
                </c:pt>
                <c:pt idx="406">
                  <c:v>-254.16090942259592</c:v>
                </c:pt>
                <c:pt idx="407">
                  <c:v>-254.24257206896237</c:v>
                </c:pt>
                <c:pt idx="408">
                  <c:v>-254.32345019293379</c:v>
                </c:pt>
                <c:pt idx="409">
                  <c:v>-254.40355523120266</c:v>
                </c:pt>
                <c:pt idx="410">
                  <c:v>-254.48289839952977</c:v>
                </c:pt>
                <c:pt idx="411">
                  <c:v>-254.56149069803354</c:v>
                </c:pt>
                <c:pt idx="412">
                  <c:v>-254.63934291632793</c:v>
                </c:pt>
                <c:pt idx="413">
                  <c:v>-254.71646563851482</c:v>
                </c:pt>
                <c:pt idx="414">
                  <c:v>-254.79286924803597</c:v>
                </c:pt>
                <c:pt idx="415">
                  <c:v>-254.8685639323885</c:v>
                </c:pt>
                <c:pt idx="416">
                  <c:v>-254.94355968770833</c:v>
                </c:pt>
                <c:pt idx="417">
                  <c:v>-255.01786632322677</c:v>
                </c:pt>
                <c:pt idx="418">
                  <c:v>-255.09149346560292</c:v>
                </c:pt>
                <c:pt idx="419">
                  <c:v>-255.16445056313685</c:v>
                </c:pt>
                <c:pt idx="420">
                  <c:v>-255.23674688986739</c:v>
                </c:pt>
                <c:pt idx="421">
                  <c:v>-255.30839154955729</c:v>
                </c:pt>
                <c:pt idx="422">
                  <c:v>-255.37939347957038</c:v>
                </c:pt>
                <c:pt idx="423">
                  <c:v>-255.44976145464378</c:v>
                </c:pt>
                <c:pt idx="424">
                  <c:v>-255.5195040905576</c:v>
                </c:pt>
                <c:pt idx="425">
                  <c:v>-255.58862984770695</c:v>
                </c:pt>
                <c:pt idx="426">
                  <c:v>-255.65714703457806</c:v>
                </c:pt>
                <c:pt idx="427">
                  <c:v>-255.72506381113124</c:v>
                </c:pt>
                <c:pt idx="428">
                  <c:v>-255.79238819209533</c:v>
                </c:pt>
                <c:pt idx="429">
                  <c:v>-255.85912805017409</c:v>
                </c:pt>
                <c:pt idx="430">
                  <c:v>-255.92529111916889</c:v>
                </c:pt>
                <c:pt idx="431">
                  <c:v>-255.99088499701921</c:v>
                </c:pt>
                <c:pt idx="432">
                  <c:v>-256.05591714876454</c:v>
                </c:pt>
                <c:pt idx="433">
                  <c:v>-256.1203949094284</c:v>
                </c:pt>
                <c:pt idx="434">
                  <c:v>-256.18432548682904</c:v>
                </c:pt>
                <c:pt idx="435">
                  <c:v>-256.24771596431651</c:v>
                </c:pt>
                <c:pt idx="436">
                  <c:v>-256.31057330344061</c:v>
                </c:pt>
                <c:pt idx="437">
                  <c:v>-256.37290434654994</c:v>
                </c:pt>
                <c:pt idx="438">
                  <c:v>-256.43471581932545</c:v>
                </c:pt>
                <c:pt idx="439">
                  <c:v>-256.4960143332496</c:v>
                </c:pt>
                <c:pt idx="440">
                  <c:v>-256.55680638801323</c:v>
                </c:pt>
                <c:pt idx="441">
                  <c:v>-256.61709837386178</c:v>
                </c:pt>
                <c:pt idx="442">
                  <c:v>-256.67689657388354</c:v>
                </c:pt>
                <c:pt idx="443">
                  <c:v>-256.73620716624021</c:v>
                </c:pt>
                <c:pt idx="444">
                  <c:v>-256.79503622634206</c:v>
                </c:pt>
                <c:pt idx="445">
                  <c:v>-256.85338972897006</c:v>
                </c:pt>
                <c:pt idx="446">
                  <c:v>-256.91127355034519</c:v>
                </c:pt>
                <c:pt idx="447">
                  <c:v>-256.96869347014723</c:v>
                </c:pt>
                <c:pt idx="448">
                  <c:v>-257.0256551734841</c:v>
                </c:pt>
                <c:pt idx="449">
                  <c:v>-257.08216425281347</c:v>
                </c:pt>
                <c:pt idx="450">
                  <c:v>-257.13822620981807</c:v>
                </c:pt>
                <c:pt idx="451">
                  <c:v>-257.193846457235</c:v>
                </c:pt>
                <c:pt idx="452">
                  <c:v>-257.24903032064185</c:v>
                </c:pt>
                <c:pt idx="453">
                  <c:v>-257.3037830401999</c:v>
                </c:pt>
                <c:pt idx="454">
                  <c:v>-257.35810977235548</c:v>
                </c:pt>
                <c:pt idx="455">
                  <c:v>-257.41201559150073</c:v>
                </c:pt>
                <c:pt idx="456">
                  <c:v>-257.46550549159599</c:v>
                </c:pt>
                <c:pt idx="457">
                  <c:v>-257.51858438775321</c:v>
                </c:pt>
                <c:pt idx="458">
                  <c:v>-257.57125711778184</c:v>
                </c:pt>
                <c:pt idx="459">
                  <c:v>-257.62352844370002</c:v>
                </c:pt>
                <c:pt idx="460">
                  <c:v>-257.67540305320853</c:v>
                </c:pt>
                <c:pt idx="461">
                  <c:v>-257.72688556113252</c:v>
                </c:pt>
                <c:pt idx="462">
                  <c:v>-257.77798051082834</c:v>
                </c:pt>
                <c:pt idx="463">
                  <c:v>-257.82869237555911</c:v>
                </c:pt>
                <c:pt idx="464">
                  <c:v>-257.87902555983783</c:v>
                </c:pt>
                <c:pt idx="465">
                  <c:v>-257.92898440074038</c:v>
                </c:pt>
                <c:pt idx="466">
                  <c:v>-257.97857316918845</c:v>
                </c:pt>
                <c:pt idx="467">
                  <c:v>-258.02779607120306</c:v>
                </c:pt>
                <c:pt idx="468">
                  <c:v>-258.07665724913028</c:v>
                </c:pt>
                <c:pt idx="469">
                  <c:v>-258.12516078283903</c:v>
                </c:pt>
                <c:pt idx="470">
                  <c:v>-258.17331069089187</c:v>
                </c:pt>
                <c:pt idx="471">
                  <c:v>-258.22111093168968</c:v>
                </c:pt>
                <c:pt idx="472">
                  <c:v>-258.26856540459136</c:v>
                </c:pt>
                <c:pt idx="473">
                  <c:v>-258.31567795100767</c:v>
                </c:pt>
                <c:pt idx="474">
                  <c:v>-258.36245235547187</c:v>
                </c:pt>
                <c:pt idx="475">
                  <c:v>-258.40889234668629</c:v>
                </c:pt>
                <c:pt idx="476">
                  <c:v>-258.45500159854561</c:v>
                </c:pt>
                <c:pt idx="477">
                  <c:v>-258.50078373113871</c:v>
                </c:pt>
                <c:pt idx="478">
                  <c:v>-258.54624231172738</c:v>
                </c:pt>
                <c:pt idx="479">
                  <c:v>-258.59138085570515</c:v>
                </c:pt>
                <c:pt idx="480">
                  <c:v>-258.63620282753425</c:v>
                </c:pt>
                <c:pt idx="481">
                  <c:v>-258.68071164166287</c:v>
                </c:pt>
                <c:pt idx="482">
                  <c:v>-258.72491066342275</c:v>
                </c:pt>
                <c:pt idx="483">
                  <c:v>-258.76880320990756</c:v>
                </c:pt>
                <c:pt idx="484">
                  <c:v>-258.81239255083176</c:v>
                </c:pt>
                <c:pt idx="485">
                  <c:v>-258.85568190937283</c:v>
                </c:pt>
                <c:pt idx="486">
                  <c:v>-258.89867446299365</c:v>
                </c:pt>
                <c:pt idx="487">
                  <c:v>-258.94137334424926</c:v>
                </c:pt>
                <c:pt idx="488">
                  <c:v>-258.9837816415756</c:v>
                </c:pt>
                <c:pt idx="489">
                  <c:v>-259.02590240006202</c:v>
                </c:pt>
                <c:pt idx="490">
                  <c:v>-259.06773862220768</c:v>
                </c:pt>
                <c:pt idx="491">
                  <c:v>-259.10929326866199</c:v>
                </c:pt>
                <c:pt idx="492">
                  <c:v>-259.15056925895021</c:v>
                </c:pt>
                <c:pt idx="493">
                  <c:v>-259.19156947218318</c:v>
                </c:pt>
                <c:pt idx="494">
                  <c:v>-259.23229674775331</c:v>
                </c:pt>
                <c:pt idx="495">
                  <c:v>-259.27275388601561</c:v>
                </c:pt>
                <c:pt idx="496">
                  <c:v>-259.31294364895518</c:v>
                </c:pt>
                <c:pt idx="497">
                  <c:v>-259.35286876084081</c:v>
                </c:pt>
                <c:pt idx="498">
                  <c:v>-259.39253190886541</c:v>
                </c:pt>
                <c:pt idx="499">
                  <c:v>-259.43193574377352</c:v>
                </c:pt>
                <c:pt idx="500">
                  <c:v>-259.47108288047588</c:v>
                </c:pt>
                <c:pt idx="501">
                  <c:v>-259.50997589865216</c:v>
                </c:pt>
                <c:pt idx="502">
                  <c:v>-259.54861734334082</c:v>
                </c:pt>
                <c:pt idx="503">
                  <c:v>-259.58700972551782</c:v>
                </c:pt>
                <c:pt idx="504">
                  <c:v>-259.62515552266353</c:v>
                </c:pt>
                <c:pt idx="505">
                  <c:v>-259.66305717931834</c:v>
                </c:pt>
                <c:pt idx="506">
                  <c:v>-259.70071710762761</c:v>
                </c:pt>
                <c:pt idx="507">
                  <c:v>-259.73813768787471</c:v>
                </c:pt>
                <c:pt idx="508">
                  <c:v>-259.77532126900576</c:v>
                </c:pt>
                <c:pt idx="509">
                  <c:v>-259.81227016914158</c:v>
                </c:pt>
                <c:pt idx="510">
                  <c:v>-259.84898667608138</c:v>
                </c:pt>
                <c:pt idx="511">
                  <c:v>-259.88547304779587</c:v>
                </c:pt>
                <c:pt idx="512">
                  <c:v>-259.92173151291115</c:v>
                </c:pt>
                <c:pt idx="513">
                  <c:v>-259.95776427118267</c:v>
                </c:pt>
                <c:pt idx="514">
                  <c:v>-259.99357349396075</c:v>
                </c:pt>
                <c:pt idx="515">
                  <c:v>-260.02916132464679</c:v>
                </c:pt>
                <c:pt idx="516">
                  <c:v>-260.06452987914054</c:v>
                </c:pt>
                <c:pt idx="517">
                  <c:v>-260.09968124627909</c:v>
                </c:pt>
                <c:pt idx="518">
                  <c:v>-260.13461748826768</c:v>
                </c:pt>
                <c:pt idx="519">
                  <c:v>-260.16934064110171</c:v>
                </c:pt>
                <c:pt idx="520">
                  <c:v>-260.20385271498111</c:v>
                </c:pt>
                <c:pt idx="521">
                  <c:v>-260.23815569471742</c:v>
                </c:pt>
                <c:pt idx="522">
                  <c:v>-260.272251540132</c:v>
                </c:pt>
                <c:pt idx="523">
                  <c:v>-260.30614218644774</c:v>
                </c:pt>
                <c:pt idx="524">
                  <c:v>-260.33982954467336</c:v>
                </c:pt>
                <c:pt idx="525">
                  <c:v>-260.37331550197973</c:v>
                </c:pt>
                <c:pt idx="526">
                  <c:v>-260.40660192207048</c:v>
                </c:pt>
                <c:pt idx="527">
                  <c:v>-260.43969064554454</c:v>
                </c:pt>
                <c:pt idx="528">
                  <c:v>-260.47258349025282</c:v>
                </c:pt>
                <c:pt idx="529">
                  <c:v>-260.50528225164766</c:v>
                </c:pt>
                <c:pt idx="530">
                  <c:v>-260.53778870312641</c:v>
                </c:pt>
                <c:pt idx="531">
                  <c:v>-260.57010459636859</c:v>
                </c:pt>
                <c:pt idx="532">
                  <c:v>-260.60223166166645</c:v>
                </c:pt>
                <c:pt idx="533">
                  <c:v>-260.63417160825009</c:v>
                </c:pt>
                <c:pt idx="534">
                  <c:v>-260.66592612460653</c:v>
                </c:pt>
                <c:pt idx="535">
                  <c:v>-260.69749687879283</c:v>
                </c:pt>
                <c:pt idx="536">
                  <c:v>-260.72888551874354</c:v>
                </c:pt>
                <c:pt idx="537">
                  <c:v>-260.76009367257285</c:v>
                </c:pt>
                <c:pt idx="538">
                  <c:v>-260.79112294887142</c:v>
                </c:pt>
                <c:pt idx="539">
                  <c:v>-260.82197493699721</c:v>
                </c:pt>
                <c:pt idx="540">
                  <c:v>-260.85265120736204</c:v>
                </c:pt>
                <c:pt idx="541">
                  <c:v>-260.88315331171248</c:v>
                </c:pt>
                <c:pt idx="542">
                  <c:v>-260.91348278340581</c:v>
                </c:pt>
                <c:pt idx="543">
                  <c:v>-260.94364113768142</c:v>
                </c:pt>
                <c:pt idx="544">
                  <c:v>-260.9736298719269</c:v>
                </c:pt>
                <c:pt idx="545">
                  <c:v>-261.00345046594015</c:v>
                </c:pt>
                <c:pt idx="546">
                  <c:v>-261.03310438218625</c:v>
                </c:pt>
                <c:pt idx="547">
                  <c:v>-261.06259306605</c:v>
                </c:pt>
                <c:pt idx="548">
                  <c:v>-261.09191794608455</c:v>
                </c:pt>
                <c:pt idx="549">
                  <c:v>-261.12108043425502</c:v>
                </c:pt>
                <c:pt idx="550">
                  <c:v>-261.1500819261783</c:v>
                </c:pt>
                <c:pt idx="551">
                  <c:v>-261.17892380135868</c:v>
                </c:pt>
                <c:pt idx="552">
                  <c:v>-261.20760742341923</c:v>
                </c:pt>
                <c:pt idx="553">
                  <c:v>-261.23613414032951</c:v>
                </c:pt>
                <c:pt idx="554">
                  <c:v>-261.26450528462908</c:v>
                </c:pt>
                <c:pt idx="555">
                  <c:v>-261.29272217364735</c:v>
                </c:pt>
                <c:pt idx="556">
                  <c:v>-261.32078610971985</c:v>
                </c:pt>
                <c:pt idx="557">
                  <c:v>-261.34869838040026</c:v>
                </c:pt>
                <c:pt idx="558">
                  <c:v>-261.37646025866962</c:v>
                </c:pt>
                <c:pt idx="559">
                  <c:v>-261.40407300314143</c:v>
                </c:pt>
                <c:pt idx="560">
                  <c:v>-261.43153785826348</c:v>
                </c:pt>
                <c:pt idx="561">
                  <c:v>-261.45885605451645</c:v>
                </c:pt>
                <c:pt idx="562">
                  <c:v>-261.48602880860886</c:v>
                </c:pt>
                <c:pt idx="563">
                  <c:v>-261.51305732366893</c:v>
                </c:pt>
                <c:pt idx="564">
                  <c:v>-261.53994278943355</c:v>
                </c:pt>
                <c:pt idx="565">
                  <c:v>-261.56668638243337</c:v>
                </c:pt>
                <c:pt idx="566">
                  <c:v>-261.59328926617582</c:v>
                </c:pt>
                <c:pt idx="567">
                  <c:v>-261.61975259132407</c:v>
                </c:pt>
                <c:pt idx="568">
                  <c:v>-261.64607749587373</c:v>
                </c:pt>
                <c:pt idx="569">
                  <c:v>-261.67226510532669</c:v>
                </c:pt>
                <c:pt idx="570">
                  <c:v>-261.69831653286133</c:v>
                </c:pt>
                <c:pt idx="571">
                  <c:v>-261.72423287950107</c:v>
                </c:pt>
                <c:pt idx="572">
                  <c:v>-261.7500152342792</c:v>
                </c:pt>
                <c:pt idx="573">
                  <c:v>-261.77566467440181</c:v>
                </c:pt>
                <c:pt idx="574">
                  <c:v>-261.80118226540725</c:v>
                </c:pt>
                <c:pt idx="575">
                  <c:v>-261.82656906132382</c:v>
                </c:pt>
                <c:pt idx="576">
                  <c:v>-261.85182610482457</c:v>
                </c:pt>
                <c:pt idx="577">
                  <c:v>-261.8769544273793</c:v>
                </c:pt>
                <c:pt idx="578">
                  <c:v>-261.90195504940476</c:v>
                </c:pt>
                <c:pt idx="579">
                  <c:v>-261.92682898041198</c:v>
                </c:pt>
                <c:pt idx="580">
                  <c:v>-261.95157721915149</c:v>
                </c:pt>
                <c:pt idx="581">
                  <c:v>-261.97620075375596</c:v>
                </c:pt>
                <c:pt idx="582">
                  <c:v>-262.00070056188082</c:v>
                </c:pt>
                <c:pt idx="583">
                  <c:v>-262.02507761084274</c:v>
                </c:pt>
                <c:pt idx="584">
                  <c:v>-262.04933285775559</c:v>
                </c:pt>
                <c:pt idx="585">
                  <c:v>-262.07346724966459</c:v>
                </c:pt>
                <c:pt idx="586">
                  <c:v>-262.0974817236779</c:v>
                </c:pt>
                <c:pt idx="587">
                  <c:v>-262.121377207097</c:v>
                </c:pt>
                <c:pt idx="588">
                  <c:v>-262.14515461754394</c:v>
                </c:pt>
                <c:pt idx="589">
                  <c:v>-262.1688148630875</c:v>
                </c:pt>
                <c:pt idx="590">
                  <c:v>-262.19235884236696</c:v>
                </c:pt>
                <c:pt idx="591">
                  <c:v>-262.21578744471401</c:v>
                </c:pt>
                <c:pt idx="592">
                  <c:v>-262.23910155027266</c:v>
                </c:pt>
                <c:pt idx="593">
                  <c:v>-262.26230203011806</c:v>
                </c:pt>
                <c:pt idx="594">
                  <c:v>-262.285389746372</c:v>
                </c:pt>
                <c:pt idx="595">
                  <c:v>-262.30836555231809</c:v>
                </c:pt>
                <c:pt idx="596">
                  <c:v>-262.33123029251465</c:v>
                </c:pt>
                <c:pt idx="597">
                  <c:v>-262.35398480290553</c:v>
                </c:pt>
                <c:pt idx="598">
                  <c:v>-262.37662991092969</c:v>
                </c:pt>
                <c:pt idx="599">
                  <c:v>-262.39916643562901</c:v>
                </c:pt>
                <c:pt idx="600">
                  <c:v>-262.42159518775452</c:v>
                </c:pt>
                <c:pt idx="601">
                  <c:v>-262.4439169698706</c:v>
                </c:pt>
                <c:pt idx="602">
                  <c:v>-262.46613257645834</c:v>
                </c:pt>
                <c:pt idx="603">
                  <c:v>-262.48824279401674</c:v>
                </c:pt>
                <c:pt idx="604">
                  <c:v>-262.5102484011627</c:v>
                </c:pt>
                <c:pt idx="605">
                  <c:v>-262.53215016872934</c:v>
                </c:pt>
                <c:pt idx="606">
                  <c:v>-263.50987248626996</c:v>
                </c:pt>
                <c:pt idx="607">
                  <c:v>-264.30302833190979</c:v>
                </c:pt>
                <c:pt idx="608">
                  <c:v>-264.96071034930685</c:v>
                </c:pt>
                <c:pt idx="609">
                  <c:v>-265.51565676251391</c:v>
                </c:pt>
                <c:pt idx="610">
                  <c:v>-265.99055280288491</c:v>
                </c:pt>
                <c:pt idx="611">
                  <c:v>-266.4016324587771</c:v>
                </c:pt>
                <c:pt idx="612">
                  <c:v>-266.76083869172095</c:v>
                </c:pt>
                <c:pt idx="613">
                  <c:v>-267.07717209367365</c:v>
                </c:pt>
                <c:pt idx="614">
                  <c:v>-267.35756190646487</c:v>
                </c:pt>
                <c:pt idx="615">
                  <c:v>-267.607445119582</c:v>
                </c:pt>
                <c:pt idx="616">
                  <c:v>-267.83116127678369</c:v>
                </c:pt>
                <c:pt idx="617">
                  <c:v>-268.03222763007977</c:v>
                </c:pt>
                <c:pt idx="618">
                  <c:v>-268.1618742524206</c:v>
                </c:pt>
                <c:pt idx="619">
                  <c:v>-268.28666505466782</c:v>
                </c:pt>
                <c:pt idx="620">
                  <c:v>-268.40685440392241</c:v>
                </c:pt>
                <c:pt idx="621">
                  <c:v>-268.52267859291464</c:v>
                </c:pt>
                <c:pt idx="622">
                  <c:v>-268.63435748108037</c:v>
                </c:pt>
                <c:pt idx="623">
                  <c:v>-268.74209595770827</c:v>
                </c:pt>
                <c:pt idx="624">
                  <c:v>-268.84608524916979</c:v>
                </c:pt>
                <c:pt idx="625">
                  <c:v>-268.94650408920381</c:v>
                </c:pt>
                <c:pt idx="626">
                  <c:v>-269.04351976865883</c:v>
                </c:pt>
                <c:pt idx="627">
                  <c:v>-269.13728907889993</c:v>
                </c:pt>
                <c:pt idx="628">
                  <c:v>-269.22795916122658</c:v>
                </c:pt>
                <c:pt idx="629">
                  <c:v>-269.31566827304442</c:v>
                </c:pt>
                <c:pt idx="630">
                  <c:v>-269.40054648016712</c:v>
                </c:pt>
                <c:pt idx="631">
                  <c:v>-269.48271628344787</c:v>
                </c:pt>
                <c:pt idx="632">
                  <c:v>-269.5622931869209</c:v>
                </c:pt>
                <c:pt idx="633">
                  <c:v>-269.63938621376144</c:v>
                </c:pt>
                <c:pt idx="634">
                  <c:v>-269.71409837560918</c:v>
                </c:pt>
                <c:pt idx="635">
                  <c:v>-269.78652710014444</c:v>
                </c:pt>
                <c:pt idx="636">
                  <c:v>-269.8567646212324</c:v>
                </c:pt>
                <c:pt idx="637">
                  <c:v>-269.92489833545091</c:v>
                </c:pt>
                <c:pt idx="638">
                  <c:v>-269.99101112838275</c:v>
                </c:pt>
                <c:pt idx="639">
                  <c:v>-270.05518167367194</c:v>
                </c:pt>
                <c:pt idx="640">
                  <c:v>-270.1174847075095</c:v>
                </c:pt>
                <c:pt idx="641">
                  <c:v>-270.17799128092065</c:v>
                </c:pt>
                <c:pt idx="642">
                  <c:v>-270.23676899196801</c:v>
                </c:pt>
                <c:pt idx="643">
                  <c:v>-270.29388219975954</c:v>
                </c:pt>
                <c:pt idx="644">
                  <c:v>-270.34939222194726</c:v>
                </c:pt>
                <c:pt idx="645">
                  <c:v>-270.40335751722751</c:v>
                </c:pt>
                <c:pt idx="646">
                  <c:v>-270.45583385419752</c:v>
                </c:pt>
                <c:pt idx="647">
                  <c:v>-270.50687446778318</c:v>
                </c:pt>
                <c:pt idx="648">
                  <c:v>-270.55653020432965</c:v>
                </c:pt>
                <c:pt idx="649">
                  <c:v>-270.60484965633907</c:v>
                </c:pt>
                <c:pt idx="650">
                  <c:v>-270.65187928773969</c:v>
                </c:pt>
                <c:pt idx="651">
                  <c:v>-270.69766355048665</c:v>
                </c:pt>
                <c:pt idx="652">
                  <c:v>-270.74224499321502</c:v>
                </c:pt>
                <c:pt idx="653">
                  <c:v>-270.78566436259922</c:v>
                </c:pt>
                <c:pt idx="654">
                  <c:v>-270.82796069800838</c:v>
                </c:pt>
                <c:pt idx="655">
                  <c:v>-270.86917141999419</c:v>
                </c:pt>
                <c:pt idx="656">
                  <c:v>-270.90933241309773</c:v>
                </c:pt>
                <c:pt idx="657">
                  <c:v>-270.94847810341673</c:v>
                </c:pt>
                <c:pt idx="658">
                  <c:v>-270.98664153133467</c:v>
                </c:pt>
                <c:pt idx="659">
                  <c:v>-271.0238544197793</c:v>
                </c:pt>
                <c:pt idx="660">
                  <c:v>-271.06014723834221</c:v>
                </c:pt>
                <c:pt idx="661">
                  <c:v>-271.09554926356657</c:v>
                </c:pt>
                <c:pt idx="662">
                  <c:v>-271.13008863567882</c:v>
                </c:pt>
                <c:pt idx="663">
                  <c:v>-271.16379241202088</c:v>
                </c:pt>
                <c:pt idx="664">
                  <c:v>-271.19668661741542</c:v>
                </c:pt>
                <c:pt idx="665">
                  <c:v>-271.22879629167744</c:v>
                </c:pt>
                <c:pt idx="666">
                  <c:v>-271.26014553446964</c:v>
                </c:pt>
                <c:pt idx="667">
                  <c:v>-271.29075754768047</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34.5</c:v>
                </c:pt>
                <c:pt idx="1">
                  <c:v>34.5</c:v>
                </c:pt>
              </c:numCache>
            </c:numRef>
          </c:xVal>
          <c:yVal>
            <c:numRef>
              <c:f>'Bode Plots Calculations'!$BG$690:$BG$691</c:f>
              <c:numCache>
                <c:formatCode>General</c:formatCode>
                <c:ptCount val="2"/>
                <c:pt idx="0">
                  <c:v>-126.48341962493255</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34.5</c:v>
                </c:pt>
                <c:pt idx="1">
                  <c:v>1000</c:v>
                </c:pt>
              </c:numCache>
            </c:numRef>
          </c:xVal>
          <c:yVal>
            <c:numRef>
              <c:f>'Bode Plots Calculations'!$BG$688:$BG$689</c:f>
              <c:numCache>
                <c:formatCode>General</c:formatCode>
                <c:ptCount val="2"/>
                <c:pt idx="0">
                  <c:v>-126.48341962493255</c:v>
                </c:pt>
                <c:pt idx="1">
                  <c:v>-126.48341962493255</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4.4999999999999998E-2</c:v>
                </c:pt>
                <c:pt idx="2">
                  <c:v>0.09</c:v>
                </c:pt>
                <c:pt idx="3">
                  <c:v>0.13500000000000001</c:v>
                </c:pt>
                <c:pt idx="4">
                  <c:v>0.18</c:v>
                </c:pt>
                <c:pt idx="5">
                  <c:v>0.22500000000000001</c:v>
                </c:pt>
                <c:pt idx="6">
                  <c:v>0.27</c:v>
                </c:pt>
                <c:pt idx="7">
                  <c:v>0.31500000000000006</c:v>
                </c:pt>
                <c:pt idx="8">
                  <c:v>0.36</c:v>
                </c:pt>
                <c:pt idx="9">
                  <c:v>0.40499999999999997</c:v>
                </c:pt>
                <c:pt idx="10">
                  <c:v>0.45</c:v>
                </c:pt>
                <c:pt idx="11">
                  <c:v>0.495</c:v>
                </c:pt>
                <c:pt idx="12">
                  <c:v>0.54</c:v>
                </c:pt>
                <c:pt idx="13">
                  <c:v>0.58499999999999996</c:v>
                </c:pt>
                <c:pt idx="14">
                  <c:v>0.63000000000000012</c:v>
                </c:pt>
                <c:pt idx="15">
                  <c:v>0.67499999999999993</c:v>
                </c:pt>
                <c:pt idx="16">
                  <c:v>0.72</c:v>
                </c:pt>
                <c:pt idx="17">
                  <c:v>0.76500000000000001</c:v>
                </c:pt>
                <c:pt idx="18">
                  <c:v>0.80999999999999994</c:v>
                </c:pt>
                <c:pt idx="19">
                  <c:v>0.85499999999999998</c:v>
                </c:pt>
                <c:pt idx="20">
                  <c:v>0.9</c:v>
                </c:pt>
                <c:pt idx="21">
                  <c:v>0.94499999999999995</c:v>
                </c:pt>
                <c:pt idx="22">
                  <c:v>0.99</c:v>
                </c:pt>
                <c:pt idx="23">
                  <c:v>1.0350000000000001</c:v>
                </c:pt>
                <c:pt idx="24">
                  <c:v>1.08</c:v>
                </c:pt>
                <c:pt idx="25">
                  <c:v>1.125</c:v>
                </c:pt>
                <c:pt idx="26">
                  <c:v>1.17</c:v>
                </c:pt>
                <c:pt idx="27">
                  <c:v>1.2150000000000001</c:v>
                </c:pt>
                <c:pt idx="28">
                  <c:v>1.2600000000000002</c:v>
                </c:pt>
                <c:pt idx="29">
                  <c:v>1.3049999999999999</c:v>
                </c:pt>
                <c:pt idx="30">
                  <c:v>1.3499999999999999</c:v>
                </c:pt>
                <c:pt idx="31">
                  <c:v>1.395</c:v>
                </c:pt>
                <c:pt idx="32">
                  <c:v>1.44</c:v>
                </c:pt>
                <c:pt idx="33">
                  <c:v>1.4850000000000001</c:v>
                </c:pt>
                <c:pt idx="34">
                  <c:v>1.53</c:v>
                </c:pt>
                <c:pt idx="35">
                  <c:v>1.575</c:v>
                </c:pt>
                <c:pt idx="36">
                  <c:v>1.6199999999999999</c:v>
                </c:pt>
                <c:pt idx="37">
                  <c:v>1.665</c:v>
                </c:pt>
                <c:pt idx="38">
                  <c:v>1.71</c:v>
                </c:pt>
                <c:pt idx="39">
                  <c:v>1.7550000000000001</c:v>
                </c:pt>
                <c:pt idx="40">
                  <c:v>1.8</c:v>
                </c:pt>
                <c:pt idx="41">
                  <c:v>1.845</c:v>
                </c:pt>
                <c:pt idx="42">
                  <c:v>1.89</c:v>
                </c:pt>
                <c:pt idx="43">
                  <c:v>1.9350000000000001</c:v>
                </c:pt>
                <c:pt idx="44">
                  <c:v>1.98</c:v>
                </c:pt>
                <c:pt idx="45">
                  <c:v>2.0249999999999999</c:v>
                </c:pt>
                <c:pt idx="46">
                  <c:v>2.0700000000000003</c:v>
                </c:pt>
                <c:pt idx="47">
                  <c:v>2.1149999999999998</c:v>
                </c:pt>
                <c:pt idx="48">
                  <c:v>2.16</c:v>
                </c:pt>
                <c:pt idx="49">
                  <c:v>2.2050000000000001</c:v>
                </c:pt>
                <c:pt idx="50">
                  <c:v>2.25</c:v>
                </c:pt>
                <c:pt idx="51">
                  <c:v>2.2949999999999999</c:v>
                </c:pt>
                <c:pt idx="52">
                  <c:v>2.34</c:v>
                </c:pt>
                <c:pt idx="53">
                  <c:v>2.3850000000000002</c:v>
                </c:pt>
                <c:pt idx="54">
                  <c:v>2.4300000000000002</c:v>
                </c:pt>
                <c:pt idx="55">
                  <c:v>2.4750000000000001</c:v>
                </c:pt>
                <c:pt idx="56">
                  <c:v>2.5200000000000005</c:v>
                </c:pt>
                <c:pt idx="57">
                  <c:v>2.5649999999999999</c:v>
                </c:pt>
                <c:pt idx="58">
                  <c:v>2.61</c:v>
                </c:pt>
                <c:pt idx="59">
                  <c:v>2.6549999999999998</c:v>
                </c:pt>
                <c:pt idx="60">
                  <c:v>2.6999999999999997</c:v>
                </c:pt>
                <c:pt idx="61">
                  <c:v>2.7450000000000001</c:v>
                </c:pt>
                <c:pt idx="62">
                  <c:v>2.79</c:v>
                </c:pt>
                <c:pt idx="63">
                  <c:v>2.835</c:v>
                </c:pt>
                <c:pt idx="64">
                  <c:v>2.88</c:v>
                </c:pt>
                <c:pt idx="65">
                  <c:v>2.9250000000000003</c:v>
                </c:pt>
                <c:pt idx="66">
                  <c:v>2.97</c:v>
                </c:pt>
                <c:pt idx="67">
                  <c:v>3.0150000000000001</c:v>
                </c:pt>
                <c:pt idx="68">
                  <c:v>3.06</c:v>
                </c:pt>
                <c:pt idx="69">
                  <c:v>3.1049999999999995</c:v>
                </c:pt>
                <c:pt idx="70">
                  <c:v>3.15</c:v>
                </c:pt>
                <c:pt idx="71">
                  <c:v>3.1949999999999998</c:v>
                </c:pt>
                <c:pt idx="72">
                  <c:v>3.2399999999999998</c:v>
                </c:pt>
                <c:pt idx="73">
                  <c:v>3.2850000000000001</c:v>
                </c:pt>
                <c:pt idx="74">
                  <c:v>3.33</c:v>
                </c:pt>
                <c:pt idx="75">
                  <c:v>3.375</c:v>
                </c:pt>
                <c:pt idx="76">
                  <c:v>3.42</c:v>
                </c:pt>
                <c:pt idx="77">
                  <c:v>3.4649999999999999</c:v>
                </c:pt>
                <c:pt idx="78">
                  <c:v>3.5100000000000002</c:v>
                </c:pt>
                <c:pt idx="79">
                  <c:v>3.5550000000000002</c:v>
                </c:pt>
                <c:pt idx="80">
                  <c:v>3.6</c:v>
                </c:pt>
                <c:pt idx="81">
                  <c:v>3.6450000000000005</c:v>
                </c:pt>
                <c:pt idx="82">
                  <c:v>3.69</c:v>
                </c:pt>
                <c:pt idx="83">
                  <c:v>3.7349999999999999</c:v>
                </c:pt>
                <c:pt idx="84">
                  <c:v>3.78</c:v>
                </c:pt>
                <c:pt idx="85">
                  <c:v>3.8249999999999997</c:v>
                </c:pt>
                <c:pt idx="86">
                  <c:v>3.87</c:v>
                </c:pt>
                <c:pt idx="87">
                  <c:v>3.915</c:v>
                </c:pt>
                <c:pt idx="88">
                  <c:v>3.96</c:v>
                </c:pt>
                <c:pt idx="89">
                  <c:v>4.0049999999999999</c:v>
                </c:pt>
                <c:pt idx="90">
                  <c:v>4.05</c:v>
                </c:pt>
                <c:pt idx="91">
                  <c:v>4.0949999999999998</c:v>
                </c:pt>
                <c:pt idx="92">
                  <c:v>4.1400000000000006</c:v>
                </c:pt>
                <c:pt idx="93">
                  <c:v>4.1850000000000005</c:v>
                </c:pt>
                <c:pt idx="94">
                  <c:v>4.2299999999999995</c:v>
                </c:pt>
                <c:pt idx="95">
                  <c:v>4.2749999999999995</c:v>
                </c:pt>
                <c:pt idx="96">
                  <c:v>4.32</c:v>
                </c:pt>
                <c:pt idx="97">
                  <c:v>4.3650000000000002</c:v>
                </c:pt>
                <c:pt idx="98">
                  <c:v>4.41</c:v>
                </c:pt>
                <c:pt idx="99">
                  <c:v>4.4550000000000001</c:v>
                </c:pt>
                <c:pt idx="100">
                  <c:v>4.5</c:v>
                </c:pt>
                <c:pt idx="101">
                  <c:v>4.5449999999999999</c:v>
                </c:pt>
                <c:pt idx="102">
                  <c:v>4.59</c:v>
                </c:pt>
                <c:pt idx="103">
                  <c:v>4.6349999999999998</c:v>
                </c:pt>
                <c:pt idx="104">
                  <c:v>4.68</c:v>
                </c:pt>
                <c:pt idx="105">
                  <c:v>4.7250000000000005</c:v>
                </c:pt>
                <c:pt idx="106">
                  <c:v>4.7700000000000005</c:v>
                </c:pt>
                <c:pt idx="107">
                  <c:v>4.8150000000000004</c:v>
                </c:pt>
                <c:pt idx="108">
                  <c:v>4.8600000000000003</c:v>
                </c:pt>
                <c:pt idx="109">
                  <c:v>4.9050000000000002</c:v>
                </c:pt>
                <c:pt idx="110">
                  <c:v>4.95</c:v>
                </c:pt>
                <c:pt idx="111">
                  <c:v>4.9950000000000001</c:v>
                </c:pt>
                <c:pt idx="112">
                  <c:v>5.0400000000000009</c:v>
                </c:pt>
                <c:pt idx="113">
                  <c:v>5.0849999999999991</c:v>
                </c:pt>
                <c:pt idx="114">
                  <c:v>5.13</c:v>
                </c:pt>
                <c:pt idx="115">
                  <c:v>5.1749999999999998</c:v>
                </c:pt>
                <c:pt idx="116">
                  <c:v>5.22</c:v>
                </c:pt>
                <c:pt idx="117">
                  <c:v>5.2649999999999997</c:v>
                </c:pt>
                <c:pt idx="118">
                  <c:v>5.31</c:v>
                </c:pt>
                <c:pt idx="119">
                  <c:v>5.3549999999999995</c:v>
                </c:pt>
                <c:pt idx="120">
                  <c:v>5.3999999999999995</c:v>
                </c:pt>
                <c:pt idx="121">
                  <c:v>5.4450000000000003</c:v>
                </c:pt>
                <c:pt idx="122">
                  <c:v>5.49</c:v>
                </c:pt>
                <c:pt idx="123">
                  <c:v>5.5350000000000001</c:v>
                </c:pt>
                <c:pt idx="124">
                  <c:v>5.58</c:v>
                </c:pt>
                <c:pt idx="125">
                  <c:v>5.625</c:v>
                </c:pt>
                <c:pt idx="126">
                  <c:v>5.67</c:v>
                </c:pt>
                <c:pt idx="127">
                  <c:v>5.7149999999999999</c:v>
                </c:pt>
                <c:pt idx="128">
                  <c:v>5.76</c:v>
                </c:pt>
                <c:pt idx="129">
                  <c:v>5.8049999999999997</c:v>
                </c:pt>
                <c:pt idx="130">
                  <c:v>5.8500000000000005</c:v>
                </c:pt>
                <c:pt idx="131">
                  <c:v>5.8950000000000005</c:v>
                </c:pt>
                <c:pt idx="132">
                  <c:v>5.94</c:v>
                </c:pt>
                <c:pt idx="133">
                  <c:v>5.9850000000000003</c:v>
                </c:pt>
                <c:pt idx="134">
                  <c:v>6.03</c:v>
                </c:pt>
                <c:pt idx="135">
                  <c:v>6.0750000000000002</c:v>
                </c:pt>
                <c:pt idx="136">
                  <c:v>6.12</c:v>
                </c:pt>
                <c:pt idx="137">
                  <c:v>6.1650000000000009</c:v>
                </c:pt>
                <c:pt idx="138">
                  <c:v>6.2099999999999991</c:v>
                </c:pt>
                <c:pt idx="139">
                  <c:v>6.2549999999999999</c:v>
                </c:pt>
                <c:pt idx="140">
                  <c:v>6.3</c:v>
                </c:pt>
                <c:pt idx="141">
                  <c:v>6.3449999999999998</c:v>
                </c:pt>
                <c:pt idx="142">
                  <c:v>6.39</c:v>
                </c:pt>
                <c:pt idx="143">
                  <c:v>6.4349999999999996</c:v>
                </c:pt>
                <c:pt idx="144">
                  <c:v>6.4799999999999995</c:v>
                </c:pt>
                <c:pt idx="145">
                  <c:v>6.5249999999999995</c:v>
                </c:pt>
                <c:pt idx="146">
                  <c:v>6.57</c:v>
                </c:pt>
                <c:pt idx="147">
                  <c:v>6.6150000000000002</c:v>
                </c:pt>
                <c:pt idx="148">
                  <c:v>6.66</c:v>
                </c:pt>
                <c:pt idx="149">
                  <c:v>6.7050000000000001</c:v>
                </c:pt>
                <c:pt idx="150">
                  <c:v>6.75</c:v>
                </c:pt>
                <c:pt idx="151">
                  <c:v>6.7949999999999999</c:v>
                </c:pt>
                <c:pt idx="152">
                  <c:v>6.84</c:v>
                </c:pt>
                <c:pt idx="153">
                  <c:v>6.8849999999999998</c:v>
                </c:pt>
                <c:pt idx="154">
                  <c:v>6.93</c:v>
                </c:pt>
                <c:pt idx="155">
                  <c:v>6.9750000000000005</c:v>
                </c:pt>
                <c:pt idx="156">
                  <c:v>7.0200000000000005</c:v>
                </c:pt>
                <c:pt idx="157">
                  <c:v>7.0650000000000004</c:v>
                </c:pt>
                <c:pt idx="158">
                  <c:v>7.11</c:v>
                </c:pt>
                <c:pt idx="159">
                  <c:v>7.1550000000000002</c:v>
                </c:pt>
                <c:pt idx="160">
                  <c:v>7.2</c:v>
                </c:pt>
                <c:pt idx="161">
                  <c:v>7.2450000000000001</c:v>
                </c:pt>
                <c:pt idx="162">
                  <c:v>7.2900000000000009</c:v>
                </c:pt>
                <c:pt idx="163">
                  <c:v>7.3349999999999991</c:v>
                </c:pt>
                <c:pt idx="164">
                  <c:v>7.38</c:v>
                </c:pt>
                <c:pt idx="165">
                  <c:v>7.4249999999999998</c:v>
                </c:pt>
                <c:pt idx="166">
                  <c:v>7.47</c:v>
                </c:pt>
                <c:pt idx="167">
                  <c:v>7.5149999999999997</c:v>
                </c:pt>
                <c:pt idx="168">
                  <c:v>7.56</c:v>
                </c:pt>
                <c:pt idx="169">
                  <c:v>7.6049999999999995</c:v>
                </c:pt>
                <c:pt idx="170">
                  <c:v>7.6499999999999995</c:v>
                </c:pt>
                <c:pt idx="171">
                  <c:v>7.6950000000000003</c:v>
                </c:pt>
                <c:pt idx="172">
                  <c:v>7.74</c:v>
                </c:pt>
                <c:pt idx="173">
                  <c:v>7.7850000000000001</c:v>
                </c:pt>
                <c:pt idx="174">
                  <c:v>7.83</c:v>
                </c:pt>
                <c:pt idx="175">
                  <c:v>7.875</c:v>
                </c:pt>
                <c:pt idx="176">
                  <c:v>7.92</c:v>
                </c:pt>
                <c:pt idx="177">
                  <c:v>7.9649999999999999</c:v>
                </c:pt>
                <c:pt idx="178">
                  <c:v>8.01</c:v>
                </c:pt>
                <c:pt idx="179">
                  <c:v>8.0549999999999997</c:v>
                </c:pt>
                <c:pt idx="180">
                  <c:v>8.1</c:v>
                </c:pt>
                <c:pt idx="181">
                  <c:v>8.1449999999999996</c:v>
                </c:pt>
                <c:pt idx="182">
                  <c:v>8.19</c:v>
                </c:pt>
                <c:pt idx="183">
                  <c:v>8.2349999999999994</c:v>
                </c:pt>
                <c:pt idx="184">
                  <c:v>8.2800000000000011</c:v>
                </c:pt>
                <c:pt idx="185">
                  <c:v>8.3250000000000011</c:v>
                </c:pt>
                <c:pt idx="186">
                  <c:v>8.370000000000001</c:v>
                </c:pt>
                <c:pt idx="187">
                  <c:v>8.4150000000000009</c:v>
                </c:pt>
                <c:pt idx="188">
                  <c:v>8.4599999999999991</c:v>
                </c:pt>
                <c:pt idx="189">
                  <c:v>8.504999999999999</c:v>
                </c:pt>
                <c:pt idx="190">
                  <c:v>8.5499999999999989</c:v>
                </c:pt>
                <c:pt idx="191">
                  <c:v>8.5949999999999989</c:v>
                </c:pt>
                <c:pt idx="192">
                  <c:v>8.64</c:v>
                </c:pt>
                <c:pt idx="193">
                  <c:v>8.6850000000000005</c:v>
                </c:pt>
                <c:pt idx="194">
                  <c:v>8.73</c:v>
                </c:pt>
                <c:pt idx="195">
                  <c:v>8.7750000000000004</c:v>
                </c:pt>
                <c:pt idx="196">
                  <c:v>8.82</c:v>
                </c:pt>
                <c:pt idx="197">
                  <c:v>8.8650000000000002</c:v>
                </c:pt>
                <c:pt idx="198">
                  <c:v>8.91</c:v>
                </c:pt>
                <c:pt idx="199">
                  <c:v>8.9550000000000001</c:v>
                </c:pt>
                <c:pt idx="200">
                  <c:v>9</c:v>
                </c:pt>
              </c:numCache>
            </c:numRef>
          </c:cat>
          <c:val>
            <c:numRef>
              <c:f>'Power Calculations'!$AU$9:$AU$209</c:f>
              <c:numCache>
                <c:formatCode>General</c:formatCode>
                <c:ptCount val="201"/>
                <c:pt idx="0">
                  <c:v>0</c:v>
                </c:pt>
                <c:pt idx="1">
                  <c:v>42.007907790777033</c:v>
                </c:pt>
                <c:pt idx="2">
                  <c:v>59.1462564264299</c:v>
                </c:pt>
                <c:pt idx="3">
                  <c:v>68.452612851809477</c:v>
                </c:pt>
                <c:pt idx="4">
                  <c:v>74.295014445019561</c:v>
                </c:pt>
                <c:pt idx="5">
                  <c:v>78.302517006018974</c:v>
                </c:pt>
                <c:pt idx="6">
                  <c:v>81.221107534814848</c:v>
                </c:pt>
                <c:pt idx="7">
                  <c:v>83.440653485113074</c:v>
                </c:pt>
                <c:pt idx="8">
                  <c:v>85.184750795635551</c:v>
                </c:pt>
                <c:pt idx="9">
                  <c:v>86.590823328217226</c:v>
                </c:pt>
                <c:pt idx="10">
                  <c:v>87.747987159776017</c:v>
                </c:pt>
                <c:pt idx="11">
                  <c:v>88.716562463609236</c:v>
                </c:pt>
                <c:pt idx="12">
                  <c:v>89.538835059025502</c:v>
                </c:pt>
                <c:pt idx="13">
                  <c:v>90.245327454682965</c:v>
                </c:pt>
                <c:pt idx="14">
                  <c:v>90.85862330290017</c:v>
                </c:pt>
                <c:pt idx="15">
                  <c:v>91.395790875254377</c:v>
                </c:pt>
                <c:pt idx="16">
                  <c:v>91.806673247499006</c:v>
                </c:pt>
                <c:pt idx="17">
                  <c:v>92.161336661740634</c:v>
                </c:pt>
                <c:pt idx="18">
                  <c:v>92.480336032994842</c:v>
                </c:pt>
                <c:pt idx="19">
                  <c:v>92.768998488362641</c:v>
                </c:pt>
                <c:pt idx="20">
                  <c:v>93.031640187295466</c:v>
                </c:pt>
                <c:pt idx="21">
                  <c:v>93.271795323826353</c:v>
                </c:pt>
                <c:pt idx="22">
                  <c:v>93.492385578992668</c:v>
                </c:pt>
                <c:pt idx="23">
                  <c:v>93.695847339241354</c:v>
                </c:pt>
                <c:pt idx="24">
                  <c:v>93.884228471759997</c:v>
                </c:pt>
                <c:pt idx="25">
                  <c:v>94.059262829896227</c:v>
                </c:pt>
                <c:pt idx="26">
                  <c:v>94.222428246709768</c:v>
                </c:pt>
                <c:pt idx="27">
                  <c:v>94.374992133842412</c:v>
                </c:pt>
                <c:pt idx="28">
                  <c:v>94.518047669980675</c:v>
                </c:pt>
                <c:pt idx="29">
                  <c:v>94.652542769319652</c:v>
                </c:pt>
                <c:pt idx="30">
                  <c:v>94.779303456503769</c:v>
                </c:pt>
                <c:pt idx="31">
                  <c:v>94.899052868830751</c:v>
                </c:pt>
                <c:pt idx="32">
                  <c:v>95.012426811213118</c:v>
                </c:pt>
                <c:pt idx="33">
                  <c:v>95.119986572096735</c:v>
                </c:pt>
                <c:pt idx="34">
                  <c:v>95.222229547000651</c:v>
                </c:pt>
                <c:pt idx="35">
                  <c:v>95.319598095107509</c:v>
                </c:pt>
                <c:pt idx="36">
                  <c:v>95.412486962532171</c:v>
                </c:pt>
                <c:pt idx="37">
                  <c:v>95.501486608620056</c:v>
                </c:pt>
                <c:pt idx="38">
                  <c:v>95.587681182188234</c:v>
                </c:pt>
                <c:pt idx="39">
                  <c:v>95.669064335896408</c:v>
                </c:pt>
                <c:pt idx="40">
                  <c:v>95.745981604990988</c:v>
                </c:pt>
                <c:pt idx="41">
                  <c:v>95.818745918455093</c:v>
                </c:pt>
                <c:pt idx="42">
                  <c:v>95.887641348165488</c:v>
                </c:pt>
                <c:pt idx="43">
                  <c:v>95.952926352241036</c:v>
                </c:pt>
                <c:pt idx="44">
                  <c:v>96.014836590440666</c:v>
                </c:pt>
                <c:pt idx="45">
                  <c:v>96.073587376066953</c:v>
                </c:pt>
                <c:pt idx="46">
                  <c:v>96.129375817970171</c:v>
                </c:pt>
                <c:pt idx="47">
                  <c:v>96.182382697402716</c:v>
                </c:pt>
                <c:pt idx="48">
                  <c:v>96.232774117237824</c:v>
                </c:pt>
                <c:pt idx="49">
                  <c:v>96.280702955120816</c:v>
                </c:pt>
                <c:pt idx="50">
                  <c:v>96.326310147215096</c:v>
                </c:pt>
                <c:pt idx="51">
                  <c:v>96.369725825139938</c:v>
                </c:pt>
                <c:pt idx="52">
                  <c:v>96.41107032531734</c:v>
                </c:pt>
                <c:pt idx="53">
                  <c:v>96.450455087121966</c:v>
                </c:pt>
                <c:pt idx="54">
                  <c:v>96.487983453865198</c:v>
                </c:pt>
                <c:pt idx="55">
                  <c:v>96.523751388655626</c:v>
                </c:pt>
                <c:pt idx="56">
                  <c:v>96.55784811550302</c:v>
                </c:pt>
                <c:pt idx="57">
                  <c:v>96.590356694613931</c:v>
                </c:pt>
                <c:pt idx="58">
                  <c:v>96.621354539623709</c:v>
                </c:pt>
                <c:pt idx="59">
                  <c:v>96.650913883484861</c:v>
                </c:pt>
                <c:pt idx="60">
                  <c:v>96.67910219885799</c:v>
                </c:pt>
                <c:pt idx="61">
                  <c:v>96.705982578101327</c:v>
                </c:pt>
                <c:pt idx="62">
                  <c:v>96.731614077314731</c:v>
                </c:pt>
                <c:pt idx="63">
                  <c:v>96.756052028339084</c:v>
                </c:pt>
                <c:pt idx="64">
                  <c:v>96.779348322136542</c:v>
                </c:pt>
                <c:pt idx="65">
                  <c:v>96.801551666564805</c:v>
                </c:pt>
                <c:pt idx="66">
                  <c:v>96.822707821200609</c:v>
                </c:pt>
                <c:pt idx="67">
                  <c:v>96.842859811557929</c:v>
                </c:pt>
                <c:pt idx="68">
                  <c:v>96.862048124776607</c:v>
                </c:pt>
                <c:pt idx="69">
                  <c:v>96.880310888620244</c:v>
                </c:pt>
                <c:pt idx="70">
                  <c:v>96.897684035418052</c:v>
                </c:pt>
                <c:pt idx="71">
                  <c:v>96.91420145240312</c:v>
                </c:pt>
                <c:pt idx="72">
                  <c:v>96.929895119742909</c:v>
                </c:pt>
                <c:pt idx="73">
                  <c:v>96.944795237417623</c:v>
                </c:pt>
                <c:pt idx="74">
                  <c:v>96.95893034197961</c:v>
                </c:pt>
                <c:pt idx="75">
                  <c:v>96.972327414119661</c:v>
                </c:pt>
                <c:pt idx="76">
                  <c:v>96.985011977869291</c:v>
                </c:pt>
                <c:pt idx="77">
                  <c:v>96.997008192184424</c:v>
                </c:pt>
                <c:pt idx="78">
                  <c:v>97.008338935580369</c:v>
                </c:pt>
                <c:pt idx="79">
                  <c:v>97.019025884421524</c:v>
                </c:pt>
                <c:pt idx="80">
                  <c:v>97.029089585409949</c:v>
                </c:pt>
                <c:pt idx="81">
                  <c:v>97.038549522764058</c:v>
                </c:pt>
                <c:pt idx="82">
                  <c:v>97.047424180531564</c:v>
                </c:pt>
                <c:pt idx="83">
                  <c:v>97.055731100438763</c:v>
                </c:pt>
                <c:pt idx="84">
                  <c:v>97.063486935640725</c:v>
                </c:pt>
                <c:pt idx="85">
                  <c:v>97.070707500702667</c:v>
                </c:pt>
                <c:pt idx="86">
                  <c:v>97.077407818113244</c:v>
                </c:pt>
                <c:pt idx="87">
                  <c:v>97.083602161602556</c:v>
                </c:pt>
                <c:pt idx="88">
                  <c:v>97.089304096514041</c:v>
                </c:pt>
                <c:pt idx="89">
                  <c:v>97.094526517456202</c:v>
                </c:pt>
                <c:pt idx="90">
                  <c:v>97.099281683441703</c:v>
                </c:pt>
                <c:pt idx="91">
                  <c:v>97.103581250702064</c:v>
                </c:pt>
                <c:pt idx="92">
                  <c:v>97.107436303351008</c:v>
                </c:pt>
                <c:pt idx="93">
                  <c:v>97.110857382053979</c:v>
                </c:pt>
                <c:pt idx="94">
                  <c:v>97.11385451084908</c:v>
                </c:pt>
                <c:pt idx="95">
                  <c:v>97.116437222251363</c:v>
                </c:pt>
                <c:pt idx="96">
                  <c:v>97.118614580762653</c:v>
                </c:pt>
                <c:pt idx="97">
                  <c:v>97.120395204898429</c:v>
                </c:pt>
                <c:pt idx="98">
                  <c:v>97.121787287834366</c:v>
                </c:pt>
                <c:pt idx="99">
                  <c:v>97.122798616767085</c:v>
                </c:pt>
                <c:pt idx="100">
                  <c:v>97.123436591076</c:v>
                </c:pt>
                <c:pt idx="101">
                  <c:v>97.123708239366309</c:v>
                </c:pt>
                <c:pt idx="102">
                  <c:v>97.123620235466902</c:v>
                </c:pt>
                <c:pt idx="103">
                  <c:v>97.123178913451213</c:v>
                </c:pt>
                <c:pt idx="104">
                  <c:v>97.122390281744131</c:v>
                </c:pt>
                <c:pt idx="105">
                  <c:v>97.121260036372519</c:v>
                </c:pt>
                <c:pt idx="106">
                  <c:v>97.11979357341346</c:v>
                </c:pt>
                <c:pt idx="107">
                  <c:v>97.117996000689416</c:v>
                </c:pt>
                <c:pt idx="108">
                  <c:v>97.115872148756438</c:v>
                </c:pt>
                <c:pt idx="109">
                  <c:v>97.113426581227742</c:v>
                </c:pt>
                <c:pt idx="110">
                  <c:v>97.11066360447208</c:v>
                </c:pt>
                <c:pt idx="111">
                  <c:v>97.107587276723109</c:v>
                </c:pt>
                <c:pt idx="112">
                  <c:v>97.104201416633771</c:v>
                </c:pt>
                <c:pt idx="113">
                  <c:v>97.100509611306876</c:v>
                </c:pt>
                <c:pt idx="114">
                  <c:v>97.096515223830536</c:v>
                </c:pt>
                <c:pt idx="115">
                  <c:v>97.092221400346148</c:v>
                </c:pt>
                <c:pt idx="116">
                  <c:v>97.087631076672878</c:v>
                </c:pt>
                <c:pt idx="117">
                  <c:v>97.082746984512553</c:v>
                </c:pt>
                <c:pt idx="118">
                  <c:v>97.07757165725603</c:v>
                </c:pt>
                <c:pt idx="119">
                  <c:v>97.072107435411056</c:v>
                </c:pt>
                <c:pt idx="120">
                  <c:v>97.066356471669891</c:v>
                </c:pt>
                <c:pt idx="121">
                  <c:v>97.060320735634107</c:v>
                </c:pt>
                <c:pt idx="122">
                  <c:v>97.054002018211946</c:v>
                </c:pt>
                <c:pt idx="123">
                  <c:v>97.047401935703377</c:v>
                </c:pt>
                <c:pt idx="124">
                  <c:v>97.040521933585893</c:v>
                </c:pt>
                <c:pt idx="125">
                  <c:v>97.033363290013966</c:v>
                </c:pt>
                <c:pt idx="126">
                  <c:v>97.025927119043487</c:v>
                </c:pt>
                <c:pt idx="127">
                  <c:v>97.018214373591974</c:v>
                </c:pt>
                <c:pt idx="128">
                  <c:v>97.010225848144159</c:v>
                </c:pt>
                <c:pt idx="129">
                  <c:v>97.001962181212036</c:v>
                </c:pt>
                <c:pt idx="130">
                  <c:v>96.993423857557701</c:v>
                </c:pt>
                <c:pt idx="131">
                  <c:v>96.984611210186188</c:v>
                </c:pt>
                <c:pt idx="132">
                  <c:v>96.975524422115427</c:v>
                </c:pt>
                <c:pt idx="133">
                  <c:v>96.966163527929353</c:v>
                </c:pt>
                <c:pt idx="134">
                  <c:v>96.956528415119465</c:v>
                </c:pt>
                <c:pt idx="135">
                  <c:v>96.946618825220412</c:v>
                </c:pt>
                <c:pt idx="136">
                  <c:v>96.936434354743255</c:v>
                </c:pt>
                <c:pt idx="137">
                  <c:v>96.925974455910847</c:v>
                </c:pt>
                <c:pt idx="138">
                  <c:v>96.915238437198013</c:v>
                </c:pt>
                <c:pt idx="139">
                  <c:v>96.904225463680191</c:v>
                </c:pt>
                <c:pt idx="140">
                  <c:v>96.892934557191836</c:v>
                </c:pt>
                <c:pt idx="141">
                  <c:v>96.881364596297246</c:v>
                </c:pt>
                <c:pt idx="142">
                  <c:v>96.869514316074572</c:v>
                </c:pt>
                <c:pt idx="143">
                  <c:v>96.857382307714317</c:v>
                </c:pt>
                <c:pt idx="144">
                  <c:v>96.844967017932476</c:v>
                </c:pt>
                <c:pt idx="145">
                  <c:v>96.832266748198251</c:v>
                </c:pt>
                <c:pt idx="146">
                  <c:v>96.819279653776263</c:v>
                </c:pt>
                <c:pt idx="147">
                  <c:v>96.806003742581922</c:v>
                </c:pt>
                <c:pt idx="148">
                  <c:v>96.792436873848615</c:v>
                </c:pt>
                <c:pt idx="149">
                  <c:v>96.77857675660519</c:v>
                </c:pt>
                <c:pt idx="150">
                  <c:v>96.76442094796127</c:v>
                </c:pt>
                <c:pt idx="151">
                  <c:v>96.749966851197541</c:v>
                </c:pt>
                <c:pt idx="152">
                  <c:v>96.73521171365806</c:v>
                </c:pt>
                <c:pt idx="153">
                  <c:v>96.720152624440686</c:v>
                </c:pt>
                <c:pt idx="154">
                  <c:v>96.704786511881835</c:v>
                </c:pt>
                <c:pt idx="155">
                  <c:v>96.68911014083028</c:v>
                </c:pt>
                <c:pt idx="156">
                  <c:v>96.673120109705508</c:v>
                </c:pt>
                <c:pt idx="157">
                  <c:v>96.656812847334422</c:v>
                </c:pt>
                <c:pt idx="158">
                  <c:v>96.640184609560322</c:v>
                </c:pt>
                <c:pt idx="159">
                  <c:v>96.623231475617473</c:v>
                </c:pt>
                <c:pt idx="160">
                  <c:v>96.605949344263479</c:v>
                </c:pt>
                <c:pt idx="161">
                  <c:v>96.588333929661843</c:v>
                </c:pt>
                <c:pt idx="162">
                  <c:v>96.570380757005623</c:v>
                </c:pt>
                <c:pt idx="163">
                  <c:v>96.552085157873123</c:v>
                </c:pt>
                <c:pt idx="164">
                  <c:v>96.533442265305325</c:v>
                </c:pt>
                <c:pt idx="165">
                  <c:v>96.51444700859436</c:v>
                </c:pt>
                <c:pt idx="166">
                  <c:v>96.495094107771237</c:v>
                </c:pt>
                <c:pt idx="167">
                  <c:v>96.475378067780582</c:v>
                </c:pt>
                <c:pt idx="168">
                  <c:v>96.455293172328709</c:v>
                </c:pt>
                <c:pt idx="169">
                  <c:v>96.434833477391152</c:v>
                </c:pt>
                <c:pt idx="170">
                  <c:v>96.413992804363943</c:v>
                </c:pt>
                <c:pt idx="171">
                  <c:v>96.392764732842636</c:v>
                </c:pt>
                <c:pt idx="172">
                  <c:v>96.37114259301147</c:v>
                </c:pt>
                <c:pt idx="173">
                  <c:v>96.349119457624099</c:v>
                </c:pt>
                <c:pt idx="174">
                  <c:v>96.326688133555805</c:v>
                </c:pt>
                <c:pt idx="175">
                  <c:v>96.303841152906273</c:v>
                </c:pt>
                <c:pt idx="176">
                  <c:v>96.280570763629868</c:v>
                </c:pt>
                <c:pt idx="177">
                  <c:v>96.256868919669444</c:v>
                </c:pt>
                <c:pt idx="178">
                  <c:v>96.232727270567636</c:v>
                </c:pt>
                <c:pt idx="179">
                  <c:v>96.208137150528003</c:v>
                </c:pt>
                <c:pt idx="180">
                  <c:v>96.18308956689674</c:v>
                </c:pt>
                <c:pt idx="181">
                  <c:v>96.157575188032894</c:v>
                </c:pt>
                <c:pt idx="182">
                  <c:v>96.131584330534011</c:v>
                </c:pt>
                <c:pt idx="183">
                  <c:v>96.105106945780619</c:v>
                </c:pt>
                <c:pt idx="184">
                  <c:v>96.078132605761283</c:v>
                </c:pt>
                <c:pt idx="185">
                  <c:v>96.050650488137109</c:v>
                </c:pt>
                <c:pt idx="186">
                  <c:v>96.022649360501234</c:v>
                </c:pt>
                <c:pt idx="187">
                  <c:v>95.994117563786389</c:v>
                </c:pt>
                <c:pt idx="188">
                  <c:v>95.965042994769917</c:v>
                </c:pt>
                <c:pt idx="189">
                  <c:v>95.935413087621882</c:v>
                </c:pt>
                <c:pt idx="190">
                  <c:v>95.905214794438365</c:v>
                </c:pt>
                <c:pt idx="191">
                  <c:v>95.874434564697708</c:v>
                </c:pt>
                <c:pt idx="192">
                  <c:v>95.843058323572535</c:v>
                </c:pt>
                <c:pt idx="193">
                  <c:v>95.811071449026244</c:v>
                </c:pt>
                <c:pt idx="194">
                  <c:v>95.778458747616469</c:v>
                </c:pt>
                <c:pt idx="195">
                  <c:v>95.745204428923032</c:v>
                </c:pt>
                <c:pt idx="196">
                  <c:v>95.711292078510937</c:v>
                </c:pt>
                <c:pt idx="197">
                  <c:v>95.676704629332889</c:v>
                </c:pt>
                <c:pt idx="198">
                  <c:v>95.641424331467661</c:v>
                </c:pt>
                <c:pt idx="199">
                  <c:v>95.605432720083712</c:v>
                </c:pt>
                <c:pt idx="200">
                  <c:v>95.568710581507375</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4.4999999999999998E-2</c:v>
                </c:pt>
                <c:pt idx="2">
                  <c:v>0.09</c:v>
                </c:pt>
                <c:pt idx="3">
                  <c:v>0.13500000000000001</c:v>
                </c:pt>
                <c:pt idx="4">
                  <c:v>0.18</c:v>
                </c:pt>
                <c:pt idx="5">
                  <c:v>0.22500000000000001</c:v>
                </c:pt>
                <c:pt idx="6">
                  <c:v>0.27</c:v>
                </c:pt>
                <c:pt idx="7">
                  <c:v>0.31500000000000006</c:v>
                </c:pt>
                <c:pt idx="8">
                  <c:v>0.36</c:v>
                </c:pt>
                <c:pt idx="9">
                  <c:v>0.40499999999999997</c:v>
                </c:pt>
                <c:pt idx="10">
                  <c:v>0.45</c:v>
                </c:pt>
                <c:pt idx="11">
                  <c:v>0.495</c:v>
                </c:pt>
                <c:pt idx="12">
                  <c:v>0.54</c:v>
                </c:pt>
                <c:pt idx="13">
                  <c:v>0.58499999999999996</c:v>
                </c:pt>
                <c:pt idx="14">
                  <c:v>0.63000000000000012</c:v>
                </c:pt>
                <c:pt idx="15">
                  <c:v>0.67499999999999993</c:v>
                </c:pt>
                <c:pt idx="16">
                  <c:v>0.72</c:v>
                </c:pt>
                <c:pt idx="17">
                  <c:v>0.76500000000000001</c:v>
                </c:pt>
                <c:pt idx="18">
                  <c:v>0.80999999999999994</c:v>
                </c:pt>
                <c:pt idx="19">
                  <c:v>0.85499999999999998</c:v>
                </c:pt>
                <c:pt idx="20">
                  <c:v>0.9</c:v>
                </c:pt>
                <c:pt idx="21">
                  <c:v>0.94499999999999995</c:v>
                </c:pt>
                <c:pt idx="22">
                  <c:v>0.99</c:v>
                </c:pt>
                <c:pt idx="23">
                  <c:v>1.0350000000000001</c:v>
                </c:pt>
                <c:pt idx="24">
                  <c:v>1.08</c:v>
                </c:pt>
                <c:pt idx="25">
                  <c:v>1.125</c:v>
                </c:pt>
                <c:pt idx="26">
                  <c:v>1.17</c:v>
                </c:pt>
                <c:pt idx="27">
                  <c:v>1.2150000000000001</c:v>
                </c:pt>
                <c:pt idx="28">
                  <c:v>1.2600000000000002</c:v>
                </c:pt>
                <c:pt idx="29">
                  <c:v>1.3049999999999999</c:v>
                </c:pt>
                <c:pt idx="30">
                  <c:v>1.3499999999999999</c:v>
                </c:pt>
                <c:pt idx="31">
                  <c:v>1.395</c:v>
                </c:pt>
                <c:pt idx="32">
                  <c:v>1.44</c:v>
                </c:pt>
                <c:pt idx="33">
                  <c:v>1.4850000000000001</c:v>
                </c:pt>
                <c:pt idx="34">
                  <c:v>1.53</c:v>
                </c:pt>
                <c:pt idx="35">
                  <c:v>1.575</c:v>
                </c:pt>
                <c:pt idx="36">
                  <c:v>1.6199999999999999</c:v>
                </c:pt>
                <c:pt idx="37">
                  <c:v>1.665</c:v>
                </c:pt>
                <c:pt idx="38">
                  <c:v>1.71</c:v>
                </c:pt>
                <c:pt idx="39">
                  <c:v>1.7550000000000001</c:v>
                </c:pt>
                <c:pt idx="40">
                  <c:v>1.8</c:v>
                </c:pt>
                <c:pt idx="41">
                  <c:v>1.845</c:v>
                </c:pt>
                <c:pt idx="42">
                  <c:v>1.89</c:v>
                </c:pt>
                <c:pt idx="43">
                  <c:v>1.9350000000000001</c:v>
                </c:pt>
                <c:pt idx="44">
                  <c:v>1.98</c:v>
                </c:pt>
                <c:pt idx="45">
                  <c:v>2.0249999999999999</c:v>
                </c:pt>
                <c:pt idx="46">
                  <c:v>2.0700000000000003</c:v>
                </c:pt>
                <c:pt idx="47">
                  <c:v>2.1149999999999998</c:v>
                </c:pt>
                <c:pt idx="48">
                  <c:v>2.16</c:v>
                </c:pt>
                <c:pt idx="49">
                  <c:v>2.2050000000000001</c:v>
                </c:pt>
                <c:pt idx="50">
                  <c:v>2.25</c:v>
                </c:pt>
                <c:pt idx="51">
                  <c:v>2.2949999999999999</c:v>
                </c:pt>
                <c:pt idx="52">
                  <c:v>2.34</c:v>
                </c:pt>
                <c:pt idx="53">
                  <c:v>2.3850000000000002</c:v>
                </c:pt>
                <c:pt idx="54">
                  <c:v>2.4300000000000002</c:v>
                </c:pt>
                <c:pt idx="55">
                  <c:v>2.4750000000000001</c:v>
                </c:pt>
                <c:pt idx="56">
                  <c:v>2.5200000000000005</c:v>
                </c:pt>
                <c:pt idx="57">
                  <c:v>2.5649999999999999</c:v>
                </c:pt>
                <c:pt idx="58">
                  <c:v>2.61</c:v>
                </c:pt>
                <c:pt idx="59">
                  <c:v>2.6549999999999998</c:v>
                </c:pt>
                <c:pt idx="60">
                  <c:v>2.6999999999999997</c:v>
                </c:pt>
                <c:pt idx="61">
                  <c:v>2.7450000000000001</c:v>
                </c:pt>
                <c:pt idx="62">
                  <c:v>2.79</c:v>
                </c:pt>
                <c:pt idx="63">
                  <c:v>2.835</c:v>
                </c:pt>
                <c:pt idx="64">
                  <c:v>2.88</c:v>
                </c:pt>
                <c:pt idx="65">
                  <c:v>2.9250000000000003</c:v>
                </c:pt>
                <c:pt idx="66">
                  <c:v>2.97</c:v>
                </c:pt>
                <c:pt idx="67">
                  <c:v>3.0150000000000001</c:v>
                </c:pt>
                <c:pt idx="68">
                  <c:v>3.06</c:v>
                </c:pt>
                <c:pt idx="69">
                  <c:v>3.1049999999999995</c:v>
                </c:pt>
                <c:pt idx="70">
                  <c:v>3.15</c:v>
                </c:pt>
                <c:pt idx="71">
                  <c:v>3.1949999999999998</c:v>
                </c:pt>
                <c:pt idx="72">
                  <c:v>3.2399999999999998</c:v>
                </c:pt>
                <c:pt idx="73">
                  <c:v>3.2850000000000001</c:v>
                </c:pt>
                <c:pt idx="74">
                  <c:v>3.33</c:v>
                </c:pt>
                <c:pt idx="75">
                  <c:v>3.375</c:v>
                </c:pt>
                <c:pt idx="76">
                  <c:v>3.42</c:v>
                </c:pt>
                <c:pt idx="77">
                  <c:v>3.4649999999999999</c:v>
                </c:pt>
                <c:pt idx="78">
                  <c:v>3.5100000000000002</c:v>
                </c:pt>
                <c:pt idx="79">
                  <c:v>3.5550000000000002</c:v>
                </c:pt>
                <c:pt idx="80">
                  <c:v>3.6</c:v>
                </c:pt>
                <c:pt idx="81">
                  <c:v>3.6450000000000005</c:v>
                </c:pt>
                <c:pt idx="82">
                  <c:v>3.69</c:v>
                </c:pt>
                <c:pt idx="83">
                  <c:v>3.7349999999999999</c:v>
                </c:pt>
                <c:pt idx="84">
                  <c:v>3.78</c:v>
                </c:pt>
                <c:pt idx="85">
                  <c:v>3.8249999999999997</c:v>
                </c:pt>
                <c:pt idx="86">
                  <c:v>3.87</c:v>
                </c:pt>
                <c:pt idx="87">
                  <c:v>3.915</c:v>
                </c:pt>
                <c:pt idx="88">
                  <c:v>3.96</c:v>
                </c:pt>
                <c:pt idx="89">
                  <c:v>4.0049999999999999</c:v>
                </c:pt>
                <c:pt idx="90">
                  <c:v>4.05</c:v>
                </c:pt>
                <c:pt idx="91">
                  <c:v>4.0949999999999998</c:v>
                </c:pt>
                <c:pt idx="92">
                  <c:v>4.1400000000000006</c:v>
                </c:pt>
                <c:pt idx="93">
                  <c:v>4.1850000000000005</c:v>
                </c:pt>
                <c:pt idx="94">
                  <c:v>4.2299999999999995</c:v>
                </c:pt>
                <c:pt idx="95">
                  <c:v>4.2749999999999995</c:v>
                </c:pt>
                <c:pt idx="96">
                  <c:v>4.32</c:v>
                </c:pt>
                <c:pt idx="97">
                  <c:v>4.3650000000000002</c:v>
                </c:pt>
                <c:pt idx="98">
                  <c:v>4.41</c:v>
                </c:pt>
                <c:pt idx="99">
                  <c:v>4.4550000000000001</c:v>
                </c:pt>
                <c:pt idx="100">
                  <c:v>4.5</c:v>
                </c:pt>
                <c:pt idx="101">
                  <c:v>4.5449999999999999</c:v>
                </c:pt>
                <c:pt idx="102">
                  <c:v>4.59</c:v>
                </c:pt>
                <c:pt idx="103">
                  <c:v>4.6349999999999998</c:v>
                </c:pt>
                <c:pt idx="104">
                  <c:v>4.68</c:v>
                </c:pt>
                <c:pt idx="105">
                  <c:v>4.7250000000000005</c:v>
                </c:pt>
                <c:pt idx="106">
                  <c:v>4.7700000000000005</c:v>
                </c:pt>
                <c:pt idx="107">
                  <c:v>4.8150000000000004</c:v>
                </c:pt>
                <c:pt idx="108">
                  <c:v>4.8600000000000003</c:v>
                </c:pt>
                <c:pt idx="109">
                  <c:v>4.9050000000000002</c:v>
                </c:pt>
                <c:pt idx="110">
                  <c:v>4.95</c:v>
                </c:pt>
                <c:pt idx="111">
                  <c:v>4.9950000000000001</c:v>
                </c:pt>
                <c:pt idx="112">
                  <c:v>5.0400000000000009</c:v>
                </c:pt>
                <c:pt idx="113">
                  <c:v>5.0849999999999991</c:v>
                </c:pt>
                <c:pt idx="114">
                  <c:v>5.13</c:v>
                </c:pt>
                <c:pt idx="115">
                  <c:v>5.1749999999999998</c:v>
                </c:pt>
                <c:pt idx="116">
                  <c:v>5.22</c:v>
                </c:pt>
                <c:pt idx="117">
                  <c:v>5.2649999999999997</c:v>
                </c:pt>
                <c:pt idx="118">
                  <c:v>5.31</c:v>
                </c:pt>
                <c:pt idx="119">
                  <c:v>5.3549999999999995</c:v>
                </c:pt>
                <c:pt idx="120">
                  <c:v>5.3999999999999995</c:v>
                </c:pt>
                <c:pt idx="121">
                  <c:v>5.4450000000000003</c:v>
                </c:pt>
                <c:pt idx="122">
                  <c:v>5.49</c:v>
                </c:pt>
                <c:pt idx="123">
                  <c:v>5.5350000000000001</c:v>
                </c:pt>
                <c:pt idx="124">
                  <c:v>5.58</c:v>
                </c:pt>
                <c:pt idx="125">
                  <c:v>5.625</c:v>
                </c:pt>
                <c:pt idx="126">
                  <c:v>5.67</c:v>
                </c:pt>
                <c:pt idx="127">
                  <c:v>5.7149999999999999</c:v>
                </c:pt>
                <c:pt idx="128">
                  <c:v>5.76</c:v>
                </c:pt>
                <c:pt idx="129">
                  <c:v>5.8049999999999997</c:v>
                </c:pt>
                <c:pt idx="130">
                  <c:v>5.8500000000000005</c:v>
                </c:pt>
                <c:pt idx="131">
                  <c:v>5.8950000000000005</c:v>
                </c:pt>
                <c:pt idx="132">
                  <c:v>5.94</c:v>
                </c:pt>
                <c:pt idx="133">
                  <c:v>5.9850000000000003</c:v>
                </c:pt>
                <c:pt idx="134">
                  <c:v>6.03</c:v>
                </c:pt>
                <c:pt idx="135">
                  <c:v>6.0750000000000002</c:v>
                </c:pt>
                <c:pt idx="136">
                  <c:v>6.12</c:v>
                </c:pt>
                <c:pt idx="137">
                  <c:v>6.1650000000000009</c:v>
                </c:pt>
                <c:pt idx="138">
                  <c:v>6.2099999999999991</c:v>
                </c:pt>
                <c:pt idx="139">
                  <c:v>6.2549999999999999</c:v>
                </c:pt>
                <c:pt idx="140">
                  <c:v>6.3</c:v>
                </c:pt>
                <c:pt idx="141">
                  <c:v>6.3449999999999998</c:v>
                </c:pt>
                <c:pt idx="142">
                  <c:v>6.39</c:v>
                </c:pt>
                <c:pt idx="143">
                  <c:v>6.4349999999999996</c:v>
                </c:pt>
                <c:pt idx="144">
                  <c:v>6.4799999999999995</c:v>
                </c:pt>
                <c:pt idx="145">
                  <c:v>6.5249999999999995</c:v>
                </c:pt>
                <c:pt idx="146">
                  <c:v>6.57</c:v>
                </c:pt>
                <c:pt idx="147">
                  <c:v>6.6150000000000002</c:v>
                </c:pt>
                <c:pt idx="148">
                  <c:v>6.66</c:v>
                </c:pt>
                <c:pt idx="149">
                  <c:v>6.7050000000000001</c:v>
                </c:pt>
                <c:pt idx="150">
                  <c:v>6.75</c:v>
                </c:pt>
                <c:pt idx="151">
                  <c:v>6.7949999999999999</c:v>
                </c:pt>
                <c:pt idx="152">
                  <c:v>6.84</c:v>
                </c:pt>
                <c:pt idx="153">
                  <c:v>6.8849999999999998</c:v>
                </c:pt>
                <c:pt idx="154">
                  <c:v>6.93</c:v>
                </c:pt>
                <c:pt idx="155">
                  <c:v>6.9750000000000005</c:v>
                </c:pt>
                <c:pt idx="156">
                  <c:v>7.0200000000000005</c:v>
                </c:pt>
                <c:pt idx="157">
                  <c:v>7.0650000000000004</c:v>
                </c:pt>
                <c:pt idx="158">
                  <c:v>7.11</c:v>
                </c:pt>
                <c:pt idx="159">
                  <c:v>7.1550000000000002</c:v>
                </c:pt>
                <c:pt idx="160">
                  <c:v>7.2</c:v>
                </c:pt>
                <c:pt idx="161">
                  <c:v>7.2450000000000001</c:v>
                </c:pt>
                <c:pt idx="162">
                  <c:v>7.2900000000000009</c:v>
                </c:pt>
                <c:pt idx="163">
                  <c:v>7.3349999999999991</c:v>
                </c:pt>
                <c:pt idx="164">
                  <c:v>7.38</c:v>
                </c:pt>
                <c:pt idx="165">
                  <c:v>7.4249999999999998</c:v>
                </c:pt>
                <c:pt idx="166">
                  <c:v>7.47</c:v>
                </c:pt>
                <c:pt idx="167">
                  <c:v>7.5149999999999997</c:v>
                </c:pt>
                <c:pt idx="168">
                  <c:v>7.56</c:v>
                </c:pt>
                <c:pt idx="169">
                  <c:v>7.6049999999999995</c:v>
                </c:pt>
                <c:pt idx="170">
                  <c:v>7.6499999999999995</c:v>
                </c:pt>
                <c:pt idx="171">
                  <c:v>7.6950000000000003</c:v>
                </c:pt>
                <c:pt idx="172">
                  <c:v>7.74</c:v>
                </c:pt>
                <c:pt idx="173">
                  <c:v>7.7850000000000001</c:v>
                </c:pt>
                <c:pt idx="174">
                  <c:v>7.83</c:v>
                </c:pt>
                <c:pt idx="175">
                  <c:v>7.875</c:v>
                </c:pt>
                <c:pt idx="176">
                  <c:v>7.92</c:v>
                </c:pt>
                <c:pt idx="177">
                  <c:v>7.9649999999999999</c:v>
                </c:pt>
                <c:pt idx="178">
                  <c:v>8.01</c:v>
                </c:pt>
                <c:pt idx="179">
                  <c:v>8.0549999999999997</c:v>
                </c:pt>
                <c:pt idx="180">
                  <c:v>8.1</c:v>
                </c:pt>
                <c:pt idx="181">
                  <c:v>8.1449999999999996</c:v>
                </c:pt>
                <c:pt idx="182">
                  <c:v>8.19</c:v>
                </c:pt>
                <c:pt idx="183">
                  <c:v>8.2349999999999994</c:v>
                </c:pt>
                <c:pt idx="184">
                  <c:v>8.2800000000000011</c:v>
                </c:pt>
                <c:pt idx="185">
                  <c:v>8.3250000000000011</c:v>
                </c:pt>
                <c:pt idx="186">
                  <c:v>8.370000000000001</c:v>
                </c:pt>
                <c:pt idx="187">
                  <c:v>8.4150000000000009</c:v>
                </c:pt>
                <c:pt idx="188">
                  <c:v>8.4599999999999991</c:v>
                </c:pt>
                <c:pt idx="189">
                  <c:v>8.504999999999999</c:v>
                </c:pt>
                <c:pt idx="190">
                  <c:v>8.5499999999999989</c:v>
                </c:pt>
                <c:pt idx="191">
                  <c:v>8.5949999999999989</c:v>
                </c:pt>
                <c:pt idx="192">
                  <c:v>8.64</c:v>
                </c:pt>
                <c:pt idx="193">
                  <c:v>8.6850000000000005</c:v>
                </c:pt>
                <c:pt idx="194">
                  <c:v>8.73</c:v>
                </c:pt>
                <c:pt idx="195">
                  <c:v>8.7750000000000004</c:v>
                </c:pt>
                <c:pt idx="196">
                  <c:v>8.82</c:v>
                </c:pt>
                <c:pt idx="197">
                  <c:v>8.8650000000000002</c:v>
                </c:pt>
                <c:pt idx="198">
                  <c:v>8.91</c:v>
                </c:pt>
                <c:pt idx="199">
                  <c:v>8.9550000000000001</c:v>
                </c:pt>
                <c:pt idx="200">
                  <c:v>9</c:v>
                </c:pt>
              </c:numCache>
            </c:numRef>
          </c:cat>
          <c:val>
            <c:numRef>
              <c:f>'Power Calculations'!$Q$9:$Q$209</c:f>
              <c:numCache>
                <c:formatCode>0.0000</c:formatCode>
                <c:ptCount val="201"/>
                <c:pt idx="0">
                  <c:v>0.20080221140363827</c:v>
                </c:pt>
                <c:pt idx="1">
                  <c:v>0.2008041508479608</c:v>
                </c:pt>
                <c:pt idx="2">
                  <c:v>0.20080965478879861</c:v>
                </c:pt>
                <c:pt idx="3">
                  <c:v>0.20081872323557773</c:v>
                </c:pt>
                <c:pt idx="4">
                  <c:v>0.20083135620382245</c:v>
                </c:pt>
                <c:pt idx="5">
                  <c:v>0.20084755371515561</c:v>
                </c:pt>
                <c:pt idx="6">
                  <c:v>0.20086731579729847</c:v>
                </c:pt>
                <c:pt idx="7">
                  <c:v>0.20089064248407096</c:v>
                </c:pt>
                <c:pt idx="8">
                  <c:v>0.20091753381539182</c:v>
                </c:pt>
                <c:pt idx="9">
                  <c:v>0.20094798983727868</c:v>
                </c:pt>
                <c:pt idx="10">
                  <c:v>0.20098201060184845</c:v>
                </c:pt>
                <c:pt idx="11">
                  <c:v>0.20101959616731727</c:v>
                </c:pt>
                <c:pt idx="12">
                  <c:v>0.20106074659800099</c:v>
                </c:pt>
                <c:pt idx="13">
                  <c:v>0.20110546196431534</c:v>
                </c:pt>
                <c:pt idx="14">
                  <c:v>0.20115374234277622</c:v>
                </c:pt>
                <c:pt idx="15">
                  <c:v>0.20120558781600012</c:v>
                </c:pt>
                <c:pt idx="16">
                  <c:v>0.20126099847270437</c:v>
                </c:pt>
                <c:pt idx="17">
                  <c:v>0.20131997440770755</c:v>
                </c:pt>
                <c:pt idx="18">
                  <c:v>0.20138251572192994</c:v>
                </c:pt>
                <c:pt idx="19">
                  <c:v>0.20144862252239393</c:v>
                </c:pt>
                <c:pt idx="20">
                  <c:v>0.20151829492222439</c:v>
                </c:pt>
                <c:pt idx="21">
                  <c:v>0.20159153304064928</c:v>
                </c:pt>
                <c:pt idx="22">
                  <c:v>0.20166833700300016</c:v>
                </c:pt>
                <c:pt idx="23">
                  <c:v>0.20174870694071259</c:v>
                </c:pt>
                <c:pt idx="24">
                  <c:v>0.2018326429913268</c:v>
                </c:pt>
                <c:pt idx="25">
                  <c:v>0.20192014529848831</c:v>
                </c:pt>
                <c:pt idx="26">
                  <c:v>0.20201121401194844</c:v>
                </c:pt>
                <c:pt idx="27">
                  <c:v>0.202105849287565</c:v>
                </c:pt>
                <c:pt idx="28">
                  <c:v>0.20220405128730298</c:v>
                </c:pt>
                <c:pt idx="29">
                  <c:v>0.20230582017923524</c:v>
                </c:pt>
                <c:pt idx="30">
                  <c:v>0.20241115613754318</c:v>
                </c:pt>
                <c:pt idx="31">
                  <c:v>0.20252005934251749</c:v>
                </c:pt>
                <c:pt idx="32">
                  <c:v>0.20263252998055906</c:v>
                </c:pt>
                <c:pt idx="33">
                  <c:v>0.20274856824417953</c:v>
                </c:pt>
                <c:pt idx="34">
                  <c:v>0.20286817433200233</c:v>
                </c:pt>
                <c:pt idx="35">
                  <c:v>0.20299134844876343</c:v>
                </c:pt>
                <c:pt idx="36">
                  <c:v>0.20311809080531223</c:v>
                </c:pt>
                <c:pt idx="37">
                  <c:v>0.20324840161861252</c:v>
                </c:pt>
                <c:pt idx="38">
                  <c:v>0.20338228111174331</c:v>
                </c:pt>
                <c:pt idx="39">
                  <c:v>0.20351972951389979</c:v>
                </c:pt>
                <c:pt idx="40">
                  <c:v>0.20366074706039444</c:v>
                </c:pt>
                <c:pt idx="41">
                  <c:v>0.20380533399265791</c:v>
                </c:pt>
                <c:pt idx="42">
                  <c:v>0.20395349055824011</c:v>
                </c:pt>
                <c:pt idx="43">
                  <c:v>0.20410521701081122</c:v>
                </c:pt>
                <c:pt idx="44">
                  <c:v>0.20426051361016287</c:v>
                </c:pt>
                <c:pt idx="45">
                  <c:v>0.20441938062220913</c:v>
                </c:pt>
                <c:pt idx="46">
                  <c:v>0.20458181831898775</c:v>
                </c:pt>
                <c:pt idx="47">
                  <c:v>0.20474782697866131</c:v>
                </c:pt>
                <c:pt idx="48">
                  <c:v>0.20491740688551832</c:v>
                </c:pt>
                <c:pt idx="49">
                  <c:v>0.20509055832997458</c:v>
                </c:pt>
                <c:pt idx="50">
                  <c:v>0.20526728160857427</c:v>
                </c:pt>
                <c:pt idx="51">
                  <c:v>0.20544757702399138</c:v>
                </c:pt>
                <c:pt idx="52">
                  <c:v>0.20563144488503088</c:v>
                </c:pt>
                <c:pt idx="53">
                  <c:v>0.20581888550663011</c:v>
                </c:pt>
                <c:pt idx="54">
                  <c:v>0.2060098992098601</c:v>
                </c:pt>
                <c:pt idx="55">
                  <c:v>0.20620448632192692</c:v>
                </c:pt>
                <c:pt idx="56">
                  <c:v>0.20640264717617321</c:v>
                </c:pt>
                <c:pt idx="57">
                  <c:v>0.2066043821120794</c:v>
                </c:pt>
                <c:pt idx="58">
                  <c:v>0.2068096914752654</c:v>
                </c:pt>
                <c:pt idx="59">
                  <c:v>0.20701857561749182</c:v>
                </c:pt>
                <c:pt idx="60">
                  <c:v>0.20723103489666175</c:v>
                </c:pt>
                <c:pt idx="61">
                  <c:v>0.20744706967682211</c:v>
                </c:pt>
                <c:pt idx="62">
                  <c:v>0.20766668032816524</c:v>
                </c:pt>
                <c:pt idx="63">
                  <c:v>0.20788986722703051</c:v>
                </c:pt>
                <c:pt idx="64">
                  <c:v>0.208116630755906</c:v>
                </c:pt>
                <c:pt idx="65">
                  <c:v>0.20834697130343002</c:v>
                </c:pt>
                <c:pt idx="66">
                  <c:v>0.20858088926439283</c:v>
                </c:pt>
                <c:pt idx="67">
                  <c:v>0.20881838503973832</c:v>
                </c:pt>
                <c:pt idx="68">
                  <c:v>0.20905945903656578</c:v>
                </c:pt>
                <c:pt idx="69">
                  <c:v>0.20930411166813162</c:v>
                </c:pt>
                <c:pt idx="70">
                  <c:v>0.20955234335385106</c:v>
                </c:pt>
                <c:pt idx="71">
                  <c:v>0.20980415451930007</c:v>
                </c:pt>
                <c:pt idx="72">
                  <c:v>0.21005954559621709</c:v>
                </c:pt>
                <c:pt idx="73">
                  <c:v>0.2103185170225049</c:v>
                </c:pt>
                <c:pt idx="74">
                  <c:v>0.21058106924223258</c:v>
                </c:pt>
                <c:pt idx="75">
                  <c:v>0.21084720270563731</c:v>
                </c:pt>
                <c:pt idx="76">
                  <c:v>0.21111691786912634</c:v>
                </c:pt>
                <c:pt idx="77">
                  <c:v>0.21139021519527895</c:v>
                </c:pt>
                <c:pt idx="78">
                  <c:v>0.21166709515284846</c:v>
                </c:pt>
                <c:pt idx="79">
                  <c:v>0.21194755821676423</c:v>
                </c:pt>
                <c:pt idx="80">
                  <c:v>0.21223160486813364</c:v>
                </c:pt>
                <c:pt idx="81">
                  <c:v>0.21251923559424429</c:v>
                </c:pt>
                <c:pt idx="82">
                  <c:v>0.2128104508885659</c:v>
                </c:pt>
                <c:pt idx="83">
                  <c:v>0.21310525125075261</c:v>
                </c:pt>
                <c:pt idx="84">
                  <c:v>0.21340363718664507</c:v>
                </c:pt>
                <c:pt idx="85">
                  <c:v>0.2137056092082725</c:v>
                </c:pt>
                <c:pt idx="86">
                  <c:v>0.21401116783385513</c:v>
                </c:pt>
                <c:pt idx="87">
                  <c:v>0.21432031358780612</c:v>
                </c:pt>
                <c:pt idx="88">
                  <c:v>0.21463304700073407</c:v>
                </c:pt>
                <c:pt idx="89">
                  <c:v>0.21494936860944525</c:v>
                </c:pt>
                <c:pt idx="90">
                  <c:v>0.2152692789569457</c:v>
                </c:pt>
                <c:pt idx="91">
                  <c:v>0.21559277859244391</c:v>
                </c:pt>
                <c:pt idx="92">
                  <c:v>0.21591986807135286</c:v>
                </c:pt>
                <c:pt idx="93">
                  <c:v>0.21625054795529261</c:v>
                </c:pt>
                <c:pt idx="94">
                  <c:v>0.21658481881209263</c:v>
                </c:pt>
                <c:pt idx="95">
                  <c:v>0.21692268121579425</c:v>
                </c:pt>
                <c:pt idx="96">
                  <c:v>0.21726413574665321</c:v>
                </c:pt>
                <c:pt idx="97">
                  <c:v>0.21760918299114193</c:v>
                </c:pt>
                <c:pt idx="98">
                  <c:v>0.21795782354195237</c:v>
                </c:pt>
                <c:pt idx="99">
                  <c:v>0.21831005799799824</c:v>
                </c:pt>
                <c:pt idx="100">
                  <c:v>0.21866588696441783</c:v>
                </c:pt>
                <c:pt idx="101">
                  <c:v>0.21902531105257647</c:v>
                </c:pt>
                <c:pt idx="102">
                  <c:v>0.21938833088006926</c:v>
                </c:pt>
                <c:pt idx="103">
                  <c:v>0.2197549470707236</c:v>
                </c:pt>
                <c:pt idx="104">
                  <c:v>0.22012516025460202</c:v>
                </c:pt>
                <c:pt idx="105">
                  <c:v>0.22049897106800478</c:v>
                </c:pt>
                <c:pt idx="106">
                  <c:v>0.22087638015347266</c:v>
                </c:pt>
                <c:pt idx="107">
                  <c:v>0.22125738815978976</c:v>
                </c:pt>
                <c:pt idx="108">
                  <c:v>0.22164199574198618</c:v>
                </c:pt>
                <c:pt idx="109">
                  <c:v>0.22203020356134098</c:v>
                </c:pt>
                <c:pt idx="110">
                  <c:v>0.22242201228538494</c:v>
                </c:pt>
                <c:pt idx="111">
                  <c:v>0.22281742258790344</c:v>
                </c:pt>
                <c:pt idx="112">
                  <c:v>0.22321643514893943</c:v>
                </c:pt>
                <c:pt idx="113">
                  <c:v>0.22361905065479629</c:v>
                </c:pt>
                <c:pt idx="114">
                  <c:v>0.22402526979804077</c:v>
                </c:pt>
                <c:pt idx="115">
                  <c:v>0.2244350932775061</c:v>
                </c:pt>
                <c:pt idx="116">
                  <c:v>0.22484852179829487</c:v>
                </c:pt>
                <c:pt idx="117">
                  <c:v>0.22526555607178211</c:v>
                </c:pt>
                <c:pt idx="118">
                  <c:v>0.22568619681561838</c:v>
                </c:pt>
                <c:pt idx="119">
                  <c:v>0.2261104447537329</c:v>
                </c:pt>
                <c:pt idx="120">
                  <c:v>0.22653830061633654</c:v>
                </c:pt>
                <c:pt idx="121">
                  <c:v>0.22696976513992514</c:v>
                </c:pt>
                <c:pt idx="122">
                  <c:v>0.22740483906728257</c:v>
                </c:pt>
                <c:pt idx="123">
                  <c:v>0.22784352314748391</c:v>
                </c:pt>
                <c:pt idx="124">
                  <c:v>0.22828581813589888</c:v>
                </c:pt>
                <c:pt idx="125">
                  <c:v>0.22873172479419482</c:v>
                </c:pt>
                <c:pt idx="126">
                  <c:v>0.22918124389034025</c:v>
                </c:pt>
                <c:pt idx="127">
                  <c:v>0.22963437619860796</c:v>
                </c:pt>
                <c:pt idx="128">
                  <c:v>0.23009112249957853</c:v>
                </c:pt>
                <c:pt idx="129">
                  <c:v>0.23055148358014355</c:v>
                </c:pt>
                <c:pt idx="130">
                  <c:v>0.23101546023350919</c:v>
                </c:pt>
                <c:pt idx="131">
                  <c:v>0.23148305325919938</c:v>
                </c:pt>
                <c:pt idx="132">
                  <c:v>0.23195426346305964</c:v>
                </c:pt>
                <c:pt idx="133">
                  <c:v>0.23242909165726008</c:v>
                </c:pt>
                <c:pt idx="134">
                  <c:v>0.23290753866029945</c:v>
                </c:pt>
                <c:pt idx="135">
                  <c:v>0.23338960529700817</c:v>
                </c:pt>
                <c:pt idx="136">
                  <c:v>0.2338752923985522</c:v>
                </c:pt>
                <c:pt idx="137">
                  <c:v>0.23436460080243665</c:v>
                </c:pt>
                <c:pt idx="138">
                  <c:v>0.2348575313525092</c:v>
                </c:pt>
                <c:pt idx="139">
                  <c:v>0.23535408489896392</c:v>
                </c:pt>
                <c:pt idx="140">
                  <c:v>0.23585426229834486</c:v>
                </c:pt>
                <c:pt idx="141">
                  <c:v>0.2363580644135499</c:v>
                </c:pt>
                <c:pt idx="142">
                  <c:v>0.2368654921138342</c:v>
                </c:pt>
                <c:pt idx="143">
                  <c:v>0.2373765462748143</c:v>
                </c:pt>
                <c:pt idx="144">
                  <c:v>0.23789122777847169</c:v>
                </c:pt>
                <c:pt idx="145">
                  <c:v>0.23840953751315666</c:v>
                </c:pt>
                <c:pt idx="146">
                  <c:v>0.23893147637359227</c:v>
                </c:pt>
                <c:pt idx="147">
                  <c:v>0.23945704526087805</c:v>
                </c:pt>
                <c:pt idx="148">
                  <c:v>0.23998624508249403</c:v>
                </c:pt>
                <c:pt idx="149">
                  <c:v>0.24051907675230463</c:v>
                </c:pt>
                <c:pt idx="150">
                  <c:v>0.24105554119056266</c:v>
                </c:pt>
                <c:pt idx="151">
                  <c:v>0.24159563932391323</c:v>
                </c:pt>
                <c:pt idx="152">
                  <c:v>0.24213937208539787</c:v>
                </c:pt>
                <c:pt idx="153">
                  <c:v>0.24268674041445842</c:v>
                </c:pt>
                <c:pt idx="154">
                  <c:v>0.24323774525694131</c:v>
                </c:pt>
                <c:pt idx="155">
                  <c:v>0.24379238756510158</c:v>
                </c:pt>
                <c:pt idx="156">
                  <c:v>0.24435066829760688</c:v>
                </c:pt>
                <c:pt idx="157">
                  <c:v>0.24491258841954178</c:v>
                </c:pt>
                <c:pt idx="158">
                  <c:v>0.24547814890241204</c:v>
                </c:pt>
                <c:pt idx="159">
                  <c:v>0.24604735072414857</c:v>
                </c:pt>
                <c:pt idx="160">
                  <c:v>0.24662019486911191</c:v>
                </c:pt>
                <c:pt idx="161">
                  <c:v>0.24719668232809633</c:v>
                </c:pt>
                <c:pt idx="162">
                  <c:v>0.24777681409833435</c:v>
                </c:pt>
                <c:pt idx="163">
                  <c:v>0.24836059118350085</c:v>
                </c:pt>
                <c:pt idx="164">
                  <c:v>0.24894801459371757</c:v>
                </c:pt>
                <c:pt idx="165">
                  <c:v>0.24953908534555738</c:v>
                </c:pt>
                <c:pt idx="166">
                  <c:v>0.25013380446204891</c:v>
                </c:pt>
                <c:pt idx="167">
                  <c:v>0.25073217297268074</c:v>
                </c:pt>
                <c:pt idx="168">
                  <c:v>0.25133419191340617</c:v>
                </c:pt>
                <c:pt idx="169">
                  <c:v>0.25193986232664733</c:v>
                </c:pt>
                <c:pt idx="170">
                  <c:v>0.25254918526130021</c:v>
                </c:pt>
                <c:pt idx="171">
                  <c:v>0.25316216177273876</c:v>
                </c:pt>
                <c:pt idx="172">
                  <c:v>0.2537787929228198</c:v>
                </c:pt>
                <c:pt idx="173">
                  <c:v>0.25439907977988746</c:v>
                </c:pt>
                <c:pt idx="174">
                  <c:v>0.25502302341877797</c:v>
                </c:pt>
                <c:pt idx="175">
                  <c:v>0.25565062492082435</c:v>
                </c:pt>
                <c:pt idx="176">
                  <c:v>0.25628188537386082</c:v>
                </c:pt>
                <c:pt idx="177">
                  <c:v>0.25691680587222809</c:v>
                </c:pt>
                <c:pt idx="178">
                  <c:v>0.25755538751677748</c:v>
                </c:pt>
                <c:pt idx="179">
                  <c:v>0.25819763141487628</c:v>
                </c:pt>
                <c:pt idx="180">
                  <c:v>0.25884353868041232</c:v>
                </c:pt>
                <c:pt idx="181">
                  <c:v>0.2594931104337988</c:v>
                </c:pt>
                <c:pt idx="182">
                  <c:v>0.26014634780197926</c:v>
                </c:pt>
                <c:pt idx="183">
                  <c:v>0.26080325191843245</c:v>
                </c:pt>
                <c:pt idx="184">
                  <c:v>0.26146382392317746</c:v>
                </c:pt>
                <c:pt idx="185">
                  <c:v>0.26212806496277824</c:v>
                </c:pt>
                <c:pt idx="186">
                  <c:v>0.26279597619034922</c:v>
                </c:pt>
                <c:pt idx="187">
                  <c:v>0.26346755876555983</c:v>
                </c:pt>
                <c:pt idx="188">
                  <c:v>0.26414281385463984</c:v>
                </c:pt>
                <c:pt idx="189">
                  <c:v>0.26482174263038444</c:v>
                </c:pt>
                <c:pt idx="190">
                  <c:v>0.26550434627215924</c:v>
                </c:pt>
                <c:pt idx="191">
                  <c:v>0.26619062596590554</c:v>
                </c:pt>
                <c:pt idx="192">
                  <c:v>0.26688058290414546</c:v>
                </c:pt>
                <c:pt idx="193">
                  <c:v>0.2675742182859871</c:v>
                </c:pt>
                <c:pt idx="194">
                  <c:v>0.26827153331713</c:v>
                </c:pt>
                <c:pt idx="195">
                  <c:v>0.26897252920987014</c:v>
                </c:pt>
                <c:pt idx="196">
                  <c:v>0.26967720718310551</c:v>
                </c:pt>
                <c:pt idx="197">
                  <c:v>0.27038556846234119</c:v>
                </c:pt>
                <c:pt idx="198">
                  <c:v>0.27109761427969481</c:v>
                </c:pt>
                <c:pt idx="199">
                  <c:v>0.27181334587390227</c:v>
                </c:pt>
                <c:pt idx="200">
                  <c:v>0.27253276449032243</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4.4999999999999998E-2</c:v>
                </c:pt>
                <c:pt idx="2">
                  <c:v>0.09</c:v>
                </c:pt>
                <c:pt idx="3">
                  <c:v>0.13500000000000001</c:v>
                </c:pt>
                <c:pt idx="4">
                  <c:v>0.18</c:v>
                </c:pt>
                <c:pt idx="5">
                  <c:v>0.22500000000000001</c:v>
                </c:pt>
                <c:pt idx="6">
                  <c:v>0.27</c:v>
                </c:pt>
                <c:pt idx="7">
                  <c:v>0.31500000000000006</c:v>
                </c:pt>
                <c:pt idx="8">
                  <c:v>0.36</c:v>
                </c:pt>
                <c:pt idx="9">
                  <c:v>0.40499999999999997</c:v>
                </c:pt>
                <c:pt idx="10">
                  <c:v>0.45</c:v>
                </c:pt>
                <c:pt idx="11">
                  <c:v>0.495</c:v>
                </c:pt>
                <c:pt idx="12">
                  <c:v>0.54</c:v>
                </c:pt>
                <c:pt idx="13">
                  <c:v>0.58499999999999996</c:v>
                </c:pt>
                <c:pt idx="14">
                  <c:v>0.63000000000000012</c:v>
                </c:pt>
                <c:pt idx="15">
                  <c:v>0.67499999999999993</c:v>
                </c:pt>
                <c:pt idx="16">
                  <c:v>0.72</c:v>
                </c:pt>
                <c:pt idx="17">
                  <c:v>0.76500000000000001</c:v>
                </c:pt>
                <c:pt idx="18">
                  <c:v>0.80999999999999994</c:v>
                </c:pt>
                <c:pt idx="19">
                  <c:v>0.85499999999999998</c:v>
                </c:pt>
                <c:pt idx="20">
                  <c:v>0.9</c:v>
                </c:pt>
                <c:pt idx="21">
                  <c:v>0.94499999999999995</c:v>
                </c:pt>
                <c:pt idx="22">
                  <c:v>0.99</c:v>
                </c:pt>
                <c:pt idx="23">
                  <c:v>1.0350000000000001</c:v>
                </c:pt>
                <c:pt idx="24">
                  <c:v>1.08</c:v>
                </c:pt>
                <c:pt idx="25">
                  <c:v>1.125</c:v>
                </c:pt>
                <c:pt idx="26">
                  <c:v>1.17</c:v>
                </c:pt>
                <c:pt idx="27">
                  <c:v>1.2150000000000001</c:v>
                </c:pt>
                <c:pt idx="28">
                  <c:v>1.2600000000000002</c:v>
                </c:pt>
                <c:pt idx="29">
                  <c:v>1.3049999999999999</c:v>
                </c:pt>
                <c:pt idx="30">
                  <c:v>1.3499999999999999</c:v>
                </c:pt>
                <c:pt idx="31">
                  <c:v>1.395</c:v>
                </c:pt>
                <c:pt idx="32">
                  <c:v>1.44</c:v>
                </c:pt>
                <c:pt idx="33">
                  <c:v>1.4850000000000001</c:v>
                </c:pt>
                <c:pt idx="34">
                  <c:v>1.53</c:v>
                </c:pt>
                <c:pt idx="35">
                  <c:v>1.575</c:v>
                </c:pt>
                <c:pt idx="36">
                  <c:v>1.6199999999999999</c:v>
                </c:pt>
                <c:pt idx="37">
                  <c:v>1.665</c:v>
                </c:pt>
                <c:pt idx="38">
                  <c:v>1.71</c:v>
                </c:pt>
                <c:pt idx="39">
                  <c:v>1.7550000000000001</c:v>
                </c:pt>
                <c:pt idx="40">
                  <c:v>1.8</c:v>
                </c:pt>
                <c:pt idx="41">
                  <c:v>1.845</c:v>
                </c:pt>
                <c:pt idx="42">
                  <c:v>1.89</c:v>
                </c:pt>
                <c:pt idx="43">
                  <c:v>1.9350000000000001</c:v>
                </c:pt>
                <c:pt idx="44">
                  <c:v>1.98</c:v>
                </c:pt>
                <c:pt idx="45">
                  <c:v>2.0249999999999999</c:v>
                </c:pt>
                <c:pt idx="46">
                  <c:v>2.0700000000000003</c:v>
                </c:pt>
                <c:pt idx="47">
                  <c:v>2.1149999999999998</c:v>
                </c:pt>
                <c:pt idx="48">
                  <c:v>2.16</c:v>
                </c:pt>
                <c:pt idx="49">
                  <c:v>2.2050000000000001</c:v>
                </c:pt>
                <c:pt idx="50">
                  <c:v>2.25</c:v>
                </c:pt>
                <c:pt idx="51">
                  <c:v>2.2949999999999999</c:v>
                </c:pt>
                <c:pt idx="52">
                  <c:v>2.34</c:v>
                </c:pt>
                <c:pt idx="53">
                  <c:v>2.3850000000000002</c:v>
                </c:pt>
                <c:pt idx="54">
                  <c:v>2.4300000000000002</c:v>
                </c:pt>
                <c:pt idx="55">
                  <c:v>2.4750000000000001</c:v>
                </c:pt>
                <c:pt idx="56">
                  <c:v>2.5200000000000005</c:v>
                </c:pt>
                <c:pt idx="57">
                  <c:v>2.5649999999999999</c:v>
                </c:pt>
                <c:pt idx="58">
                  <c:v>2.61</c:v>
                </c:pt>
                <c:pt idx="59">
                  <c:v>2.6549999999999998</c:v>
                </c:pt>
                <c:pt idx="60">
                  <c:v>2.6999999999999997</c:v>
                </c:pt>
                <c:pt idx="61">
                  <c:v>2.7450000000000001</c:v>
                </c:pt>
                <c:pt idx="62">
                  <c:v>2.79</c:v>
                </c:pt>
                <c:pt idx="63">
                  <c:v>2.835</c:v>
                </c:pt>
                <c:pt idx="64">
                  <c:v>2.88</c:v>
                </c:pt>
                <c:pt idx="65">
                  <c:v>2.9250000000000003</c:v>
                </c:pt>
                <c:pt idx="66">
                  <c:v>2.97</c:v>
                </c:pt>
                <c:pt idx="67">
                  <c:v>3.0150000000000001</c:v>
                </c:pt>
                <c:pt idx="68">
                  <c:v>3.06</c:v>
                </c:pt>
                <c:pt idx="69">
                  <c:v>3.1049999999999995</c:v>
                </c:pt>
                <c:pt idx="70">
                  <c:v>3.15</c:v>
                </c:pt>
                <c:pt idx="71">
                  <c:v>3.1949999999999998</c:v>
                </c:pt>
                <c:pt idx="72">
                  <c:v>3.2399999999999998</c:v>
                </c:pt>
                <c:pt idx="73">
                  <c:v>3.2850000000000001</c:v>
                </c:pt>
                <c:pt idx="74">
                  <c:v>3.33</c:v>
                </c:pt>
                <c:pt idx="75">
                  <c:v>3.375</c:v>
                </c:pt>
                <c:pt idx="76">
                  <c:v>3.42</c:v>
                </c:pt>
                <c:pt idx="77">
                  <c:v>3.4649999999999999</c:v>
                </c:pt>
                <c:pt idx="78">
                  <c:v>3.5100000000000002</c:v>
                </c:pt>
                <c:pt idx="79">
                  <c:v>3.5550000000000002</c:v>
                </c:pt>
                <c:pt idx="80">
                  <c:v>3.6</c:v>
                </c:pt>
                <c:pt idx="81">
                  <c:v>3.6450000000000005</c:v>
                </c:pt>
                <c:pt idx="82">
                  <c:v>3.69</c:v>
                </c:pt>
                <c:pt idx="83">
                  <c:v>3.7349999999999999</c:v>
                </c:pt>
                <c:pt idx="84">
                  <c:v>3.78</c:v>
                </c:pt>
                <c:pt idx="85">
                  <c:v>3.8249999999999997</c:v>
                </c:pt>
                <c:pt idx="86">
                  <c:v>3.87</c:v>
                </c:pt>
                <c:pt idx="87">
                  <c:v>3.915</c:v>
                </c:pt>
                <c:pt idx="88">
                  <c:v>3.96</c:v>
                </c:pt>
                <c:pt idx="89">
                  <c:v>4.0049999999999999</c:v>
                </c:pt>
                <c:pt idx="90">
                  <c:v>4.05</c:v>
                </c:pt>
                <c:pt idx="91">
                  <c:v>4.0949999999999998</c:v>
                </c:pt>
                <c:pt idx="92">
                  <c:v>4.1400000000000006</c:v>
                </c:pt>
                <c:pt idx="93">
                  <c:v>4.1850000000000005</c:v>
                </c:pt>
                <c:pt idx="94">
                  <c:v>4.2299999999999995</c:v>
                </c:pt>
                <c:pt idx="95">
                  <c:v>4.2749999999999995</c:v>
                </c:pt>
                <c:pt idx="96">
                  <c:v>4.32</c:v>
                </c:pt>
                <c:pt idx="97">
                  <c:v>4.3650000000000002</c:v>
                </c:pt>
                <c:pt idx="98">
                  <c:v>4.41</c:v>
                </c:pt>
                <c:pt idx="99">
                  <c:v>4.4550000000000001</c:v>
                </c:pt>
                <c:pt idx="100">
                  <c:v>4.5</c:v>
                </c:pt>
                <c:pt idx="101">
                  <c:v>4.5449999999999999</c:v>
                </c:pt>
                <c:pt idx="102">
                  <c:v>4.59</c:v>
                </c:pt>
                <c:pt idx="103">
                  <c:v>4.6349999999999998</c:v>
                </c:pt>
                <c:pt idx="104">
                  <c:v>4.68</c:v>
                </c:pt>
                <c:pt idx="105">
                  <c:v>4.7250000000000005</c:v>
                </c:pt>
                <c:pt idx="106">
                  <c:v>4.7700000000000005</c:v>
                </c:pt>
                <c:pt idx="107">
                  <c:v>4.8150000000000004</c:v>
                </c:pt>
                <c:pt idx="108">
                  <c:v>4.8600000000000003</c:v>
                </c:pt>
                <c:pt idx="109">
                  <c:v>4.9050000000000002</c:v>
                </c:pt>
                <c:pt idx="110">
                  <c:v>4.95</c:v>
                </c:pt>
                <c:pt idx="111">
                  <c:v>4.9950000000000001</c:v>
                </c:pt>
                <c:pt idx="112">
                  <c:v>5.0400000000000009</c:v>
                </c:pt>
                <c:pt idx="113">
                  <c:v>5.0849999999999991</c:v>
                </c:pt>
                <c:pt idx="114">
                  <c:v>5.13</c:v>
                </c:pt>
                <c:pt idx="115">
                  <c:v>5.1749999999999998</c:v>
                </c:pt>
                <c:pt idx="116">
                  <c:v>5.22</c:v>
                </c:pt>
                <c:pt idx="117">
                  <c:v>5.2649999999999997</c:v>
                </c:pt>
                <c:pt idx="118">
                  <c:v>5.31</c:v>
                </c:pt>
                <c:pt idx="119">
                  <c:v>5.3549999999999995</c:v>
                </c:pt>
                <c:pt idx="120">
                  <c:v>5.3999999999999995</c:v>
                </c:pt>
                <c:pt idx="121">
                  <c:v>5.4450000000000003</c:v>
                </c:pt>
                <c:pt idx="122">
                  <c:v>5.49</c:v>
                </c:pt>
                <c:pt idx="123">
                  <c:v>5.5350000000000001</c:v>
                </c:pt>
                <c:pt idx="124">
                  <c:v>5.58</c:v>
                </c:pt>
                <c:pt idx="125">
                  <c:v>5.625</c:v>
                </c:pt>
                <c:pt idx="126">
                  <c:v>5.67</c:v>
                </c:pt>
                <c:pt idx="127">
                  <c:v>5.7149999999999999</c:v>
                </c:pt>
                <c:pt idx="128">
                  <c:v>5.76</c:v>
                </c:pt>
                <c:pt idx="129">
                  <c:v>5.8049999999999997</c:v>
                </c:pt>
                <c:pt idx="130">
                  <c:v>5.8500000000000005</c:v>
                </c:pt>
                <c:pt idx="131">
                  <c:v>5.8950000000000005</c:v>
                </c:pt>
                <c:pt idx="132">
                  <c:v>5.94</c:v>
                </c:pt>
                <c:pt idx="133">
                  <c:v>5.9850000000000003</c:v>
                </c:pt>
                <c:pt idx="134">
                  <c:v>6.03</c:v>
                </c:pt>
                <c:pt idx="135">
                  <c:v>6.0750000000000002</c:v>
                </c:pt>
                <c:pt idx="136">
                  <c:v>6.12</c:v>
                </c:pt>
                <c:pt idx="137">
                  <c:v>6.1650000000000009</c:v>
                </c:pt>
                <c:pt idx="138">
                  <c:v>6.2099999999999991</c:v>
                </c:pt>
                <c:pt idx="139">
                  <c:v>6.2549999999999999</c:v>
                </c:pt>
                <c:pt idx="140">
                  <c:v>6.3</c:v>
                </c:pt>
                <c:pt idx="141">
                  <c:v>6.3449999999999998</c:v>
                </c:pt>
                <c:pt idx="142">
                  <c:v>6.39</c:v>
                </c:pt>
                <c:pt idx="143">
                  <c:v>6.4349999999999996</c:v>
                </c:pt>
                <c:pt idx="144">
                  <c:v>6.4799999999999995</c:v>
                </c:pt>
                <c:pt idx="145">
                  <c:v>6.5249999999999995</c:v>
                </c:pt>
                <c:pt idx="146">
                  <c:v>6.57</c:v>
                </c:pt>
                <c:pt idx="147">
                  <c:v>6.6150000000000002</c:v>
                </c:pt>
                <c:pt idx="148">
                  <c:v>6.66</c:v>
                </c:pt>
                <c:pt idx="149">
                  <c:v>6.7050000000000001</c:v>
                </c:pt>
                <c:pt idx="150">
                  <c:v>6.75</c:v>
                </c:pt>
                <c:pt idx="151">
                  <c:v>6.7949999999999999</c:v>
                </c:pt>
                <c:pt idx="152">
                  <c:v>6.84</c:v>
                </c:pt>
                <c:pt idx="153">
                  <c:v>6.8849999999999998</c:v>
                </c:pt>
                <c:pt idx="154">
                  <c:v>6.93</c:v>
                </c:pt>
                <c:pt idx="155">
                  <c:v>6.9750000000000005</c:v>
                </c:pt>
                <c:pt idx="156">
                  <c:v>7.0200000000000005</c:v>
                </c:pt>
                <c:pt idx="157">
                  <c:v>7.0650000000000004</c:v>
                </c:pt>
                <c:pt idx="158">
                  <c:v>7.11</c:v>
                </c:pt>
                <c:pt idx="159">
                  <c:v>7.1550000000000002</c:v>
                </c:pt>
                <c:pt idx="160">
                  <c:v>7.2</c:v>
                </c:pt>
                <c:pt idx="161">
                  <c:v>7.2450000000000001</c:v>
                </c:pt>
                <c:pt idx="162">
                  <c:v>7.2900000000000009</c:v>
                </c:pt>
                <c:pt idx="163">
                  <c:v>7.3349999999999991</c:v>
                </c:pt>
                <c:pt idx="164">
                  <c:v>7.38</c:v>
                </c:pt>
                <c:pt idx="165">
                  <c:v>7.4249999999999998</c:v>
                </c:pt>
                <c:pt idx="166">
                  <c:v>7.47</c:v>
                </c:pt>
                <c:pt idx="167">
                  <c:v>7.5149999999999997</c:v>
                </c:pt>
                <c:pt idx="168">
                  <c:v>7.56</c:v>
                </c:pt>
                <c:pt idx="169">
                  <c:v>7.6049999999999995</c:v>
                </c:pt>
                <c:pt idx="170">
                  <c:v>7.6499999999999995</c:v>
                </c:pt>
                <c:pt idx="171">
                  <c:v>7.6950000000000003</c:v>
                </c:pt>
                <c:pt idx="172">
                  <c:v>7.74</c:v>
                </c:pt>
                <c:pt idx="173">
                  <c:v>7.7850000000000001</c:v>
                </c:pt>
                <c:pt idx="174">
                  <c:v>7.83</c:v>
                </c:pt>
                <c:pt idx="175">
                  <c:v>7.875</c:v>
                </c:pt>
                <c:pt idx="176">
                  <c:v>7.92</c:v>
                </c:pt>
                <c:pt idx="177">
                  <c:v>7.9649999999999999</c:v>
                </c:pt>
                <c:pt idx="178">
                  <c:v>8.01</c:v>
                </c:pt>
                <c:pt idx="179">
                  <c:v>8.0549999999999997</c:v>
                </c:pt>
                <c:pt idx="180">
                  <c:v>8.1</c:v>
                </c:pt>
                <c:pt idx="181">
                  <c:v>8.1449999999999996</c:v>
                </c:pt>
                <c:pt idx="182">
                  <c:v>8.19</c:v>
                </c:pt>
                <c:pt idx="183">
                  <c:v>8.2349999999999994</c:v>
                </c:pt>
                <c:pt idx="184">
                  <c:v>8.2800000000000011</c:v>
                </c:pt>
                <c:pt idx="185">
                  <c:v>8.3250000000000011</c:v>
                </c:pt>
                <c:pt idx="186">
                  <c:v>8.370000000000001</c:v>
                </c:pt>
                <c:pt idx="187">
                  <c:v>8.4150000000000009</c:v>
                </c:pt>
                <c:pt idx="188">
                  <c:v>8.4599999999999991</c:v>
                </c:pt>
                <c:pt idx="189">
                  <c:v>8.504999999999999</c:v>
                </c:pt>
                <c:pt idx="190">
                  <c:v>8.5499999999999989</c:v>
                </c:pt>
                <c:pt idx="191">
                  <c:v>8.5949999999999989</c:v>
                </c:pt>
                <c:pt idx="192">
                  <c:v>8.64</c:v>
                </c:pt>
                <c:pt idx="193">
                  <c:v>8.6850000000000005</c:v>
                </c:pt>
                <c:pt idx="194">
                  <c:v>8.73</c:v>
                </c:pt>
                <c:pt idx="195">
                  <c:v>8.7750000000000004</c:v>
                </c:pt>
                <c:pt idx="196">
                  <c:v>8.82</c:v>
                </c:pt>
                <c:pt idx="197">
                  <c:v>8.8650000000000002</c:v>
                </c:pt>
                <c:pt idx="198">
                  <c:v>8.91</c:v>
                </c:pt>
                <c:pt idx="199">
                  <c:v>8.9550000000000001</c:v>
                </c:pt>
                <c:pt idx="200">
                  <c:v>9</c:v>
                </c:pt>
              </c:numCache>
            </c:numRef>
          </c:cat>
          <c:val>
            <c:numRef>
              <c:f>'Power Calculations'!$AC$9:$AC$209</c:f>
              <c:numCache>
                <c:formatCode>0.0000</c:formatCode>
                <c:ptCount val="201"/>
                <c:pt idx="0">
                  <c:v>4.9728684930085428E-2</c:v>
                </c:pt>
                <c:pt idx="1">
                  <c:v>4.9815628034882771E-2</c:v>
                </c:pt>
                <c:pt idx="2">
                  <c:v>5.0002454586374243E-2</c:v>
                </c:pt>
                <c:pt idx="3">
                  <c:v>5.0289216330682958E-2</c:v>
                </c:pt>
                <c:pt idx="4">
                  <c:v>5.0675978074916604E-2</c:v>
                </c:pt>
                <c:pt idx="5">
                  <c:v>5.1162817711301399E-2</c:v>
                </c:pt>
                <c:pt idx="6">
                  <c:v>5.1749826245607297E-2</c:v>
                </c:pt>
                <c:pt idx="7">
                  <c:v>5.2437107829882729E-2</c:v>
                </c:pt>
                <c:pt idx="8">
                  <c:v>5.3224779799520165E-2</c:v>
                </c:pt>
                <c:pt idx="9">
                  <c:v>5.4112972714675293E-2</c:v>
                </c:pt>
                <c:pt idx="10">
                  <c:v>5.5101830406066928E-2</c:v>
                </c:pt>
                <c:pt idx="11">
                  <c:v>5.6191510025186041E-2</c:v>
                </c:pt>
                <c:pt idx="12">
                  <c:v>5.7382182098946272E-2</c:v>
                </c:pt>
                <c:pt idx="13">
                  <c:v>5.8674030588809552E-2</c:v>
                </c:pt>
                <c:pt idx="14">
                  <c:v>6.0067252954425249E-2</c:v>
                </c:pt>
                <c:pt idx="15">
                  <c:v>6.1562060221822416E-2</c:v>
                </c:pt>
                <c:pt idx="16">
                  <c:v>7.0723401454146767E-2</c:v>
                </c:pt>
                <c:pt idx="17">
                  <c:v>8.1239382381405059E-2</c:v>
                </c:pt>
                <c:pt idx="18">
                  <c:v>9.1537949985723954E-2</c:v>
                </c:pt>
                <c:pt idx="19">
                  <c:v>0.10161956140438101</c:v>
                </c:pt>
                <c:pt idx="20">
                  <c:v>0.11148464620875971</c:v>
                </c:pt>
                <c:pt idx="21">
                  <c:v>0.12113360642873815</c:v>
                </c:pt>
                <c:pt idx="22">
                  <c:v>0.13056681656811214</c:v>
                </c:pt>
                <c:pt idx="23">
                  <c:v>0.13978462361102797</c:v>
                </c:pt>
                <c:pt idx="24">
                  <c:v>0.14878734701939114</c:v>
                </c:pt>
                <c:pt idx="25">
                  <c:v>0.15757527872121632</c:v>
                </c:pt>
                <c:pt idx="26">
                  <c:v>0.16614868308987388</c:v>
                </c:pt>
                <c:pt idx="27">
                  <c:v>0.17450779691418414</c:v>
                </c:pt>
                <c:pt idx="28">
                  <c:v>0.18265282935930544</c:v>
                </c:pt>
                <c:pt idx="29">
                  <c:v>0.19058396191835497</c:v>
                </c:pt>
                <c:pt idx="30">
                  <c:v>0.19830134835469526</c:v>
                </c:pt>
                <c:pt idx="31">
                  <c:v>0.20580511463481405</c:v>
                </c:pt>
                <c:pt idx="32">
                  <c:v>0.21309535885171821</c:v>
                </c:pt>
                <c:pt idx="33">
                  <c:v>0.22017215113875666</c:v>
                </c:pt>
                <c:pt idx="34">
                  <c:v>0.22703553357377951</c:v>
                </c:pt>
                <c:pt idx="35">
                  <c:v>0.23368552007353699</c:v>
                </c:pt>
                <c:pt idx="36">
                  <c:v>0.24012209627821024</c:v>
                </c:pt>
                <c:pt idx="37">
                  <c:v>0.24623680817087373</c:v>
                </c:pt>
                <c:pt idx="38">
                  <c:v>0.25151648134284055</c:v>
                </c:pt>
                <c:pt idx="39">
                  <c:v>0.25691226651335947</c:v>
                </c:pt>
                <c:pt idx="40">
                  <c:v>0.26242485601482896</c:v>
                </c:pt>
                <c:pt idx="41">
                  <c:v>0.26805496043088656</c:v>
                </c:pt>
                <c:pt idx="42">
                  <c:v>0.27380330884389442</c:v>
                </c:pt>
                <c:pt idx="43">
                  <c:v>0.27967064909007611</c:v>
                </c:pt>
                <c:pt idx="44">
                  <c:v>0.28565774802247762</c:v>
                </c:pt>
                <c:pt idx="45">
                  <c:v>0.29176539178193289</c:v>
                </c:pt>
                <c:pt idx="46">
                  <c:v>0.29799438607621809</c:v>
                </c:pt>
                <c:pt idx="47">
                  <c:v>0.30434555646758982</c:v>
                </c:pt>
                <c:pt idx="48">
                  <c:v>0.31081974866890533</c:v>
                </c:pt>
                <c:pt idx="49">
                  <c:v>0.31741782884853043</c:v>
                </c:pt>
                <c:pt idx="50">
                  <c:v>0.32414068394425333</c:v>
                </c:pt>
                <c:pt idx="51">
                  <c:v>0.33098922198642111</c:v>
                </c:pt>
                <c:pt idx="52">
                  <c:v>0.3379643724305329</c:v>
                </c:pt>
                <c:pt idx="53">
                  <c:v>0.34506708649952544</c:v>
                </c:pt>
                <c:pt idx="54">
                  <c:v>0.35229833753599721</c:v>
                </c:pt>
                <c:pt idx="55">
                  <c:v>0.35965912136462913</c:v>
                </c:pt>
                <c:pt idx="56">
                  <c:v>0.36715045666506163</c:v>
                </c:pt>
                <c:pt idx="57">
                  <c:v>0.37477338535550586</c:v>
                </c:pt>
                <c:pt idx="58">
                  <c:v>0.38252897298737032</c:v>
                </c:pt>
                <c:pt idx="59">
                  <c:v>0.39041830915119652</c:v>
                </c:pt>
                <c:pt idx="60">
                  <c:v>0.39844250789420754</c:v>
                </c:pt>
                <c:pt idx="61">
                  <c:v>0.4066027081497855</c:v>
                </c:pt>
                <c:pt idx="62">
                  <c:v>0.41490007417920083</c:v>
                </c:pt>
                <c:pt idx="63">
                  <c:v>0.42333579602593552</c:v>
                </c:pt>
                <c:pt idx="64">
                  <c:v>0.43191108998294458</c:v>
                </c:pt>
                <c:pt idx="65">
                  <c:v>0.4406271990732219</c:v>
                </c:pt>
                <c:pt idx="66">
                  <c:v>0.44948539354404449</c:v>
                </c:pt>
                <c:pt idx="67">
                  <c:v>0.45848697137528116</c:v>
                </c:pt>
                <c:pt idx="68">
                  <c:v>0.46763325880217382</c:v>
                </c:pt>
                <c:pt idx="69">
                  <c:v>0.47692561085300178</c:v>
                </c:pt>
                <c:pt idx="70">
                  <c:v>0.48636541190206573</c:v>
                </c:pt>
                <c:pt idx="71">
                  <c:v>0.49595407623843785</c:v>
                </c:pt>
                <c:pt idx="72">
                  <c:v>0.50569304865094189</c:v>
                </c:pt>
                <c:pt idx="73">
                  <c:v>0.51558380502984436</c:v>
                </c:pt>
                <c:pt idx="74">
                  <c:v>0.52562785298575476</c:v>
                </c:pt>
                <c:pt idx="75">
                  <c:v>0.53582673248625368</c:v>
                </c:pt>
                <c:pt idx="76">
                  <c:v>0.54618201651078158</c:v>
                </c:pt>
                <c:pt idx="77">
                  <c:v>0.55669531172434583</c:v>
                </c:pt>
                <c:pt idx="78">
                  <c:v>0.56736825917062261</c:v>
                </c:pt>
                <c:pt idx="79">
                  <c:v>0.57820253498504681</c:v>
                </c:pt>
                <c:pt idx="80">
                  <c:v>0.58919985112851825</c:v>
                </c:pt>
                <c:pt idx="81">
                  <c:v>0.6003619561423571</c:v>
                </c:pt>
                <c:pt idx="82">
                  <c:v>0.61169063592518047</c:v>
                </c:pt>
                <c:pt idx="83">
                  <c:v>0.6231877145323963</c:v>
                </c:pt>
                <c:pt idx="84">
                  <c:v>0.63485505499902262</c:v>
                </c:pt>
                <c:pt idx="85">
                  <c:v>0.64669456018658644</c:v>
                </c:pt>
                <c:pt idx="86">
                  <c:v>0.65870817365487389</c:v>
                </c:pt>
                <c:pt idx="87">
                  <c:v>0.67089788055933164</c:v>
                </c:pt>
                <c:pt idx="88">
                  <c:v>0.68326570857495739</c:v>
                </c:pt>
                <c:pt idx="89">
                  <c:v>0.69581372884754655</c:v>
                </c:pt>
                <c:pt idx="90">
                  <c:v>0.7085440569731899</c:v>
                </c:pt>
                <c:pt idx="91">
                  <c:v>0.72145885400696397</c:v>
                </c:pt>
                <c:pt idx="92">
                  <c:v>0.73456032750177969</c:v>
                </c:pt>
                <c:pt idx="93">
                  <c:v>0.74785073257840184</c:v>
                </c:pt>
                <c:pt idx="94">
                  <c:v>0.76133237302768686</c:v>
                </c:pt>
                <c:pt idx="95">
                  <c:v>0.7750076024461342</c:v>
                </c:pt>
                <c:pt idx="96">
                  <c:v>0.78887882540587417</c:v>
                </c:pt>
                <c:pt idx="97">
                  <c:v>0.80294849866028473</c:v>
                </c:pt>
                <c:pt idx="98">
                  <c:v>0.8172191323864576</c:v>
                </c:pt>
                <c:pt idx="99">
                  <c:v>0.83169329146578441</c:v>
                </c:pt>
                <c:pt idx="100">
                  <c:v>0.84637359680400071</c:v>
                </c:pt>
                <c:pt idx="101">
                  <c:v>0.86126272669206161</c:v>
                </c:pt>
                <c:pt idx="102">
                  <c:v>0.87636341820928665</c:v>
                </c:pt>
                <c:pt idx="103">
                  <c:v>0.89167846867027933</c:v>
                </c:pt>
                <c:pt idx="104">
                  <c:v>0.90721073711716493</c:v>
                </c:pt>
                <c:pt idx="105">
                  <c:v>0.92296314585878647</c:v>
                </c:pt>
                <c:pt idx="106">
                  <c:v>0.93893868205853237</c:v>
                </c:pt>
                <c:pt idx="107">
                  <c:v>0.95514039937257511</c:v>
                </c:pt>
                <c:pt idx="108">
                  <c:v>0.97157141964033733</c:v>
                </c:pt>
                <c:pt idx="109">
                  <c:v>0.98823493462911505</c:v>
                </c:pt>
                <c:pt idx="110">
                  <c:v>1.0051342078348398</c:v>
                </c:pt>
                <c:pt idx="111">
                  <c:v>1.0222725763410681</c:v>
                </c:pt>
                <c:pt idx="112">
                  <c:v>1.0396534527383583</c:v>
                </c:pt>
                <c:pt idx="113">
                  <c:v>1.0572803271063043</c:v>
                </c:pt>
                <c:pt idx="114">
                  <c:v>1.0751567690605857</c:v>
                </c:pt>
                <c:pt idx="115">
                  <c:v>1.0932864298674865</c:v>
                </c:pt>
                <c:pt idx="116">
                  <c:v>1.1116730446284704</c:v>
                </c:pt>
                <c:pt idx="117">
                  <c:v>1.1303204345374878</c:v>
                </c:pt>
                <c:pt idx="118">
                  <c:v>1.1492325092138118</c:v>
                </c:pt>
                <c:pt idx="119">
                  <c:v>1.168413269113346</c:v>
                </c:pt>
                <c:pt idx="120">
                  <c:v>1.1878668080214505</c:v>
                </c:pt>
                <c:pt idx="121">
                  <c:v>1.20759731563049</c:v>
                </c:pt>
                <c:pt idx="122">
                  <c:v>1.2276090802054436</c:v>
                </c:pt>
                <c:pt idx="123">
                  <c:v>1.2479064913410705</c:v>
                </c:pt>
                <c:pt idx="124">
                  <c:v>1.2684940428142857</c:v>
                </c:pt>
                <c:pt idx="125">
                  <c:v>1.2893763355355676</c:v>
                </c:pt>
                <c:pt idx="126">
                  <c:v>1.3105580806033978</c:v>
                </c:pt>
                <c:pt idx="127">
                  <c:v>1.3320441024659189</c:v>
                </c:pt>
                <c:pt idx="128">
                  <c:v>1.3538393421941888</c:v>
                </c:pt>
                <c:pt idx="129">
                  <c:v>1.3759488608716217</c:v>
                </c:pt>
                <c:pt idx="130">
                  <c:v>1.3983778431044347</c:v>
                </c:pt>
                <c:pt idx="131">
                  <c:v>1.4211316006580959</c:v>
                </c:pt>
                <c:pt idx="132">
                  <c:v>1.4442155762251083</c:v>
                </c:pt>
                <c:pt idx="133">
                  <c:v>1.4676353473296051</c:v>
                </c:pt>
                <c:pt idx="134">
                  <c:v>1.4913966303745911</c:v>
                </c:pt>
                <c:pt idx="135">
                  <c:v>1.515505284837902</c:v>
                </c:pt>
                <c:pt idx="136">
                  <c:v>1.5399673176232564</c:v>
                </c:pt>
                <c:pt idx="137">
                  <c:v>1.5647888875731142</c:v>
                </c:pt>
                <c:pt idx="138">
                  <c:v>1.5899763101503479</c:v>
                </c:pt>
                <c:pt idx="139">
                  <c:v>1.6155360622961477</c:v>
                </c:pt>
                <c:pt idx="140">
                  <c:v>1.6414747874718512</c:v>
                </c:pt>
                <c:pt idx="141">
                  <c:v>1.6677993008929277</c:v>
                </c:pt>
                <c:pt idx="142">
                  <c:v>1.6945165949635987</c:v>
                </c:pt>
                <c:pt idx="143">
                  <c:v>1.7216338449211506</c:v>
                </c:pt>
                <c:pt idx="144">
                  <c:v>1.7491584146993913</c:v>
                </c:pt>
                <c:pt idx="145">
                  <c:v>1.7770978630211978</c:v>
                </c:pt>
                <c:pt idx="146">
                  <c:v>1.8054599497306525</c:v>
                </c:pt>
                <c:pt idx="147">
                  <c:v>1.8342526423757921</c:v>
                </c:pt>
                <c:pt idx="148">
                  <c:v>1.8634841230535899</c:v>
                </c:pt>
                <c:pt idx="149">
                  <c:v>1.8931627955294126</c:v>
                </c:pt>
                <c:pt idx="150">
                  <c:v>1.9232972926438279</c:v>
                </c:pt>
                <c:pt idx="151">
                  <c:v>1.9538964840203901</c:v>
                </c:pt>
                <c:pt idx="152">
                  <c:v>1.9849694840887142</c:v>
                </c:pt>
                <c:pt idx="153">
                  <c:v>2.0165256604379462</c:v>
                </c:pt>
                <c:pt idx="154">
                  <c:v>2.048574642516626</c:v>
                </c:pt>
                <c:pt idx="155">
                  <c:v>2.0811263306957386</c:v>
                </c:pt>
                <c:pt idx="156">
                  <c:v>2.1141909057127708</c:v>
                </c:pt>
                <c:pt idx="157">
                  <c:v>2.1477788385155434</c:v>
                </c:pt>
                <c:pt idx="158">
                  <c:v>2.1819009005256764</c:v>
                </c:pt>
                <c:pt idx="159">
                  <c:v>2.2165681743426946</c:v>
                </c:pt>
                <c:pt idx="160">
                  <c:v>2.2517920649109264</c:v>
                </c:pt>
                <c:pt idx="161">
                  <c:v>2.287584311172751</c:v>
                </c:pt>
                <c:pt idx="162">
                  <c:v>2.3239569982329806</c:v>
                </c:pt>
                <c:pt idx="163">
                  <c:v>2.3609225700607572</c:v>
                </c:pt>
                <c:pt idx="164">
                  <c:v>2.3984938427568223</c:v>
                </c:pt>
                <c:pt idx="165">
                  <c:v>2.436684018415693</c:v>
                </c:pt>
                <c:pt idx="166">
                  <c:v>2.4755066996141264</c:v>
                </c:pt>
                <c:pt idx="167">
                  <c:v>2.5149759045590376</c:v>
                </c:pt>
                <c:pt idx="168">
                  <c:v>2.5551060829301786</c:v>
                </c:pt>
                <c:pt idx="169">
                  <c:v>2.5959121324549841</c:v>
                </c:pt>
                <c:pt idx="170">
                  <c:v>2.6374094162553559</c:v>
                </c:pt>
                <c:pt idx="171">
                  <c:v>2.6796137810086016</c:v>
                </c:pt>
                <c:pt idx="172">
                  <c:v>2.7225415759674672</c:v>
                </c:pt>
                <c:pt idx="173">
                  <c:v>2.7662096728869985</c:v>
                </c:pt>
                <c:pt idx="174">
                  <c:v>2.810635486909042</c:v>
                </c:pt>
                <c:pt idx="175">
                  <c:v>2.8558369984585084</c:v>
                </c:pt>
                <c:pt idx="176">
                  <c:v>2.9018327762089937</c:v>
                </c:pt>
                <c:pt idx="177">
                  <c:v>2.9486420011791794</c:v>
                </c:pt>
                <c:pt idx="178">
                  <c:v>2.9962844920254481</c:v>
                </c:pt>
                <c:pt idx="179">
                  <c:v>3.0447807316005959</c:v>
                </c:pt>
                <c:pt idx="180">
                  <c:v>3.0941518948530957</c:v>
                </c:pt>
                <c:pt idx="181">
                  <c:v>3.1444198781465915</c:v>
                </c:pt>
                <c:pt idx="182">
                  <c:v>3.1956073300845764</c:v>
                </c:pt>
                <c:pt idx="183">
                  <c:v>3.2477376839312058</c:v>
                </c:pt>
                <c:pt idx="184">
                  <c:v>3.3008351917254726</c:v>
                </c:pt>
                <c:pt idx="185">
                  <c:v>3.3549249601927791</c:v>
                </c:pt>
                <c:pt idx="186">
                  <c:v>3.4100329885653915</c:v>
                </c:pt>
                <c:pt idx="187">
                  <c:v>3.4661862084311292</c:v>
                </c:pt>
                <c:pt idx="188">
                  <c:v>3.5234125257383435</c:v>
                </c:pt>
                <c:pt idx="189">
                  <c:v>3.5817408650944884</c:v>
                </c:pt>
                <c:pt idx="190">
                  <c:v>3.6412012165057615</c:v>
                </c:pt>
                <c:pt idx="191">
                  <c:v>3.7018246847160801</c:v>
                </c:pt>
                <c:pt idx="192">
                  <c:v>3.763643541315711</c:v>
                </c:pt>
                <c:pt idx="193">
                  <c:v>3.8266912798024979</c:v>
                </c:pt>
                <c:pt idx="194">
                  <c:v>3.8910026737928489</c:v>
                </c:pt>
                <c:pt idx="195">
                  <c:v>3.9566138385945009</c:v>
                </c:pt>
                <c:pt idx="196">
                  <c:v>4.0235622963699544</c:v>
                </c:pt>
                <c:pt idx="197">
                  <c:v>4.0918870451370291</c:v>
                </c:pt>
                <c:pt idx="198">
                  <c:v>4.1616286318729143</c:v>
                </c:pt>
                <c:pt idx="199">
                  <c:v>4.2328292300090693</c:v>
                </c:pt>
                <c:pt idx="200">
                  <c:v>4.3055327216279231</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4.4999999999999998E-2</c:v>
                </c:pt>
                <c:pt idx="2">
                  <c:v>0.09</c:v>
                </c:pt>
                <c:pt idx="3">
                  <c:v>0.13500000000000001</c:v>
                </c:pt>
                <c:pt idx="4">
                  <c:v>0.18</c:v>
                </c:pt>
                <c:pt idx="5">
                  <c:v>0.22500000000000001</c:v>
                </c:pt>
                <c:pt idx="6">
                  <c:v>0.27</c:v>
                </c:pt>
                <c:pt idx="7">
                  <c:v>0.31500000000000006</c:v>
                </c:pt>
                <c:pt idx="8">
                  <c:v>0.36</c:v>
                </c:pt>
                <c:pt idx="9">
                  <c:v>0.40499999999999997</c:v>
                </c:pt>
                <c:pt idx="10">
                  <c:v>0.45</c:v>
                </c:pt>
                <c:pt idx="11">
                  <c:v>0.495</c:v>
                </c:pt>
                <c:pt idx="12">
                  <c:v>0.54</c:v>
                </c:pt>
                <c:pt idx="13">
                  <c:v>0.58499999999999996</c:v>
                </c:pt>
                <c:pt idx="14">
                  <c:v>0.63000000000000012</c:v>
                </c:pt>
                <c:pt idx="15">
                  <c:v>0.67499999999999993</c:v>
                </c:pt>
                <c:pt idx="16">
                  <c:v>0.72</c:v>
                </c:pt>
                <c:pt idx="17">
                  <c:v>0.76500000000000001</c:v>
                </c:pt>
                <c:pt idx="18">
                  <c:v>0.80999999999999994</c:v>
                </c:pt>
                <c:pt idx="19">
                  <c:v>0.85499999999999998</c:v>
                </c:pt>
                <c:pt idx="20">
                  <c:v>0.9</c:v>
                </c:pt>
                <c:pt idx="21">
                  <c:v>0.94499999999999995</c:v>
                </c:pt>
                <c:pt idx="22">
                  <c:v>0.99</c:v>
                </c:pt>
                <c:pt idx="23">
                  <c:v>1.0350000000000001</c:v>
                </c:pt>
                <c:pt idx="24">
                  <c:v>1.08</c:v>
                </c:pt>
                <c:pt idx="25">
                  <c:v>1.125</c:v>
                </c:pt>
                <c:pt idx="26">
                  <c:v>1.17</c:v>
                </c:pt>
                <c:pt idx="27">
                  <c:v>1.2150000000000001</c:v>
                </c:pt>
                <c:pt idx="28">
                  <c:v>1.2600000000000002</c:v>
                </c:pt>
                <c:pt idx="29">
                  <c:v>1.3049999999999999</c:v>
                </c:pt>
                <c:pt idx="30">
                  <c:v>1.3499999999999999</c:v>
                </c:pt>
                <c:pt idx="31">
                  <c:v>1.395</c:v>
                </c:pt>
                <c:pt idx="32">
                  <c:v>1.44</c:v>
                </c:pt>
                <c:pt idx="33">
                  <c:v>1.4850000000000001</c:v>
                </c:pt>
                <c:pt idx="34">
                  <c:v>1.53</c:v>
                </c:pt>
                <c:pt idx="35">
                  <c:v>1.575</c:v>
                </c:pt>
                <c:pt idx="36">
                  <c:v>1.6199999999999999</c:v>
                </c:pt>
                <c:pt idx="37">
                  <c:v>1.665</c:v>
                </c:pt>
                <c:pt idx="38">
                  <c:v>1.71</c:v>
                </c:pt>
                <c:pt idx="39">
                  <c:v>1.7550000000000001</c:v>
                </c:pt>
                <c:pt idx="40">
                  <c:v>1.8</c:v>
                </c:pt>
                <c:pt idx="41">
                  <c:v>1.845</c:v>
                </c:pt>
                <c:pt idx="42">
                  <c:v>1.89</c:v>
                </c:pt>
                <c:pt idx="43">
                  <c:v>1.9350000000000001</c:v>
                </c:pt>
                <c:pt idx="44">
                  <c:v>1.98</c:v>
                </c:pt>
                <c:pt idx="45">
                  <c:v>2.0249999999999999</c:v>
                </c:pt>
                <c:pt idx="46">
                  <c:v>2.0700000000000003</c:v>
                </c:pt>
                <c:pt idx="47">
                  <c:v>2.1149999999999998</c:v>
                </c:pt>
                <c:pt idx="48">
                  <c:v>2.16</c:v>
                </c:pt>
                <c:pt idx="49">
                  <c:v>2.2050000000000001</c:v>
                </c:pt>
                <c:pt idx="50">
                  <c:v>2.25</c:v>
                </c:pt>
                <c:pt idx="51">
                  <c:v>2.2949999999999999</c:v>
                </c:pt>
                <c:pt idx="52">
                  <c:v>2.34</c:v>
                </c:pt>
                <c:pt idx="53">
                  <c:v>2.3850000000000002</c:v>
                </c:pt>
                <c:pt idx="54">
                  <c:v>2.4300000000000002</c:v>
                </c:pt>
                <c:pt idx="55">
                  <c:v>2.4750000000000001</c:v>
                </c:pt>
                <c:pt idx="56">
                  <c:v>2.5200000000000005</c:v>
                </c:pt>
                <c:pt idx="57">
                  <c:v>2.5649999999999999</c:v>
                </c:pt>
                <c:pt idx="58">
                  <c:v>2.61</c:v>
                </c:pt>
                <c:pt idx="59">
                  <c:v>2.6549999999999998</c:v>
                </c:pt>
                <c:pt idx="60">
                  <c:v>2.6999999999999997</c:v>
                </c:pt>
                <c:pt idx="61">
                  <c:v>2.7450000000000001</c:v>
                </c:pt>
                <c:pt idx="62">
                  <c:v>2.79</c:v>
                </c:pt>
                <c:pt idx="63">
                  <c:v>2.835</c:v>
                </c:pt>
                <c:pt idx="64">
                  <c:v>2.88</c:v>
                </c:pt>
                <c:pt idx="65">
                  <c:v>2.9250000000000003</c:v>
                </c:pt>
                <c:pt idx="66">
                  <c:v>2.97</c:v>
                </c:pt>
                <c:pt idx="67">
                  <c:v>3.0150000000000001</c:v>
                </c:pt>
                <c:pt idx="68">
                  <c:v>3.06</c:v>
                </c:pt>
                <c:pt idx="69">
                  <c:v>3.1049999999999995</c:v>
                </c:pt>
                <c:pt idx="70">
                  <c:v>3.15</c:v>
                </c:pt>
                <c:pt idx="71">
                  <c:v>3.1949999999999998</c:v>
                </c:pt>
                <c:pt idx="72">
                  <c:v>3.2399999999999998</c:v>
                </c:pt>
                <c:pt idx="73">
                  <c:v>3.2850000000000001</c:v>
                </c:pt>
                <c:pt idx="74">
                  <c:v>3.33</c:v>
                </c:pt>
                <c:pt idx="75">
                  <c:v>3.375</c:v>
                </c:pt>
                <c:pt idx="76">
                  <c:v>3.42</c:v>
                </c:pt>
                <c:pt idx="77">
                  <c:v>3.4649999999999999</c:v>
                </c:pt>
                <c:pt idx="78">
                  <c:v>3.5100000000000002</c:v>
                </c:pt>
                <c:pt idx="79">
                  <c:v>3.5550000000000002</c:v>
                </c:pt>
                <c:pt idx="80">
                  <c:v>3.6</c:v>
                </c:pt>
                <c:pt idx="81">
                  <c:v>3.6450000000000005</c:v>
                </c:pt>
                <c:pt idx="82">
                  <c:v>3.69</c:v>
                </c:pt>
                <c:pt idx="83">
                  <c:v>3.7349999999999999</c:v>
                </c:pt>
                <c:pt idx="84">
                  <c:v>3.78</c:v>
                </c:pt>
                <c:pt idx="85">
                  <c:v>3.8249999999999997</c:v>
                </c:pt>
                <c:pt idx="86">
                  <c:v>3.87</c:v>
                </c:pt>
                <c:pt idx="87">
                  <c:v>3.915</c:v>
                </c:pt>
                <c:pt idx="88">
                  <c:v>3.96</c:v>
                </c:pt>
                <c:pt idx="89">
                  <c:v>4.0049999999999999</c:v>
                </c:pt>
                <c:pt idx="90">
                  <c:v>4.05</c:v>
                </c:pt>
                <c:pt idx="91">
                  <c:v>4.0949999999999998</c:v>
                </c:pt>
                <c:pt idx="92">
                  <c:v>4.1400000000000006</c:v>
                </c:pt>
                <c:pt idx="93">
                  <c:v>4.1850000000000005</c:v>
                </c:pt>
                <c:pt idx="94">
                  <c:v>4.2299999999999995</c:v>
                </c:pt>
                <c:pt idx="95">
                  <c:v>4.2749999999999995</c:v>
                </c:pt>
                <c:pt idx="96">
                  <c:v>4.32</c:v>
                </c:pt>
                <c:pt idx="97">
                  <c:v>4.3650000000000002</c:v>
                </c:pt>
                <c:pt idx="98">
                  <c:v>4.41</c:v>
                </c:pt>
                <c:pt idx="99">
                  <c:v>4.4550000000000001</c:v>
                </c:pt>
                <c:pt idx="100">
                  <c:v>4.5</c:v>
                </c:pt>
                <c:pt idx="101">
                  <c:v>4.5449999999999999</c:v>
                </c:pt>
                <c:pt idx="102">
                  <c:v>4.59</c:v>
                </c:pt>
                <c:pt idx="103">
                  <c:v>4.6349999999999998</c:v>
                </c:pt>
                <c:pt idx="104">
                  <c:v>4.68</c:v>
                </c:pt>
                <c:pt idx="105">
                  <c:v>4.7250000000000005</c:v>
                </c:pt>
                <c:pt idx="106">
                  <c:v>4.7700000000000005</c:v>
                </c:pt>
                <c:pt idx="107">
                  <c:v>4.8150000000000004</c:v>
                </c:pt>
                <c:pt idx="108">
                  <c:v>4.8600000000000003</c:v>
                </c:pt>
                <c:pt idx="109">
                  <c:v>4.9050000000000002</c:v>
                </c:pt>
                <c:pt idx="110">
                  <c:v>4.95</c:v>
                </c:pt>
                <c:pt idx="111">
                  <c:v>4.9950000000000001</c:v>
                </c:pt>
                <c:pt idx="112">
                  <c:v>5.0400000000000009</c:v>
                </c:pt>
                <c:pt idx="113">
                  <c:v>5.0849999999999991</c:v>
                </c:pt>
                <c:pt idx="114">
                  <c:v>5.13</c:v>
                </c:pt>
                <c:pt idx="115">
                  <c:v>5.1749999999999998</c:v>
                </c:pt>
                <c:pt idx="116">
                  <c:v>5.22</c:v>
                </c:pt>
                <c:pt idx="117">
                  <c:v>5.2649999999999997</c:v>
                </c:pt>
                <c:pt idx="118">
                  <c:v>5.31</c:v>
                </c:pt>
                <c:pt idx="119">
                  <c:v>5.3549999999999995</c:v>
                </c:pt>
                <c:pt idx="120">
                  <c:v>5.3999999999999995</c:v>
                </c:pt>
                <c:pt idx="121">
                  <c:v>5.4450000000000003</c:v>
                </c:pt>
                <c:pt idx="122">
                  <c:v>5.49</c:v>
                </c:pt>
                <c:pt idx="123">
                  <c:v>5.5350000000000001</c:v>
                </c:pt>
                <c:pt idx="124">
                  <c:v>5.58</c:v>
                </c:pt>
                <c:pt idx="125">
                  <c:v>5.625</c:v>
                </c:pt>
                <c:pt idx="126">
                  <c:v>5.67</c:v>
                </c:pt>
                <c:pt idx="127">
                  <c:v>5.7149999999999999</c:v>
                </c:pt>
                <c:pt idx="128">
                  <c:v>5.76</c:v>
                </c:pt>
                <c:pt idx="129">
                  <c:v>5.8049999999999997</c:v>
                </c:pt>
                <c:pt idx="130">
                  <c:v>5.8500000000000005</c:v>
                </c:pt>
                <c:pt idx="131">
                  <c:v>5.8950000000000005</c:v>
                </c:pt>
                <c:pt idx="132">
                  <c:v>5.94</c:v>
                </c:pt>
                <c:pt idx="133">
                  <c:v>5.9850000000000003</c:v>
                </c:pt>
                <c:pt idx="134">
                  <c:v>6.03</c:v>
                </c:pt>
                <c:pt idx="135">
                  <c:v>6.0750000000000002</c:v>
                </c:pt>
                <c:pt idx="136">
                  <c:v>6.12</c:v>
                </c:pt>
                <c:pt idx="137">
                  <c:v>6.1650000000000009</c:v>
                </c:pt>
                <c:pt idx="138">
                  <c:v>6.2099999999999991</c:v>
                </c:pt>
                <c:pt idx="139">
                  <c:v>6.2549999999999999</c:v>
                </c:pt>
                <c:pt idx="140">
                  <c:v>6.3</c:v>
                </c:pt>
                <c:pt idx="141">
                  <c:v>6.3449999999999998</c:v>
                </c:pt>
                <c:pt idx="142">
                  <c:v>6.39</c:v>
                </c:pt>
                <c:pt idx="143">
                  <c:v>6.4349999999999996</c:v>
                </c:pt>
                <c:pt idx="144">
                  <c:v>6.4799999999999995</c:v>
                </c:pt>
                <c:pt idx="145">
                  <c:v>6.5249999999999995</c:v>
                </c:pt>
                <c:pt idx="146">
                  <c:v>6.57</c:v>
                </c:pt>
                <c:pt idx="147">
                  <c:v>6.6150000000000002</c:v>
                </c:pt>
                <c:pt idx="148">
                  <c:v>6.66</c:v>
                </c:pt>
                <c:pt idx="149">
                  <c:v>6.7050000000000001</c:v>
                </c:pt>
                <c:pt idx="150">
                  <c:v>6.75</c:v>
                </c:pt>
                <c:pt idx="151">
                  <c:v>6.7949999999999999</c:v>
                </c:pt>
                <c:pt idx="152">
                  <c:v>6.84</c:v>
                </c:pt>
                <c:pt idx="153">
                  <c:v>6.8849999999999998</c:v>
                </c:pt>
                <c:pt idx="154">
                  <c:v>6.93</c:v>
                </c:pt>
                <c:pt idx="155">
                  <c:v>6.9750000000000005</c:v>
                </c:pt>
                <c:pt idx="156">
                  <c:v>7.0200000000000005</c:v>
                </c:pt>
                <c:pt idx="157">
                  <c:v>7.0650000000000004</c:v>
                </c:pt>
                <c:pt idx="158">
                  <c:v>7.11</c:v>
                </c:pt>
                <c:pt idx="159">
                  <c:v>7.1550000000000002</c:v>
                </c:pt>
                <c:pt idx="160">
                  <c:v>7.2</c:v>
                </c:pt>
                <c:pt idx="161">
                  <c:v>7.2450000000000001</c:v>
                </c:pt>
                <c:pt idx="162">
                  <c:v>7.2900000000000009</c:v>
                </c:pt>
                <c:pt idx="163">
                  <c:v>7.3349999999999991</c:v>
                </c:pt>
                <c:pt idx="164">
                  <c:v>7.38</c:v>
                </c:pt>
                <c:pt idx="165">
                  <c:v>7.4249999999999998</c:v>
                </c:pt>
                <c:pt idx="166">
                  <c:v>7.47</c:v>
                </c:pt>
                <c:pt idx="167">
                  <c:v>7.5149999999999997</c:v>
                </c:pt>
                <c:pt idx="168">
                  <c:v>7.56</c:v>
                </c:pt>
                <c:pt idx="169">
                  <c:v>7.6049999999999995</c:v>
                </c:pt>
                <c:pt idx="170">
                  <c:v>7.6499999999999995</c:v>
                </c:pt>
                <c:pt idx="171">
                  <c:v>7.6950000000000003</c:v>
                </c:pt>
                <c:pt idx="172">
                  <c:v>7.74</c:v>
                </c:pt>
                <c:pt idx="173">
                  <c:v>7.7850000000000001</c:v>
                </c:pt>
                <c:pt idx="174">
                  <c:v>7.83</c:v>
                </c:pt>
                <c:pt idx="175">
                  <c:v>7.875</c:v>
                </c:pt>
                <c:pt idx="176">
                  <c:v>7.92</c:v>
                </c:pt>
                <c:pt idx="177">
                  <c:v>7.9649999999999999</c:v>
                </c:pt>
                <c:pt idx="178">
                  <c:v>8.01</c:v>
                </c:pt>
                <c:pt idx="179">
                  <c:v>8.0549999999999997</c:v>
                </c:pt>
                <c:pt idx="180">
                  <c:v>8.1</c:v>
                </c:pt>
                <c:pt idx="181">
                  <c:v>8.1449999999999996</c:v>
                </c:pt>
                <c:pt idx="182">
                  <c:v>8.19</c:v>
                </c:pt>
                <c:pt idx="183">
                  <c:v>8.2349999999999994</c:v>
                </c:pt>
                <c:pt idx="184">
                  <c:v>8.2800000000000011</c:v>
                </c:pt>
                <c:pt idx="185">
                  <c:v>8.3250000000000011</c:v>
                </c:pt>
                <c:pt idx="186">
                  <c:v>8.370000000000001</c:v>
                </c:pt>
                <c:pt idx="187">
                  <c:v>8.4150000000000009</c:v>
                </c:pt>
                <c:pt idx="188">
                  <c:v>8.4599999999999991</c:v>
                </c:pt>
                <c:pt idx="189">
                  <c:v>8.504999999999999</c:v>
                </c:pt>
                <c:pt idx="190">
                  <c:v>8.5499999999999989</c:v>
                </c:pt>
                <c:pt idx="191">
                  <c:v>8.5949999999999989</c:v>
                </c:pt>
                <c:pt idx="192">
                  <c:v>8.64</c:v>
                </c:pt>
                <c:pt idx="193">
                  <c:v>8.6850000000000005</c:v>
                </c:pt>
                <c:pt idx="194">
                  <c:v>8.73</c:v>
                </c:pt>
                <c:pt idx="195">
                  <c:v>8.7750000000000004</c:v>
                </c:pt>
                <c:pt idx="196">
                  <c:v>8.82</c:v>
                </c:pt>
                <c:pt idx="197">
                  <c:v>8.8650000000000002</c:v>
                </c:pt>
                <c:pt idx="198">
                  <c:v>8.91</c:v>
                </c:pt>
                <c:pt idx="199">
                  <c:v>8.9550000000000001</c:v>
                </c:pt>
                <c:pt idx="200">
                  <c:v>9</c:v>
                </c:pt>
              </c:numCache>
            </c:numRef>
          </c:cat>
          <c:val>
            <c:numRef>
              <c:f>'Power Calculations'!$AG$9:$AG$209</c:f>
              <c:numCache>
                <c:formatCode>0.0000</c:formatCode>
                <c:ptCount val="201"/>
                <c:pt idx="0">
                  <c:v>1.970042872446133E-2</c:v>
                </c:pt>
                <c:pt idx="1">
                  <c:v>2.0116956484368453E-2</c:v>
                </c:pt>
                <c:pt idx="2">
                  <c:v>2.0555168345856242E-2</c:v>
                </c:pt>
                <c:pt idx="3">
                  <c:v>2.1015063617559442E-2</c:v>
                </c:pt>
                <c:pt idx="4">
                  <c:v>2.1496642054846575E-2</c:v>
                </c:pt>
                <c:pt idx="5">
                  <c:v>2.1999903859637081E-2</c:v>
                </c:pt>
                <c:pt idx="6">
                  <c:v>2.2524849680241411E-2</c:v>
                </c:pt>
                <c:pt idx="7">
                  <c:v>2.3071480611224261E-2</c:v>
                </c:pt>
                <c:pt idx="8">
                  <c:v>2.3639798193290748E-2</c:v>
                </c:pt>
                <c:pt idx="9">
                  <c:v>2.4229804413195659E-2</c:v>
                </c:pt>
                <c:pt idx="10">
                  <c:v>2.4841501703675627E-2</c:v>
                </c:pt>
                <c:pt idx="11">
                  <c:v>2.5474892943404295E-2</c:v>
                </c:pt>
                <c:pt idx="12">
                  <c:v>2.6129981456970482E-2</c:v>
                </c:pt>
                <c:pt idx="13">
                  <c:v>2.6806771014879213E-2</c:v>
                </c:pt>
                <c:pt idx="14">
                  <c:v>2.7505265833575758E-2</c:v>
                </c:pt>
                <c:pt idx="15">
                  <c:v>2.822547057549259E-2</c:v>
                </c:pt>
                <c:pt idx="16">
                  <c:v>2.8967390349119257E-2</c:v>
                </c:pt>
                <c:pt idx="17">
                  <c:v>2.9731030709095177E-2</c:v>
                </c:pt>
                <c:pt idx="18">
                  <c:v>3.0516397656325404E-2</c:v>
                </c:pt>
                <c:pt idx="19">
                  <c:v>3.1323497638119285E-2</c:v>
                </c:pt>
                <c:pt idx="20">
                  <c:v>3.2152337548352054E-2</c:v>
                </c:pt>
                <c:pt idx="21">
                  <c:v>3.3002924727649437E-2</c:v>
                </c:pt>
                <c:pt idx="22">
                  <c:v>3.3875266963595094E-2</c:v>
                </c:pt>
                <c:pt idx="23">
                  <c:v>3.476937249096114E-2</c:v>
                </c:pt>
                <c:pt idx="24">
                  <c:v>3.5685249991961591E-2</c:v>
                </c:pt>
                <c:pt idx="25">
                  <c:v>3.6622908596528815E-2</c:v>
                </c:pt>
                <c:pt idx="26">
                  <c:v>3.7582357882613E-2</c:v>
                </c:pt>
                <c:pt idx="27">
                  <c:v>3.8563607876504667E-2</c:v>
                </c:pt>
                <c:pt idx="28">
                  <c:v>3.9566669053180195E-2</c:v>
                </c:pt>
                <c:pt idx="29">
                  <c:v>4.0591552336670486E-2</c:v>
                </c:pt>
                <c:pt idx="30">
                  <c:v>4.1638269100452791E-2</c:v>
                </c:pt>
                <c:pt idx="31">
                  <c:v>4.2706831167865458E-2</c:v>
                </c:pt>
                <c:pt idx="32">
                  <c:v>4.379725081254613E-2</c:v>
                </c:pt>
                <c:pt idx="33">
                  <c:v>4.4909540758892953E-2</c:v>
                </c:pt>
                <c:pt idx="34">
                  <c:v>4.6043714182549107E-2</c:v>
                </c:pt>
                <c:pt idx="35">
                  <c:v>4.7199784710910603E-2</c:v>
                </c:pt>
                <c:pt idx="36">
                  <c:v>4.8377766423657369E-2</c:v>
                </c:pt>
                <c:pt idx="37">
                  <c:v>4.962549456249616E-2</c:v>
                </c:pt>
                <c:pt idx="38">
                  <c:v>5.1250587580284605E-2</c:v>
                </c:pt>
                <c:pt idx="39">
                  <c:v>5.2897743929147506E-2</c:v>
                </c:pt>
                <c:pt idx="40">
                  <c:v>5.4566983700848871E-2</c:v>
                </c:pt>
                <c:pt idx="41">
                  <c:v>5.6258327445545792E-2</c:v>
                </c:pt>
                <c:pt idx="42">
                  <c:v>5.7971796172605242E-2</c:v>
                </c:pt>
                <c:pt idx="43">
                  <c:v>5.9707411351444847E-2</c:v>
                </c:pt>
                <c:pt idx="44">
                  <c:v>6.1465194912397596E-2</c:v>
                </c:pt>
                <c:pt idx="45">
                  <c:v>6.3245169247600555E-2</c:v>
                </c:pt>
                <c:pt idx="46">
                  <c:v>6.5047357211907825E-2</c:v>
                </c:pt>
                <c:pt idx="47">
                  <c:v>6.6871782123827272E-2</c:v>
                </c:pt>
                <c:pt idx="48">
                  <c:v>6.8718467766482064E-2</c:v>
                </c:pt>
                <c:pt idx="49">
                  <c:v>7.0587438388596005E-2</c:v>
                </c:pt>
                <c:pt idx="50">
                  <c:v>7.2478718705503667E-2</c:v>
                </c:pt>
                <c:pt idx="51">
                  <c:v>7.4392333900184848E-2</c:v>
                </c:pt>
                <c:pt idx="52">
                  <c:v>7.6328309624323604E-2</c:v>
                </c:pt>
                <c:pt idx="53">
                  <c:v>7.8286671999392085E-2</c:v>
                </c:pt>
                <c:pt idx="54">
                  <c:v>8.0267447617758933E-2</c:v>
                </c:pt>
                <c:pt idx="55">
                  <c:v>8.2270663543822745E-2</c:v>
                </c:pt>
                <c:pt idx="56">
                  <c:v>8.4296347315170564E-2</c:v>
                </c:pt>
                <c:pt idx="57">
                  <c:v>8.6344526943760963E-2</c:v>
                </c:pt>
                <c:pt idx="58">
                  <c:v>8.8415230917133047E-2</c:v>
                </c:pt>
                <c:pt idx="59">
                  <c:v>9.0508488199639969E-2</c:v>
                </c:pt>
                <c:pt idx="60">
                  <c:v>9.2624328233708433E-2</c:v>
                </c:pt>
                <c:pt idx="61">
                  <c:v>9.476278094112324E-2</c:v>
                </c:pt>
                <c:pt idx="62">
                  <c:v>9.6923876724337735E-2</c:v>
                </c:pt>
                <c:pt idx="63">
                  <c:v>9.9107646467809923E-2</c:v>
                </c:pt>
                <c:pt idx="64">
                  <c:v>0.10131412153936431</c:v>
                </c:pt>
                <c:pt idx="65">
                  <c:v>0.10354333379157972</c:v>
                </c:pt>
                <c:pt idx="66">
                  <c:v>0.10579531556320323</c:v>
                </c:pt>
                <c:pt idx="67">
                  <c:v>0.10807009968059059</c:v>
                </c:pt>
                <c:pt idx="68">
                  <c:v>0.11036771945917238</c:v>
                </c:pt>
                <c:pt idx="69">
                  <c:v>0.11268820870494722</c:v>
                </c:pt>
                <c:pt idx="70">
                  <c:v>0.11503160171600137</c:v>
                </c:pt>
                <c:pt idx="71">
                  <c:v>0.11739793328405468</c:v>
                </c:pt>
                <c:pt idx="72">
                  <c:v>0.11978723869603422</c:v>
                </c:pt>
                <c:pt idx="73">
                  <c:v>0.12219955373567445</c:v>
                </c:pt>
                <c:pt idx="74">
                  <c:v>0.12463491468514425</c:v>
                </c:pt>
                <c:pt idx="75">
                  <c:v>0.12709335832670199</c:v>
                </c:pt>
                <c:pt idx="76">
                  <c:v>0.12957492194437756</c:v>
                </c:pt>
                <c:pt idx="77">
                  <c:v>0.13207964332568231</c:v>
                </c:pt>
                <c:pt idx="78">
                  <c:v>0.1346075607633464</c:v>
                </c:pt>
                <c:pt idx="79">
                  <c:v>0.13715871305708441</c:v>
                </c:pt>
                <c:pt idx="80">
                  <c:v>0.13973313951538899</c:v>
                </c:pt>
                <c:pt idx="81">
                  <c:v>0.14233087995735277</c:v>
                </c:pt>
                <c:pt idx="82">
                  <c:v>0.14495197471451837</c:v>
                </c:pt>
                <c:pt idx="83">
                  <c:v>0.1475964646327578</c:v>
                </c:pt>
                <c:pt idx="84">
                  <c:v>0.15026439107417977</c:v>
                </c:pt>
                <c:pt idx="85">
                  <c:v>0.15295579591906644</c:v>
                </c:pt>
                <c:pt idx="86">
                  <c:v>0.15567072156783912</c:v>
                </c:pt>
                <c:pt idx="87">
                  <c:v>0.15840921094305374</c:v>
                </c:pt>
                <c:pt idx="88">
                  <c:v>0.16117130749142478</c:v>
                </c:pt>
                <c:pt idx="89">
                  <c:v>0.16395705518588036</c:v>
                </c:pt>
                <c:pt idx="90">
                  <c:v>0.16676649852764566</c:v>
                </c:pt>
                <c:pt idx="91">
                  <c:v>0.16959968254835781</c:v>
                </c:pt>
                <c:pt idx="92">
                  <c:v>0.17245665281221018</c:v>
                </c:pt>
                <c:pt idx="93">
                  <c:v>0.17533745541812717</c:v>
                </c:pt>
                <c:pt idx="94">
                  <c:v>0.17824213700197056</c:v>
                </c:pt>
                <c:pt idx="95">
                  <c:v>0.1811707447387757</c:v>
                </c:pt>
                <c:pt idx="96">
                  <c:v>0.18412332634501935</c:v>
                </c:pt>
                <c:pt idx="97">
                  <c:v>0.18709993008091863</c:v>
                </c:pt>
                <c:pt idx="98">
                  <c:v>0.19010060475276208</c:v>
                </c:pt>
                <c:pt idx="99">
                  <c:v>0.19312539971527165</c:v>
                </c:pt>
                <c:pt idx="100">
                  <c:v>0.19617436487399717</c:v>
                </c:pt>
                <c:pt idx="101">
                  <c:v>0.1992475506877433</c:v>
                </c:pt>
                <c:pt idx="102">
                  <c:v>0.20234500817102824</c:v>
                </c:pt>
                <c:pt idx="103">
                  <c:v>0.20546678889657582</c:v>
                </c:pt>
                <c:pt idx="104">
                  <c:v>0.20861294499784</c:v>
                </c:pt>
                <c:pt idx="105">
                  <c:v>0.21178352917156307</c:v>
                </c:pt>
                <c:pt idx="106">
                  <c:v>0.21497859468036681</c:v>
                </c:pt>
                <c:pt idx="107">
                  <c:v>0.21819819535537779</c:v>
                </c:pt>
                <c:pt idx="108">
                  <c:v>0.22144238559888582</c:v>
                </c:pt>
                <c:pt idx="109">
                  <c:v>0.22471122038703809</c:v>
                </c:pt>
                <c:pt idx="110">
                  <c:v>0.22800475527256575</c:v>
                </c:pt>
                <c:pt idx="111">
                  <c:v>0.23132304638754747</c:v>
                </c:pt>
                <c:pt idx="112">
                  <c:v>0.23466615044620595</c:v>
                </c:pt>
                <c:pt idx="113">
                  <c:v>0.23803412474774066</c:v>
                </c:pt>
                <c:pt idx="114">
                  <c:v>0.24142702717919706</c:v>
                </c:pt>
                <c:pt idx="115">
                  <c:v>0.24484491621836935</c:v>
                </c:pt>
                <c:pt idx="116">
                  <c:v>0.24828785093674202</c:v>
                </c:pt>
                <c:pt idx="117">
                  <c:v>0.25175589100246554</c:v>
                </c:pt>
                <c:pt idx="118">
                  <c:v>0.2552490966833702</c:v>
                </c:pt>
                <c:pt idx="119">
                  <c:v>0.25876752885001653</c:v>
                </c:pt>
                <c:pt idx="120">
                  <c:v>0.26231124897878311</c:v>
                </c:pt>
                <c:pt idx="121">
                  <c:v>0.26588031915499166</c:v>
                </c:pt>
                <c:pt idx="122">
                  <c:v>0.26947480207607072</c:v>
                </c:pt>
                <c:pt idx="123">
                  <c:v>0.27309476105475705</c:v>
                </c:pt>
                <c:pt idx="124">
                  <c:v>0.27674026002233632</c:v>
                </c:pt>
                <c:pt idx="125">
                  <c:v>0.28041136353192153</c:v>
                </c:pt>
                <c:pt idx="126">
                  <c:v>0.28410813676177193</c:v>
                </c:pt>
                <c:pt idx="127">
                  <c:v>0.28783064551865112</c:v>
                </c:pt>
                <c:pt idx="128">
                  <c:v>0.2915789562412246</c:v>
                </c:pt>
                <c:pt idx="129">
                  <c:v>0.29535313600349788</c:v>
                </c:pt>
                <c:pt idx="130">
                  <c:v>0.29915325251829655</c:v>
                </c:pt>
                <c:pt idx="131">
                  <c:v>0.30297937414078419</c:v>
                </c:pt>
                <c:pt idx="132">
                  <c:v>0.30683156987202531</c:v>
                </c:pt>
                <c:pt idx="133">
                  <c:v>0.31070990936258769</c:v>
                </c:pt>
                <c:pt idx="134">
                  <c:v>0.31461446291618694</c:v>
                </c:pt>
                <c:pt idx="135">
                  <c:v>0.3185453014933749</c:v>
                </c:pt>
                <c:pt idx="136">
                  <c:v>0.32250249671526937</c:v>
                </c:pt>
                <c:pt idx="137">
                  <c:v>0.32648612086732792</c:v>
                </c:pt>
                <c:pt idx="138">
                  <c:v>0.33049624690316481</c:v>
                </c:pt>
                <c:pt idx="139">
                  <c:v>0.33453294844841364</c:v>
                </c:pt>
                <c:pt idx="140">
                  <c:v>0.33859629980463057</c:v>
                </c:pt>
                <c:pt idx="141">
                  <c:v>0.34268637595324791</c:v>
                </c:pt>
                <c:pt idx="142">
                  <c:v>0.34680325255956745</c:v>
                </c:pt>
                <c:pt idx="143">
                  <c:v>0.35094700597680362</c:v>
                </c:pt>
                <c:pt idx="144">
                  <c:v>0.35511771325017022</c:v>
                </c:pt>
                <c:pt idx="145">
                  <c:v>0.35931545212101512</c:v>
                </c:pt>
                <c:pt idx="146">
                  <c:v>0.3635403010310016</c:v>
                </c:pt>
                <c:pt idx="147">
                  <c:v>0.36779233912633624</c:v>
                </c:pt>
                <c:pt idx="148">
                  <c:v>0.3720716462620462</c:v>
                </c:pt>
                <c:pt idx="149">
                  <c:v>0.37637830300630404</c:v>
                </c:pt>
                <c:pt idx="150">
                  <c:v>0.38071239064480139</c:v>
                </c:pt>
                <c:pt idx="151">
                  <c:v>0.38507399118517133</c:v>
                </c:pt>
                <c:pt idx="152">
                  <c:v>0.38946318736146196</c:v>
                </c:pt>
                <c:pt idx="153">
                  <c:v>0.39388006263865882</c:v>
                </c:pt>
                <c:pt idx="154">
                  <c:v>0.39832470121725894</c:v>
                </c:pt>
                <c:pt idx="155">
                  <c:v>0.40279718803789594</c:v>
                </c:pt>
                <c:pt idx="156">
                  <c:v>0.40729760878601601</c:v>
                </c:pt>
                <c:pt idx="157">
                  <c:v>0.41182604989660743</c:v>
                </c:pt>
                <c:pt idx="158">
                  <c:v>0.41638259855898241</c:v>
                </c:pt>
                <c:pt idx="159">
                  <c:v>0.42096734272161174</c:v>
                </c:pt>
                <c:pt idx="160">
                  <c:v>0.42558037109701363</c:v>
                </c:pt>
                <c:pt idx="161">
                  <c:v>0.43022177316669685</c:v>
                </c:pt>
                <c:pt idx="162">
                  <c:v>0.43489163918615942</c:v>
                </c:pt>
                <c:pt idx="163">
                  <c:v>0.4395900601899409</c:v>
                </c:pt>
                <c:pt idx="164">
                  <c:v>0.44431712799673395</c:v>
                </c:pt>
                <c:pt idx="165">
                  <c:v>0.44907293521454839</c:v>
                </c:pt>
                <c:pt idx="166">
                  <c:v>0.4538575752459359</c:v>
                </c:pt>
                <c:pt idx="167">
                  <c:v>0.45867114229327094</c:v>
                </c:pt>
                <c:pt idx="168">
                  <c:v>0.46351373136408985</c:v>
                </c:pt>
                <c:pt idx="169">
                  <c:v>0.46838543827648976</c:v>
                </c:pt>
                <c:pt idx="170">
                  <c:v>0.47328635966458626</c:v>
                </c:pt>
                <c:pt idx="171">
                  <c:v>0.47821659298403196</c:v>
                </c:pt>
                <c:pt idx="172">
                  <c:v>0.48317623651759489</c:v>
                </c:pt>
                <c:pt idx="173">
                  <c:v>0.4881653893807999</c:v>
                </c:pt>
                <c:pt idx="174">
                  <c:v>0.49318415152763029</c:v>
                </c:pt>
                <c:pt idx="175">
                  <c:v>0.49823262375629379</c:v>
                </c:pt>
                <c:pt idx="176">
                  <c:v>0.50331090771505116</c:v>
                </c:pt>
                <c:pt idx="177">
                  <c:v>0.5084191059081089</c:v>
                </c:pt>
                <c:pt idx="178">
                  <c:v>0.51355732170157653</c:v>
                </c:pt>
                <c:pt idx="179">
                  <c:v>0.51872565932949022</c:v>
                </c:pt>
                <c:pt idx="180">
                  <c:v>0.52392422389990201</c:v>
                </c:pt>
                <c:pt idx="181">
                  <c:v>0.52915312140103488</c:v>
                </c:pt>
                <c:pt idx="182">
                  <c:v>0.53441245870750809</c:v>
                </c:pt>
                <c:pt idx="183">
                  <c:v>0.53970234358662705</c:v>
                </c:pt>
                <c:pt idx="184">
                  <c:v>0.54502288470474713</c:v>
                </c:pt>
                <c:pt idx="185">
                  <c:v>0.55037419163370072</c:v>
                </c:pt>
                <c:pt idx="186">
                  <c:v>0.55575637485730278</c:v>
                </c:pt>
                <c:pt idx="187">
                  <c:v>0.56116954577792</c:v>
                </c:pt>
                <c:pt idx="188">
                  <c:v>0.56661381672311806</c:v>
                </c:pt>
                <c:pt idx="189">
                  <c:v>0.57208930095237831</c:v>
                </c:pt>
                <c:pt idx="190">
                  <c:v>0.57759611266388966</c:v>
                </c:pt>
                <c:pt idx="191">
                  <c:v>0.58313436700141397</c:v>
                </c:pt>
                <c:pt idx="192">
                  <c:v>0.58870418006122816</c:v>
                </c:pt>
                <c:pt idx="193">
                  <c:v>0.59430566889914049</c:v>
                </c:pt>
                <c:pt idx="194">
                  <c:v>0.59993895153758736</c:v>
                </c:pt>
                <c:pt idx="195">
                  <c:v>0.60560414697280329</c:v>
                </c:pt>
                <c:pt idx="196">
                  <c:v>0.61130137518207417</c:v>
                </c:pt>
                <c:pt idx="197">
                  <c:v>0.61703075713106703</c:v>
                </c:pt>
                <c:pt idx="198">
                  <c:v>0.62279241478124148</c:v>
                </c:pt>
                <c:pt idx="199">
                  <c:v>0.62858647109734356</c:v>
                </c:pt>
                <c:pt idx="200">
                  <c:v>0.63441305005497939</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85.460296359976098</c:v>
                </c:pt>
                <c:pt idx="1">
                  <c:v>79.439697807485203</c:v>
                </c:pt>
                <c:pt idx="2">
                  <c:v>75.917874894352678</c:v>
                </c:pt>
                <c:pt idx="3">
                  <c:v>73.419103337359886</c:v>
                </c:pt>
                <c:pt idx="4">
                  <c:v>71.480907159563799</c:v>
                </c:pt>
                <c:pt idx="5">
                  <c:v>69.897287228167755</c:v>
                </c:pt>
                <c:pt idx="6">
                  <c:v>68.558357332302876</c:v>
                </c:pt>
                <c:pt idx="7">
                  <c:v>67.398525196686904</c:v>
                </c:pt>
                <c:pt idx="8">
                  <c:v>66.375482458866742</c:v>
                </c:pt>
                <c:pt idx="9">
                  <c:v>65.46034126596966</c:v>
                </c:pt>
                <c:pt idx="10">
                  <c:v>59.439877431019482</c:v>
                </c:pt>
                <c:pt idx="11">
                  <c:v>55.918279045654785</c:v>
                </c:pt>
                <c:pt idx="12">
                  <c:v>53.419821824457181</c:v>
                </c:pt>
                <c:pt idx="13">
                  <c:v>51.482029787404201</c:v>
                </c:pt>
                <c:pt idx="14">
                  <c:v>49.898903797740559</c:v>
                </c:pt>
                <c:pt idx="15">
                  <c:v>48.560557639759942</c:v>
                </c:pt>
                <c:pt idx="16">
                  <c:v>47.401399032464305</c:v>
                </c:pt>
                <c:pt idx="17">
                  <c:v>46.379119606807222</c:v>
                </c:pt>
                <c:pt idx="18">
                  <c:v>45.464831502445627</c:v>
                </c:pt>
                <c:pt idx="19">
                  <c:v>39.457833984800288</c:v>
                </c:pt>
                <c:pt idx="20">
                  <c:v>35.958664869486242</c:v>
                </c:pt>
                <c:pt idx="21">
                  <c:v>33.491578151301205</c:v>
                </c:pt>
                <c:pt idx="22">
                  <c:v>31.594067777190137</c:v>
                </c:pt>
                <c:pt idx="23">
                  <c:v>30.060096513850112</c:v>
                </c:pt>
                <c:pt idx="24">
                  <c:v>28.779732442565546</c:v>
                </c:pt>
                <c:pt idx="25">
                  <c:v>27.68733047233825</c:v>
                </c:pt>
                <c:pt idx="26">
                  <c:v>26.740522893308317</c:v>
                </c:pt>
                <c:pt idx="27">
                  <c:v>25.910356620024707</c:v>
                </c:pt>
                <c:pt idx="28">
                  <c:v>22.941957975283312</c:v>
                </c:pt>
                <c:pt idx="29">
                  <c:v>21.203335674760876</c:v>
                </c:pt>
                <c:pt idx="30">
                  <c:v>20.222255837574771</c:v>
                </c:pt>
                <c:pt idx="31">
                  <c:v>19.786020688880043</c:v>
                </c:pt>
                <c:pt idx="32">
                  <c:v>19.784218469257372</c:v>
                </c:pt>
                <c:pt idx="33">
                  <c:v>20.16027908011062</c:v>
                </c:pt>
                <c:pt idx="34">
                  <c:v>20.894625318931119</c:v>
                </c:pt>
                <c:pt idx="35">
                  <c:v>22.000498029049005</c:v>
                </c:pt>
                <c:pt idx="36">
                  <c:v>23.525794637603479</c:v>
                </c:pt>
                <c:pt idx="37">
                  <c:v>25.548849095252617</c:v>
                </c:pt>
                <c:pt idx="38">
                  <c:v>28.090920673030038</c:v>
                </c:pt>
                <c:pt idx="39">
                  <c:v>30.511466894387375</c:v>
                </c:pt>
                <c:pt idx="40">
                  <c:v>30.433348832745281</c:v>
                </c:pt>
                <c:pt idx="41">
                  <c:v>27.770482328779778</c:v>
                </c:pt>
                <c:pt idx="42">
                  <c:v>24.91056497600049</c:v>
                </c:pt>
                <c:pt idx="43">
                  <c:v>22.520710515698802</c:v>
                </c:pt>
                <c:pt idx="44">
                  <c:v>20.564316523824232</c:v>
                </c:pt>
                <c:pt idx="45">
                  <c:v>18.935729812144253</c:v>
                </c:pt>
                <c:pt idx="46">
                  <c:v>17.552136349662661</c:v>
                </c:pt>
                <c:pt idx="47">
                  <c:v>16.355260751204817</c:v>
                </c:pt>
                <c:pt idx="48">
                  <c:v>15.304118452738983</c:v>
                </c:pt>
                <c:pt idx="49">
                  <c:v>14.369262207309173</c:v>
                </c:pt>
                <c:pt idx="50">
                  <c:v>13.528999673692262</c:v>
                </c:pt>
                <c:pt idx="51">
                  <c:v>12.766968497136054</c:v>
                </c:pt>
                <c:pt idx="52">
                  <c:v>12.070562446913904</c:v>
                </c:pt>
                <c:pt idx="53">
                  <c:v>11.429886635238526</c:v>
                </c:pt>
                <c:pt idx="54">
                  <c:v>10.837046725309907</c:v>
                </c:pt>
                <c:pt idx="55">
                  <c:v>10.285653750248422</c:v>
                </c:pt>
                <c:pt idx="56">
                  <c:v>9.7704714776834365</c:v>
                </c:pt>
                <c:pt idx="57">
                  <c:v>9.2871602182904844</c:v>
                </c:pt>
                <c:pt idx="58">
                  <c:v>8.832087312855716</c:v>
                </c:pt>
                <c:pt idx="59">
                  <c:v>8.4021846454473028</c:v>
                </c:pt>
                <c:pt idx="60">
                  <c:v>7.9948399310163518</c:v>
                </c:pt>
                <c:pt idx="61">
                  <c:v>7.6078126651819673</c:v>
                </c:pt>
                <c:pt idx="62">
                  <c:v>7.2391683562134981</c:v>
                </c:pt>
                <c:pt idx="63">
                  <c:v>6.8872264974602917</c:v>
                </c:pt>
                <c:pt idx="64">
                  <c:v>6.5505189973881182</c:v>
                </c:pt>
                <c:pt idx="65">
                  <c:v>6.2277566608443715</c:v>
                </c:pt>
                <c:pt idx="66">
                  <c:v>5.9178019347382707</c:v>
                </c:pt>
                <c:pt idx="67">
                  <c:v>5.6196465755029958</c:v>
                </c:pt>
                <c:pt idx="68">
                  <c:v>5.3323932183336265</c:v>
                </c:pt>
                <c:pt idx="69">
                  <c:v>5.0552400653852541</c:v>
                </c:pt>
                <c:pt idx="70">
                  <c:v>4.7874680864645969</c:v>
                </c:pt>
                <c:pt idx="71">
                  <c:v>4.5284302582392062</c:v>
                </c:pt>
                <c:pt idx="72">
                  <c:v>4.277542468502272</c:v>
                </c:pt>
                <c:pt idx="73">
                  <c:v>4.0342757889814358</c:v>
                </c:pt>
                <c:pt idx="74">
                  <c:v>3.798149879593077</c:v>
                </c:pt>
                <c:pt idx="75">
                  <c:v>3.5687273332828608</c:v>
                </c:pt>
                <c:pt idx="76">
                  <c:v>3.3456088068488379</c:v>
                </c:pt>
                <c:pt idx="77">
                  <c:v>3.1284288117712764</c:v>
                </c:pt>
                <c:pt idx="78">
                  <c:v>2.9168520618280698</c:v>
                </c:pt>
                <c:pt idx="79">
                  <c:v>2.7105702924737125</c:v>
                </c:pt>
                <c:pt idx="80">
                  <c:v>2.5092994816015297</c:v>
                </c:pt>
                <c:pt idx="81">
                  <c:v>2.3127774131543086</c:v>
                </c:pt>
                <c:pt idx="82">
                  <c:v>2.1207615346821123</c:v>
                </c:pt>
                <c:pt idx="83">
                  <c:v>1.9330270678204138</c:v>
                </c:pt>
                <c:pt idx="84">
                  <c:v>1.7493653371286437</c:v>
                </c:pt>
                <c:pt idx="85">
                  <c:v>1.5695822880643902</c:v>
                </c:pt>
                <c:pt idx="86">
                  <c:v>1.3934971692890157</c:v>
                </c:pt>
                <c:pt idx="87">
                  <c:v>1.2209413581781214</c:v>
                </c:pt>
                <c:pt idx="88">
                  <c:v>1.0517573114822751</c:v>
                </c:pt>
                <c:pt idx="89">
                  <c:v>0.88579762565865927</c:v>
                </c:pt>
                <c:pt idx="90">
                  <c:v>0.72292419356136339</c:v>
                </c:pt>
                <c:pt idx="91">
                  <c:v>0.56300744600775965</c:v>
                </c:pt>
                <c:pt idx="92">
                  <c:v>0.405925668288113</c:v>
                </c:pt>
                <c:pt idx="93">
                  <c:v>0.25156438300298939</c:v>
                </c:pt>
                <c:pt idx="94">
                  <c:v>9.9815791735640841E-2</c:v>
                </c:pt>
                <c:pt idx="95">
                  <c:v>-4.9421730973619765E-2</c:v>
                </c:pt>
                <c:pt idx="96">
                  <c:v>-0.1962440970608936</c:v>
                </c:pt>
                <c:pt idx="97">
                  <c:v>-0.34074192278260962</c:v>
                </c:pt>
                <c:pt idx="98">
                  <c:v>-0.48300090936249379</c:v>
                </c:pt>
                <c:pt idx="99">
                  <c:v>-0.62310219030731884</c:v>
                </c:pt>
                <c:pt idx="100">
                  <c:v>-0.76112264880061886</c:v>
                </c:pt>
                <c:pt idx="101">
                  <c:v>-0.89713520818726089</c:v>
                </c:pt>
                <c:pt idx="102">
                  <c:v>-1.0312090982166808</c:v>
                </c:pt>
                <c:pt idx="103">
                  <c:v>-1.1634100994117262</c:v>
                </c:pt>
                <c:pt idx="104">
                  <c:v>-1.2938007676671295</c:v>
                </c:pt>
                <c:pt idx="105">
                  <c:v>-1.4224406409510595</c:v>
                </c:pt>
                <c:pt idx="106">
                  <c:v>-1.5493864297811126</c:v>
                </c:pt>
                <c:pt idx="107">
                  <c:v>-1.6746921929682288</c:v>
                </c:pt>
                <c:pt idx="108">
                  <c:v>-1.7984094999652971</c:v>
                </c:pt>
                <c:pt idx="109">
                  <c:v>-1.9205875810189621</c:v>
                </c:pt>
                <c:pt idx="110">
                  <c:v>-2.0412734662007188</c:v>
                </c:pt>
                <c:pt idx="111">
                  <c:v>-2.1605121142851846</c:v>
                </c:pt>
                <c:pt idx="112">
                  <c:v>-2.278346532347054</c:v>
                </c:pt>
                <c:pt idx="113">
                  <c:v>-2.3948178868630725</c:v>
                </c:pt>
                <c:pt idx="114">
                  <c:v>-2.5099656070290104</c:v>
                </c:pt>
                <c:pt idx="115">
                  <c:v>-2.6238274809339597</c:v>
                </c:pt>
                <c:pt idx="116">
                  <c:v>-2.7364397451735849</c:v>
                </c:pt>
                <c:pt idx="117">
                  <c:v>-2.8478371684298716</c:v>
                </c:pt>
                <c:pt idx="118">
                  <c:v>-2.9580531294963217</c:v>
                </c:pt>
                <c:pt idx="119">
                  <c:v>-3.0671196901840547</c:v>
                </c:pt>
                <c:pt idx="120">
                  <c:v>-3.1750676635051751</c:v>
                </c:pt>
                <c:pt idx="121">
                  <c:v>-3.2819266774946119</c:v>
                </c:pt>
                <c:pt idx="122">
                  <c:v>-3.3877252350000542</c:v>
                </c:pt>
                <c:pt idx="123">
                  <c:v>-3.4924907697408685</c:v>
                </c:pt>
                <c:pt idx="124">
                  <c:v>-3.5962496989114205</c:v>
                </c:pt>
                <c:pt idx="125">
                  <c:v>-3.6990274725805965</c:v>
                </c:pt>
                <c:pt idx="126">
                  <c:v>-3.8008486201184781</c:v>
                </c:pt>
                <c:pt idx="127">
                  <c:v>-3.9017367938620477</c:v>
                </c:pt>
                <c:pt idx="128">
                  <c:v>-4.0017148102141489</c:v>
                </c:pt>
                <c:pt idx="129">
                  <c:v>-4.1008046883547049</c:v>
                </c:pt>
                <c:pt idx="130">
                  <c:v>-4.199027686728467</c:v>
                </c:pt>
                <c:pt idx="131">
                  <c:v>-4.2964043374606966</c:v>
                </c:pt>
                <c:pt idx="132">
                  <c:v>-4.3929544788405064</c:v>
                </c:pt>
                <c:pt idx="133">
                  <c:v>-4.4886972860004075</c:v>
                </c:pt>
                <c:pt idx="134">
                  <c:v>-4.5836512999111765</c:v>
                </c:pt>
                <c:pt idx="135">
                  <c:v>-4.6778344548016761</c:v>
                </c:pt>
                <c:pt idx="136">
                  <c:v>-4.7712641041054518</c:v>
                </c:pt>
                <c:pt idx="137">
                  <c:v>-4.8639570450280862</c:v>
                </c:pt>
                <c:pt idx="138">
                  <c:v>-4.9559295418225027</c:v>
                </c:pt>
                <c:pt idx="139">
                  <c:v>-5.0471973478529542</c:v>
                </c:pt>
                <c:pt idx="140">
                  <c:v>-5.1377757265228379</c:v>
                </c:pt>
                <c:pt idx="141">
                  <c:v>-5.2276794711358114</c:v>
                </c:pt>
                <c:pt idx="142">
                  <c:v>-5.3169229237550315</c:v>
                </c:pt>
                <c:pt idx="143">
                  <c:v>-5.4055199931206763</c:v>
                </c:pt>
                <c:pt idx="144">
                  <c:v>-5.4934841716817564</c:v>
                </c:pt>
                <c:pt idx="145">
                  <c:v>-5.5808285517943892</c:v>
                </c:pt>
                <c:pt idx="146">
                  <c:v>-5.6675658411352101</c:v>
                </c:pt>
                <c:pt idx="147">
                  <c:v>-5.753708377375192</c:v>
                </c:pt>
                <c:pt idx="148">
                  <c:v>-5.8392681421562544</c:v>
                </c:pt>
                <c:pt idx="149">
                  <c:v>-5.9242567744101926</c:v>
                </c:pt>
                <c:pt idx="150">
                  <c:v>-6.0086855830568311</c:v>
                </c:pt>
                <c:pt idx="151">
                  <c:v>-6.0925655591159602</c:v>
                </c:pt>
                <c:pt idx="152">
                  <c:v>-6.1759073872654007</c:v>
                </c:pt>
                <c:pt idx="153">
                  <c:v>-6.2587214568753859</c:v>
                </c:pt>
                <c:pt idx="154">
                  <c:v>-6.341017872547722</c:v>
                </c:pt>
                <c:pt idx="155">
                  <c:v>-6.4228064641861735</c:v>
                </c:pt>
                <c:pt idx="156">
                  <c:v>-6.5040967966230587</c:v>
                </c:pt>
                <c:pt idx="157">
                  <c:v>-6.5848981788255081</c:v>
                </c:pt>
                <c:pt idx="158">
                  <c:v>-6.6652196727031807</c:v>
                </c:pt>
                <c:pt idx="159">
                  <c:v>-6.7450701015383032</c:v>
                </c:pt>
                <c:pt idx="160">
                  <c:v>-6.8244580580571359</c:v>
                </c:pt>
                <c:pt idx="161">
                  <c:v>-6.9033919121614371</c:v>
                </c:pt>
                <c:pt idx="162">
                  <c:v>-6.9818798183368482</c:v>
                </c:pt>
                <c:pt idx="163">
                  <c:v>-7.0599297227544122</c:v>
                </c:pt>
                <c:pt idx="164">
                  <c:v>-7.1375493700805803</c:v>
                </c:pt>
                <c:pt idx="165">
                  <c:v>-7.2147463100098737</c:v>
                </c:pt>
                <c:pt idx="166">
                  <c:v>-7.2915279035338543</c:v>
                </c:pt>
                <c:pt idx="167">
                  <c:v>-7.3679013289591486</c:v>
                </c:pt>
                <c:pt idx="168">
                  <c:v>-7.4438735876865261</c:v>
                </c:pt>
                <c:pt idx="169">
                  <c:v>-7.5194515097624599</c:v>
                </c:pt>
                <c:pt idx="170">
                  <c:v>-7.5946417592139115</c:v>
                </c:pt>
                <c:pt idx="171">
                  <c:v>-7.6694508391764638</c:v>
                </c:pt>
                <c:pt idx="172">
                  <c:v>-7.7438850968254336</c:v>
                </c:pt>
                <c:pt idx="173">
                  <c:v>-7.8179507281190928</c:v>
                </c:pt>
                <c:pt idx="174">
                  <c:v>-7.8916537823624928</c:v>
                </c:pt>
                <c:pt idx="175">
                  <c:v>-7.9650001666001646</c:v>
                </c:pt>
                <c:pt idx="176">
                  <c:v>-8.0379956498452678</c:v>
                </c:pt>
                <c:pt idx="177">
                  <c:v>-8.1106458671526767</c:v>
                </c:pt>
                <c:pt idx="178">
                  <c:v>-8.1829563235427223</c:v>
                </c:pt>
                <c:pt idx="179">
                  <c:v>-8.2549323977823583</c:v>
                </c:pt>
                <c:pt idx="180">
                  <c:v>-8.3265793460298454</c:v>
                </c:pt>
                <c:pt idx="181">
                  <c:v>-8.3979023053489534</c:v>
                </c:pt>
                <c:pt idx="182">
                  <c:v>-8.4689062970982789</c:v>
                </c:pt>
                <c:pt idx="183">
                  <c:v>-8.5395962302009849</c:v>
                </c:pt>
                <c:pt idx="184">
                  <c:v>-8.609976904300078</c:v>
                </c:pt>
                <c:pt idx="185">
                  <c:v>-8.6800530128040858</c:v>
                </c:pt>
                <c:pt idx="186">
                  <c:v>-8.7498291458275421</c:v>
                </c:pt>
                <c:pt idx="187">
                  <c:v>-8.8193097930308877</c:v>
                </c:pt>
                <c:pt idx="188">
                  <c:v>-8.8884993463637407</c:v>
                </c:pt>
                <c:pt idx="189">
                  <c:v>-8.9574021027156068</c:v>
                </c:pt>
                <c:pt idx="190">
                  <c:v>-9.026022266477721</c:v>
                </c:pt>
                <c:pt idx="191">
                  <c:v>-9.0943639520196573</c:v>
                </c:pt>
                <c:pt idx="192">
                  <c:v>-9.1624311860840617</c:v>
                </c:pt>
                <c:pt idx="193">
                  <c:v>-9.2302279101028635</c:v>
                </c:pt>
                <c:pt idx="194">
                  <c:v>-9.2977579824379664</c:v>
                </c:pt>
                <c:pt idx="195">
                  <c:v>-9.3650251805494378</c:v>
                </c:pt>
                <c:pt idx="196">
                  <c:v>-9.4320332030940239</c:v>
                </c:pt>
                <c:pt idx="197">
                  <c:v>-9.4987856719566501</c:v>
                </c:pt>
                <c:pt idx="198">
                  <c:v>-9.5652861342175672</c:v>
                </c:pt>
                <c:pt idx="199">
                  <c:v>-9.6315380640574482</c:v>
                </c:pt>
                <c:pt idx="200">
                  <c:v>-9.6975448646030173</c:v>
                </c:pt>
                <c:pt idx="201">
                  <c:v>-9.7633098697152079</c:v>
                </c:pt>
                <c:pt idx="202">
                  <c:v>-9.8288363457221699</c:v>
                </c:pt>
                <c:pt idx="203">
                  <c:v>-9.894127493099143</c:v>
                </c:pt>
                <c:pt idx="204">
                  <c:v>-9.9591864480970926</c:v>
                </c:pt>
                <c:pt idx="205">
                  <c:v>-10.024016284322093</c:v>
                </c:pt>
                <c:pt idx="206">
                  <c:v>-10.088620014267144</c:v>
                </c:pt>
                <c:pt idx="207">
                  <c:v>-10.153000590798275</c:v>
                </c:pt>
                <c:pt idx="208">
                  <c:v>-10.217160908596428</c:v>
                </c:pt>
                <c:pt idx="209">
                  <c:v>-10.281103805556882</c:v>
                </c:pt>
                <c:pt idx="210">
                  <c:v>-10.344832064147521</c:v>
                </c:pt>
                <c:pt idx="211">
                  <c:v>-10.408348412727619</c:v>
                </c:pt>
                <c:pt idx="212">
                  <c:v>-10.471655526828334</c:v>
                </c:pt>
                <c:pt idx="213">
                  <c:v>-10.534756030396409</c:v>
                </c:pt>
                <c:pt idx="214">
                  <c:v>-10.59765249700223</c:v>
                </c:pt>
                <c:pt idx="215">
                  <c:v>-10.660347451013516</c:v>
                </c:pt>
                <c:pt idx="216">
                  <c:v>-10.72284336873588</c:v>
                </c:pt>
                <c:pt idx="217">
                  <c:v>-10.785142679521282</c:v>
                </c:pt>
                <c:pt idx="218">
                  <c:v>-10.847247766845548</c:v>
                </c:pt>
                <c:pt idx="219">
                  <c:v>-10.909160969355911</c:v>
                </c:pt>
                <c:pt idx="220">
                  <c:v>-10.970884581889695</c:v>
                </c:pt>
                <c:pt idx="221">
                  <c:v>-11.032420856464951</c:v>
                </c:pt>
                <c:pt idx="222">
                  <c:v>-11.093772003244137</c:v>
                </c:pt>
                <c:pt idx="223">
                  <c:v>-11.154940191471587</c:v>
                </c:pt>
                <c:pt idx="224">
                  <c:v>-11.215927550385681</c:v>
                </c:pt>
                <c:pt idx="225">
                  <c:v>-11.276736170106565</c:v>
                </c:pt>
                <c:pt idx="226">
                  <c:v>-11.875425231930894</c:v>
                </c:pt>
                <c:pt idx="227">
                  <c:v>-12.458279599771263</c:v>
                </c:pt>
                <c:pt idx="228">
                  <c:v>-13.026860390162319</c:v>
                </c:pt>
                <c:pt idx="229">
                  <c:v>-13.582482188194199</c:v>
                </c:pt>
                <c:pt idx="230">
                  <c:v>-14.126258016208947</c:v>
                </c:pt>
                <c:pt idx="231">
                  <c:v>-14.659135009657946</c:v>
                </c:pt>
                <c:pt idx="232">
                  <c:v>-15.181922998225485</c:v>
                </c:pt>
                <c:pt idx="233">
                  <c:v>-15.695317600269147</c:v>
                </c:pt>
                <c:pt idx="234">
                  <c:v>-16.199919024609713</c:v>
                </c:pt>
                <c:pt idx="235">
                  <c:v>-16.696247478523027</c:v>
                </c:pt>
                <c:pt idx="236">
                  <c:v>-17.184755867195385</c:v>
                </c:pt>
                <c:pt idx="237">
                  <c:v>-17.665840313205482</c:v>
                </c:pt>
                <c:pt idx="238">
                  <c:v>-18.139848908145911</c:v>
                </c:pt>
                <c:pt idx="239">
                  <c:v>-18.607089020904983</c:v>
                </c:pt>
                <c:pt idx="240">
                  <c:v>-19.06783342049205</c:v>
                </c:pt>
                <c:pt idx="241">
                  <c:v>-19.522325420049246</c:v>
                </c:pt>
                <c:pt idx="242">
                  <c:v>-19.970783208895448</c:v>
                </c:pt>
                <c:pt idx="243">
                  <c:v>-20.413403508246205</c:v>
                </c:pt>
                <c:pt idx="244">
                  <c:v>-20.850364661574986</c:v>
                </c:pt>
                <c:pt idx="245">
                  <c:v>-21.281829250901666</c:v>
                </c:pt>
                <c:pt idx="246">
                  <c:v>-21.707946314481731</c:v>
                </c:pt>
                <c:pt idx="247">
                  <c:v>-22.128853228575419</c:v>
                </c:pt>
                <c:pt idx="248">
                  <c:v>-22.54467730555692</c:v>
                </c:pt>
                <c:pt idx="249">
                  <c:v>-22.955537152089359</c:v>
                </c:pt>
                <c:pt idx="250">
                  <c:v>-23.361543824062956</c:v>
                </c:pt>
                <c:pt idx="251">
                  <c:v>-23.762801809178224</c:v>
                </c:pt>
                <c:pt idx="252">
                  <c:v>-24.159409863223171</c:v>
                </c:pt>
                <c:pt idx="253">
                  <c:v>-24.551461722061081</c:v>
                </c:pt>
                <c:pt idx="254">
                  <c:v>-24.939046707970292</c:v>
                </c:pt>
                <c:pt idx="255">
                  <c:v>-25.322250246142858</c:v>
                </c:pt>
                <c:pt idx="256">
                  <c:v>-25.70115430476239</c:v>
                </c:pt>
                <c:pt idx="257">
                  <c:v>-26.075837770067366</c:v>
                </c:pt>
                <c:pt idx="258">
                  <c:v>-26.446376766102514</c:v>
                </c:pt>
                <c:pt idx="259">
                  <c:v>-26.812844927417725</c:v>
                </c:pt>
                <c:pt idx="260">
                  <c:v>-27.175313631749116</c:v>
                </c:pt>
                <c:pt idx="261">
                  <c:v>-27.533852198676033</c:v>
                </c:pt>
                <c:pt idx="262">
                  <c:v>-27.888528059362425</c:v>
                </c:pt>
                <c:pt idx="263">
                  <c:v>-28.239406901736896</c:v>
                </c:pt>
                <c:pt idx="264">
                  <c:v>-28.586552794823376</c:v>
                </c:pt>
                <c:pt idx="265">
                  <c:v>-28.930028295385842</c:v>
                </c:pt>
                <c:pt idx="266">
                  <c:v>-29.269894539583305</c:v>
                </c:pt>
                <c:pt idx="267">
                  <c:v>-29.606211321931788</c:v>
                </c:pt>
                <c:pt idx="268">
                  <c:v>-29.939037163528912</c:v>
                </c:pt>
                <c:pt idx="269">
                  <c:v>-30.268429371205965</c:v>
                </c:pt>
                <c:pt idx="270">
                  <c:v>-30.594444089023067</c:v>
                </c:pt>
                <c:pt idx="271">
                  <c:v>-30.917136343310858</c:v>
                </c:pt>
                <c:pt idx="272">
                  <c:v>-31.236560082280491</c:v>
                </c:pt>
                <c:pt idx="273">
                  <c:v>-31.552768211068742</c:v>
                </c:pt>
                <c:pt idx="274">
                  <c:v>-31.865812622952681</c:v>
                </c:pt>
                <c:pt idx="275">
                  <c:v>-32.175744227355295</c:v>
                </c:pt>
                <c:pt idx="276">
                  <c:v>-32.482612975167285</c:v>
                </c:pt>
                <c:pt idx="277">
                  <c:v>-32.786467881827953</c:v>
                </c:pt>
                <c:pt idx="278">
                  <c:v>-33.087357048537839</c:v>
                </c:pt>
                <c:pt idx="279">
                  <c:v>-33.385327681916827</c:v>
                </c:pt>
                <c:pt idx="280">
                  <c:v>-33.680426112369851</c:v>
                </c:pt>
                <c:pt idx="281">
                  <c:v>-33.972697811379916</c:v>
                </c:pt>
                <c:pt idx="282">
                  <c:v>-34.262187407911227</c:v>
                </c:pt>
                <c:pt idx="283">
                  <c:v>-34.548938704074288</c:v>
                </c:pt>
                <c:pt idx="284">
                  <c:v>-34.832994690178452</c:v>
                </c:pt>
                <c:pt idx="285">
                  <c:v>-35.114397559275567</c:v>
                </c:pt>
                <c:pt idx="286">
                  <c:v>-35.393188721279081</c:v>
                </c:pt>
                <c:pt idx="287">
                  <c:v>-35.669408816727767</c:v>
                </c:pt>
                <c:pt idx="288">
                  <c:v>-35.943097730249619</c:v>
                </c:pt>
                <c:pt idx="289">
                  <c:v>-36.214294603770597</c:v>
                </c:pt>
                <c:pt idx="290">
                  <c:v>-36.483037849503631</c:v>
                </c:pt>
                <c:pt idx="291">
                  <c:v>-36.749365162745342</c:v>
                </c:pt>
                <c:pt idx="292">
                  <c:v>-37.013313534502117</c:v>
                </c:pt>
                <c:pt idx="293">
                  <c:v>-37.274919263961351</c:v>
                </c:pt>
                <c:pt idx="294">
                  <c:v>-37.534217970819725</c:v>
                </c:pt>
                <c:pt idx="295">
                  <c:v>-37.79124460747672</c:v>
                </c:pt>
                <c:pt idx="296">
                  <c:v>-38.046033471098951</c:v>
                </c:pt>
                <c:pt idx="297">
                  <c:v>-38.298618215558363</c:v>
                </c:pt>
                <c:pt idx="298">
                  <c:v>-38.549031863245744</c:v>
                </c:pt>
                <c:pt idx="299">
                  <c:v>-38.797306816759658</c:v>
                </c:pt>
                <c:pt idx="300">
                  <c:v>-39.043474870469694</c:v>
                </c:pt>
                <c:pt idx="301">
                  <c:v>-39.287567221952251</c:v>
                </c:pt>
                <c:pt idx="302">
                  <c:v>-39.529614483296584</c:v>
                </c:pt>
                <c:pt idx="303">
                  <c:v>-39.7696466922783</c:v>
                </c:pt>
                <c:pt idx="304">
                  <c:v>-40.007693323397518</c:v>
                </c:pt>
                <c:pt idx="305">
                  <c:v>-40.243783298778588</c:v>
                </c:pt>
                <c:pt idx="306">
                  <c:v>-40.477944998928386</c:v>
                </c:pt>
                <c:pt idx="307">
                  <c:v>-40.710206273350387</c:v>
                </c:pt>
                <c:pt idx="308">
                  <c:v>-40.940594451011584</c:v>
                </c:pt>
                <c:pt idx="309">
                  <c:v>-41.169136350659905</c:v>
                </c:pt>
                <c:pt idx="310">
                  <c:v>-41.395858290989551</c:v>
                </c:pt>
                <c:pt idx="311">
                  <c:v>-41.620786100652367</c:v>
                </c:pt>
                <c:pt idx="312">
                  <c:v>-41.843945128113305</c:v>
                </c:pt>
                <c:pt idx="313">
                  <c:v>-42.06536025134848</c:v>
                </c:pt>
                <c:pt idx="314">
                  <c:v>-42.28505588738453</c:v>
                </c:pt>
                <c:pt idx="315">
                  <c:v>-42.503056001678267</c:v>
                </c:pt>
                <c:pt idx="316">
                  <c:v>-42.719384117335927</c:v>
                </c:pt>
                <c:pt idx="317">
                  <c:v>-42.934063324171525</c:v>
                </c:pt>
                <c:pt idx="318">
                  <c:v>-43.14711628760417</c:v>
                </c:pt>
                <c:pt idx="319">
                  <c:v>-43.358565257394197</c:v>
                </c:pt>
                <c:pt idx="320">
                  <c:v>-43.568432076218599</c:v>
                </c:pt>
                <c:pt idx="321">
                  <c:v>-43.776738188086163</c:v>
                </c:pt>
                <c:pt idx="322">
                  <c:v>-43.983504646592884</c:v>
                </c:pt>
                <c:pt idx="323">
                  <c:v>-44.188752123018695</c:v>
                </c:pt>
                <c:pt idx="324">
                  <c:v>-44.392500914266442</c:v>
                </c:pt>
                <c:pt idx="325">
                  <c:v>-44.594770950644431</c:v>
                </c:pt>
                <c:pt idx="326">
                  <c:v>-44.795581803493747</c:v>
                </c:pt>
                <c:pt idx="327">
                  <c:v>-44.994952692662054</c:v>
                </c:pt>
                <c:pt idx="328">
                  <c:v>-45.192902493825301</c:v>
                </c:pt>
                <c:pt idx="329">
                  <c:v>-45.389449745659221</c:v>
                </c:pt>
                <c:pt idx="330">
                  <c:v>-45.584612656862319</c:v>
                </c:pt>
                <c:pt idx="331">
                  <c:v>-45.778409113032417</c:v>
                </c:pt>
                <c:pt idx="332">
                  <c:v>-45.970856683398686</c:v>
                </c:pt>
                <c:pt idx="333">
                  <c:v>-46.161972627411174</c:v>
                </c:pt>
                <c:pt idx="334">
                  <c:v>-46.351773901190107</c:v>
                </c:pt>
                <c:pt idx="335">
                  <c:v>-46.540277163837025</c:v>
                </c:pt>
                <c:pt idx="336">
                  <c:v>-46.727498783610002</c:v>
                </c:pt>
                <c:pt idx="337">
                  <c:v>-46.913454843965269</c:v>
                </c:pt>
                <c:pt idx="338">
                  <c:v>-47.098161149467479</c:v>
                </c:pt>
                <c:pt idx="339">
                  <c:v>-47.281633231570915</c:v>
                </c:pt>
                <c:pt idx="340">
                  <c:v>-47.463886354274003</c:v>
                </c:pt>
                <c:pt idx="341">
                  <c:v>-47.644935519649394</c:v>
                </c:pt>
                <c:pt idx="342">
                  <c:v>-47.824795473252131</c:v>
                </c:pt>
                <c:pt idx="343">
                  <c:v>-48.003480709408002</c:v>
                </c:pt>
                <c:pt idx="344">
                  <c:v>-48.181005476384584</c:v>
                </c:pt>
                <c:pt idx="345">
                  <c:v>-48.357383781447247</c:v>
                </c:pt>
                <c:pt idx="346">
                  <c:v>-48.532629395802488</c:v>
                </c:pt>
                <c:pt idx="347">
                  <c:v>-48.706755859430821</c:v>
                </c:pt>
                <c:pt idx="348">
                  <c:v>-48.879776485811547</c:v>
                </c:pt>
                <c:pt idx="349">
                  <c:v>-49.051704366541678</c:v>
                </c:pt>
                <c:pt idx="350">
                  <c:v>-49.222552375851279</c:v>
                </c:pt>
                <c:pt idx="351">
                  <c:v>-49.392333175017384</c:v>
                </c:pt>
                <c:pt idx="352">
                  <c:v>-49.561059216678665</c:v>
                </c:pt>
                <c:pt idx="353">
                  <c:v>-49.728742749053218</c:v>
                </c:pt>
                <c:pt idx="354">
                  <c:v>-49.895395820061225</c:v>
                </c:pt>
                <c:pt idx="355">
                  <c:v>-50.061030281355059</c:v>
                </c:pt>
                <c:pt idx="356">
                  <c:v>-50.225657792258431</c:v>
                </c:pt>
                <c:pt idx="357">
                  <c:v>-50.389289823617034</c:v>
                </c:pt>
                <c:pt idx="358">
                  <c:v>-50.551937661562391</c:v>
                </c:pt>
                <c:pt idx="359">
                  <c:v>-50.713612411191001</c:v>
                </c:pt>
                <c:pt idx="360">
                  <c:v>-50.874325000160745</c:v>
                </c:pt>
                <c:pt idx="361">
                  <c:v>-51.034086182206401</c:v>
                </c:pt>
                <c:pt idx="362">
                  <c:v>-51.192906540576139</c:v>
                </c:pt>
                <c:pt idx="363">
                  <c:v>-51.350796491390831</c:v>
                </c:pt>
                <c:pt idx="364">
                  <c:v>-51.507766286927989</c:v>
                </c:pt>
                <c:pt idx="365">
                  <c:v>-51.663826018832054</c:v>
                </c:pt>
                <c:pt idx="366">
                  <c:v>-51.818985621252793</c:v>
                </c:pt>
                <c:pt idx="367">
                  <c:v>-51.973254873913518</c:v>
                </c:pt>
                <c:pt idx="368">
                  <c:v>-52.126643405110627</c:v>
                </c:pt>
                <c:pt idx="369">
                  <c:v>-52.279160694646336</c:v>
                </c:pt>
                <c:pt idx="370">
                  <c:v>-52.430816076695962</c:v>
                </c:pt>
                <c:pt idx="371">
                  <c:v>-52.581618742611376</c:v>
                </c:pt>
                <c:pt idx="372">
                  <c:v>-52.731577743662221</c:v>
                </c:pt>
                <c:pt idx="373">
                  <c:v>-52.880701993716279</c:v>
                </c:pt>
                <c:pt idx="374">
                  <c:v>-53.029000271860397</c:v>
                </c:pt>
                <c:pt idx="375">
                  <c:v>-53.176481224963567</c:v>
                </c:pt>
                <c:pt idx="376">
                  <c:v>-53.323153370183356</c:v>
                </c:pt>
                <c:pt idx="377">
                  <c:v>-53.469025097417095</c:v>
                </c:pt>
                <c:pt idx="378">
                  <c:v>-53.614104671699181</c:v>
                </c:pt>
                <c:pt idx="379">
                  <c:v>-53.758400235545778</c:v>
                </c:pt>
                <c:pt idx="380">
                  <c:v>-53.901919811248135</c:v>
                </c:pt>
                <c:pt idx="381">
                  <c:v>-54.044671303115663</c:v>
                </c:pt>
                <c:pt idx="382">
                  <c:v>-54.186662499670305</c:v>
                </c:pt>
                <c:pt idx="383">
                  <c:v>-54.327901075792873</c:v>
                </c:pt>
                <c:pt idx="384">
                  <c:v>-54.468394594822939</c:v>
                </c:pt>
                <c:pt idx="385">
                  <c:v>-54.608150510613136</c:v>
                </c:pt>
                <c:pt idx="386">
                  <c:v>-54.747176169539017</c:v>
                </c:pt>
                <c:pt idx="387">
                  <c:v>-54.885478812465564</c:v>
                </c:pt>
                <c:pt idx="388">
                  <c:v>-55.023065576671435</c:v>
                </c:pt>
                <c:pt idx="389">
                  <c:v>-55.159943497731703</c:v>
                </c:pt>
                <c:pt idx="390">
                  <c:v>-55.296119511360459</c:v>
                </c:pt>
                <c:pt idx="391">
                  <c:v>-55.431600455213882</c:v>
                </c:pt>
                <c:pt idx="392">
                  <c:v>-55.566393070654954</c:v>
                </c:pt>
                <c:pt idx="393">
                  <c:v>-55.700504004480607</c:v>
                </c:pt>
                <c:pt idx="394">
                  <c:v>-55.8339398106122</c:v>
                </c:pt>
                <c:pt idx="395">
                  <c:v>-55.966706951750282</c:v>
                </c:pt>
                <c:pt idx="396">
                  <c:v>-56.098811800994397</c:v>
                </c:pt>
                <c:pt idx="397">
                  <c:v>-56.230260643428792</c:v>
                </c:pt>
                <c:pt idx="398">
                  <c:v>-56.361059677674803</c:v>
                </c:pt>
                <c:pt idx="399">
                  <c:v>-56.491215017410774</c:v>
                </c:pt>
                <c:pt idx="400">
                  <c:v>-56.620732692860223</c:v>
                </c:pt>
                <c:pt idx="401">
                  <c:v>-56.749618652248948</c:v>
                </c:pt>
                <c:pt idx="402">
                  <c:v>-56.877878763231976</c:v>
                </c:pt>
                <c:pt idx="403">
                  <c:v>-57.005518814290788</c:v>
                </c:pt>
                <c:pt idx="404">
                  <c:v>-57.132544516101845</c:v>
                </c:pt>
                <c:pt idx="405">
                  <c:v>-57.258961502876808</c:v>
                </c:pt>
                <c:pt idx="406">
                  <c:v>-57.384775333675194</c:v>
                </c:pt>
                <c:pt idx="407">
                  <c:v>-57.509991493690265</c:v>
                </c:pt>
                <c:pt idx="408">
                  <c:v>-57.634615395508519</c:v>
                </c:pt>
                <c:pt idx="409">
                  <c:v>-57.75865238034352</c:v>
                </c:pt>
                <c:pt idx="410">
                  <c:v>-57.882107719244722</c:v>
                </c:pt>
                <c:pt idx="411">
                  <c:v>-58.004986614281805</c:v>
                </c:pt>
                <c:pt idx="412">
                  <c:v>-58.127294199704977</c:v>
                </c:pt>
                <c:pt idx="413">
                  <c:v>-58.249035543081973</c:v>
                </c:pt>
                <c:pt idx="414">
                  <c:v>-58.370215646412248</c:v>
                </c:pt>
                <c:pt idx="415">
                  <c:v>-58.490839447218754</c:v>
                </c:pt>
                <c:pt idx="416">
                  <c:v>-58.610911819617982</c:v>
                </c:pt>
                <c:pt idx="417">
                  <c:v>-58.730437575368697</c:v>
                </c:pt>
                <c:pt idx="418">
                  <c:v>-58.849421464899727</c:v>
                </c:pt>
                <c:pt idx="419">
                  <c:v>-58.967868178317595</c:v>
                </c:pt>
                <c:pt idx="420">
                  <c:v>-59.085782346394083</c:v>
                </c:pt>
                <c:pt idx="421">
                  <c:v>-59.203168541534438</c:v>
                </c:pt>
                <c:pt idx="422">
                  <c:v>-59.320031278726574</c:v>
                </c:pt>
                <c:pt idx="423">
                  <c:v>-59.436375016471636</c:v>
                </c:pt>
                <c:pt idx="424">
                  <c:v>-59.552204157696494</c:v>
                </c:pt>
                <c:pt idx="425">
                  <c:v>-59.667523050648434</c:v>
                </c:pt>
                <c:pt idx="426">
                  <c:v>-59.782335989772413</c:v>
                </c:pt>
                <c:pt idx="427">
                  <c:v>-59.896647216571566</c:v>
                </c:pt>
                <c:pt idx="428">
                  <c:v>-60.010460920450839</c:v>
                </c:pt>
                <c:pt idx="429">
                  <c:v>-60.123781239544634</c:v>
                </c:pt>
                <c:pt idx="430">
                  <c:v>-60.23661226152845</c:v>
                </c:pt>
                <c:pt idx="431">
                  <c:v>-60.348958024415055</c:v>
                </c:pt>
                <c:pt idx="432">
                  <c:v>-60.460822517335508</c:v>
                </c:pt>
                <c:pt idx="433">
                  <c:v>-60.57220968130526</c:v>
                </c:pt>
                <c:pt idx="434">
                  <c:v>-60.683123409975892</c:v>
                </c:pt>
                <c:pt idx="435">
                  <c:v>-60.793567550372416</c:v>
                </c:pt>
                <c:pt idx="436">
                  <c:v>-60.90354590361698</c:v>
                </c:pt>
                <c:pt idx="437">
                  <c:v>-61.01306222563872</c:v>
                </c:pt>
                <c:pt idx="438">
                  <c:v>-61.122120227870539</c:v>
                </c:pt>
                <c:pt idx="439">
                  <c:v>-61.230723577932665</c:v>
                </c:pt>
                <c:pt idx="440">
                  <c:v>-61.338875900303726</c:v>
                </c:pt>
                <c:pt idx="441">
                  <c:v>-61.446580776979175</c:v>
                </c:pt>
                <c:pt idx="442">
                  <c:v>-61.553841748117634</c:v>
                </c:pt>
                <c:pt idx="443">
                  <c:v>-61.660662312675299</c:v>
                </c:pt>
                <c:pt idx="444">
                  <c:v>-61.76704592902869</c:v>
                </c:pt>
                <c:pt idx="445">
                  <c:v>-61.872996015585954</c:v>
                </c:pt>
                <c:pt idx="446">
                  <c:v>-61.978515951386981</c:v>
                </c:pt>
                <c:pt idx="447">
                  <c:v>-62.08360907669271</c:v>
                </c:pt>
                <c:pt idx="448">
                  <c:v>-62.18827869356349</c:v>
                </c:pt>
                <c:pt idx="449">
                  <c:v>-62.292528066427252</c:v>
                </c:pt>
                <c:pt idx="450">
                  <c:v>-62.39636042263713</c:v>
                </c:pt>
                <c:pt idx="451">
                  <c:v>-62.499778953019309</c:v>
                </c:pt>
                <c:pt idx="452">
                  <c:v>-62.602786812410791</c:v>
                </c:pt>
                <c:pt idx="453">
                  <c:v>-62.70538712018773</c:v>
                </c:pt>
                <c:pt idx="454">
                  <c:v>-62.807582960784245</c:v>
                </c:pt>
                <c:pt idx="455">
                  <c:v>-62.909377384201946</c:v>
                </c:pt>
                <c:pt idx="456">
                  <c:v>-63.010773406510609</c:v>
                </c:pt>
                <c:pt idx="457">
                  <c:v>-63.111774010339737</c:v>
                </c:pt>
                <c:pt idx="458">
                  <c:v>-63.212382145361673</c:v>
                </c:pt>
                <c:pt idx="459">
                  <c:v>-63.312600728766114</c:v>
                </c:pt>
                <c:pt idx="460">
                  <c:v>-63.412432645726284</c:v>
                </c:pt>
                <c:pt idx="461">
                  <c:v>-63.511880749857013</c:v>
                </c:pt>
                <c:pt idx="462">
                  <c:v>-63.610947863664855</c:v>
                </c:pt>
                <c:pt idx="463">
                  <c:v>-63.709636778990244</c:v>
                </c:pt>
                <c:pt idx="464">
                  <c:v>-63.807950257442187</c:v>
                </c:pt>
                <c:pt idx="465">
                  <c:v>-63.905891030825245</c:v>
                </c:pt>
                <c:pt idx="466">
                  <c:v>-64.00346180155934</c:v>
                </c:pt>
                <c:pt idx="467">
                  <c:v>-64.100665243092266</c:v>
                </c:pt>
                <c:pt idx="468">
                  <c:v>-64.197504000305003</c:v>
                </c:pt>
                <c:pt idx="469">
                  <c:v>-64.29398068991047</c:v>
                </c:pt>
                <c:pt idx="470">
                  <c:v>-64.390097900845049</c:v>
                </c:pt>
                <c:pt idx="471">
                  <c:v>-64.485858194653829</c:v>
                </c:pt>
                <c:pt idx="472">
                  <c:v>-64.58126410586911</c:v>
                </c:pt>
                <c:pt idx="473">
                  <c:v>-64.676318142382542</c:v>
                </c:pt>
                <c:pt idx="474">
                  <c:v>-64.771022785811184</c:v>
                </c:pt>
                <c:pt idx="475">
                  <c:v>-64.865380491857152</c:v>
                </c:pt>
                <c:pt idx="476">
                  <c:v>-64.959393690661443</c:v>
                </c:pt>
                <c:pt idx="477">
                  <c:v>-65.053064787151769</c:v>
                </c:pt>
                <c:pt idx="478">
                  <c:v>-65.146396161384658</c:v>
                </c:pt>
                <c:pt idx="479">
                  <c:v>-65.239390168881854</c:v>
                </c:pt>
                <c:pt idx="480">
                  <c:v>-65.33204914096109</c:v>
                </c:pt>
                <c:pt idx="481">
                  <c:v>-65.424375385061595</c:v>
                </c:pt>
                <c:pt idx="482">
                  <c:v>-65.516371185063974</c:v>
                </c:pt>
                <c:pt idx="483">
                  <c:v>-65.608038801605119</c:v>
                </c:pt>
                <c:pt idx="484">
                  <c:v>-65.699380472387787</c:v>
                </c:pt>
                <c:pt idx="485">
                  <c:v>-65.790398412485189</c:v>
                </c:pt>
                <c:pt idx="486">
                  <c:v>-65.881094814640662</c:v>
                </c:pt>
                <c:pt idx="487">
                  <c:v>-65.971471849562406</c:v>
                </c:pt>
                <c:pt idx="488">
                  <c:v>-66.061531666213568</c:v>
                </c:pt>
                <c:pt idx="489">
                  <c:v>-66.151276392097486</c:v>
                </c:pt>
                <c:pt idx="490">
                  <c:v>-66.240708133538561</c:v>
                </c:pt>
                <c:pt idx="491">
                  <c:v>-66.329828975958463</c:v>
                </c:pt>
                <c:pt idx="492">
                  <c:v>-66.418640984147913</c:v>
                </c:pt>
                <c:pt idx="493">
                  <c:v>-66.507146202534358</c:v>
                </c:pt>
                <c:pt idx="494">
                  <c:v>-66.595346655445027</c:v>
                </c:pt>
                <c:pt idx="495">
                  <c:v>-66.683244347366227</c:v>
                </c:pt>
                <c:pt idx="496">
                  <c:v>-66.770841263198193</c:v>
                </c:pt>
                <c:pt idx="497">
                  <c:v>-66.858139368506102</c:v>
                </c:pt>
                <c:pt idx="498">
                  <c:v>-66.945140609767193</c:v>
                </c:pt>
                <c:pt idx="499">
                  <c:v>-67.031846914613823</c:v>
                </c:pt>
                <c:pt idx="500">
                  <c:v>-67.118260192072825</c:v>
                </c:pt>
                <c:pt idx="501">
                  <c:v>-67.204382332801316</c:v>
                </c:pt>
                <c:pt idx="502">
                  <c:v>-67.290215209318461</c:v>
                </c:pt>
                <c:pt idx="503">
                  <c:v>-67.375760676233995</c:v>
                </c:pt>
                <c:pt idx="504">
                  <c:v>-67.461020570472982</c:v>
                </c:pt>
                <c:pt idx="505">
                  <c:v>-67.54599671149731</c:v>
                </c:pt>
                <c:pt idx="506">
                  <c:v>-67.630690901523579</c:v>
                </c:pt>
                <c:pt idx="507">
                  <c:v>-67.715104925737791</c:v>
                </c:pt>
                <c:pt idx="508">
                  <c:v>-67.799240552506745</c:v>
                </c:pt>
                <c:pt idx="509">
                  <c:v>-67.883099533586119</c:v>
                </c:pt>
                <c:pt idx="510">
                  <c:v>-67.966683604325482</c:v>
                </c:pt>
                <c:pt idx="511">
                  <c:v>-68.049994483870208</c:v>
                </c:pt>
                <c:pt idx="512">
                  <c:v>-68.133033875360226</c:v>
                </c:pt>
                <c:pt idx="513">
                  <c:v>-68.215803466125934</c:v>
                </c:pt>
                <c:pt idx="514">
                  <c:v>-68.298304927880935</c:v>
                </c:pt>
                <c:pt idx="515">
                  <c:v>-68.380539916912269</c:v>
                </c:pt>
                <c:pt idx="516">
                  <c:v>-68.462510074267328</c:v>
                </c:pt>
                <c:pt idx="517">
                  <c:v>-68.544217025938352</c:v>
                </c:pt>
                <c:pt idx="518">
                  <c:v>-68.625662383043988</c:v>
                </c:pt>
                <c:pt idx="519">
                  <c:v>-68.706847742008264</c:v>
                </c:pt>
                <c:pt idx="520">
                  <c:v>-68.78777468473686</c:v>
                </c:pt>
                <c:pt idx="521">
                  <c:v>-68.868444778790746</c:v>
                </c:pt>
                <c:pt idx="522">
                  <c:v>-68.948859577557329</c:v>
                </c:pt>
                <c:pt idx="523">
                  <c:v>-69.029020620419132</c:v>
                </c:pt>
                <c:pt idx="524">
                  <c:v>-69.108929432919822</c:v>
                </c:pt>
                <c:pt idx="525">
                  <c:v>-69.188587526928018</c:v>
                </c:pt>
                <c:pt idx="526">
                  <c:v>-69.267996400798651</c:v>
                </c:pt>
                <c:pt idx="527">
                  <c:v>-69.347157539531878</c:v>
                </c:pt>
                <c:pt idx="528">
                  <c:v>-69.42607241492982</c:v>
                </c:pt>
                <c:pt idx="529">
                  <c:v>-69.504742485751038</c:v>
                </c:pt>
                <c:pt idx="530">
                  <c:v>-69.583169197862674</c:v>
                </c:pt>
                <c:pt idx="531">
                  <c:v>-69.661353984390487</c:v>
                </c:pt>
                <c:pt idx="532">
                  <c:v>-69.739298265866807</c:v>
                </c:pt>
                <c:pt idx="533">
                  <c:v>-69.817003450376205</c:v>
                </c:pt>
                <c:pt idx="534">
                  <c:v>-69.894470933699196</c:v>
                </c:pt>
                <c:pt idx="535">
                  <c:v>-69.971702099453921</c:v>
                </c:pt>
                <c:pt idx="536">
                  <c:v>-70.048698319235754</c:v>
                </c:pt>
                <c:pt idx="537">
                  <c:v>-70.125460952754977</c:v>
                </c:pt>
                <c:pt idx="538">
                  <c:v>-70.201991347972466</c:v>
                </c:pt>
                <c:pt idx="539">
                  <c:v>-70.278290841233556</c:v>
                </c:pt>
                <c:pt idx="540">
                  <c:v>-70.354360757399931</c:v>
                </c:pt>
                <c:pt idx="541">
                  <c:v>-70.430202409979756</c:v>
                </c:pt>
                <c:pt idx="542">
                  <c:v>-70.505817101255872</c:v>
                </c:pt>
                <c:pt idx="543">
                  <c:v>-70.581206122412368</c:v>
                </c:pt>
                <c:pt idx="544">
                  <c:v>-70.656370753659289</c:v>
                </c:pt>
                <c:pt idx="545">
                  <c:v>-70.73131226435558</c:v>
                </c:pt>
                <c:pt idx="546">
                  <c:v>-70.806031913130468</c:v>
                </c:pt>
                <c:pt idx="547">
                  <c:v>-70.88053094800307</c:v>
                </c:pt>
                <c:pt idx="548">
                  <c:v>-70.954810606500331</c:v>
                </c:pt>
                <c:pt idx="549">
                  <c:v>-71.02887211577351</c:v>
                </c:pt>
                <c:pt idx="550">
                  <c:v>-71.102716692712818</c:v>
                </c:pt>
                <c:pt idx="551">
                  <c:v>-71.176345544060723</c:v>
                </c:pt>
                <c:pt idx="552">
                  <c:v>-71.249759866523647</c:v>
                </c:pt>
                <c:pt idx="553">
                  <c:v>-71.322960846882026</c:v>
                </c:pt>
                <c:pt idx="554">
                  <c:v>-71.395949662099056</c:v>
                </c:pt>
                <c:pt idx="555">
                  <c:v>-71.468727479427884</c:v>
                </c:pt>
                <c:pt idx="556">
                  <c:v>-71.541295456517304</c:v>
                </c:pt>
                <c:pt idx="557">
                  <c:v>-71.613654741516228</c:v>
                </c:pt>
                <c:pt idx="558">
                  <c:v>-71.685806473176427</c:v>
                </c:pt>
                <c:pt idx="559">
                  <c:v>-71.757751780954308</c:v>
                </c:pt>
                <c:pt idx="560">
                  <c:v>-71.829491785110932</c:v>
                </c:pt>
                <c:pt idx="561">
                  <c:v>-71.901027596811019</c:v>
                </c:pt>
                <c:pt idx="562">
                  <c:v>-71.972360318220467</c:v>
                </c:pt>
                <c:pt idx="563">
                  <c:v>-72.043491042602568</c:v>
                </c:pt>
                <c:pt idx="564">
                  <c:v>-72.114420854413126</c:v>
                </c:pt>
                <c:pt idx="565">
                  <c:v>-72.185150829394104</c:v>
                </c:pt>
                <c:pt idx="566">
                  <c:v>-72.255682034666165</c:v>
                </c:pt>
                <c:pt idx="567">
                  <c:v>-72.326015528820051</c:v>
                </c:pt>
                <c:pt idx="568">
                  <c:v>-72.396152362006575</c:v>
                </c:pt>
                <c:pt idx="569">
                  <c:v>-72.466093576025628</c:v>
                </c:pt>
                <c:pt idx="570">
                  <c:v>-72.535840204413958</c:v>
                </c:pt>
                <c:pt idx="571">
                  <c:v>-72.605393272531799</c:v>
                </c:pt>
                <c:pt idx="572">
                  <c:v>-72.674753797648378</c:v>
                </c:pt>
                <c:pt idx="573">
                  <c:v>-72.743922789026357</c:v>
                </c:pt>
                <c:pt idx="574">
                  <c:v>-72.812901248005105</c:v>
                </c:pt>
                <c:pt idx="575">
                  <c:v>-72.881690168083026</c:v>
                </c:pt>
                <c:pt idx="576">
                  <c:v>-72.950290534998729</c:v>
                </c:pt>
                <c:pt idx="577">
                  <c:v>-73.018703326811135</c:v>
                </c:pt>
                <c:pt idx="578">
                  <c:v>-73.086929513978703</c:v>
                </c:pt>
                <c:pt idx="579">
                  <c:v>-73.154970059437517</c:v>
                </c:pt>
                <c:pt idx="580">
                  <c:v>-73.22282591867841</c:v>
                </c:pt>
                <c:pt idx="581">
                  <c:v>-73.290498039823191</c:v>
                </c:pt>
                <c:pt idx="582">
                  <c:v>-73.357987363699777</c:v>
                </c:pt>
                <c:pt idx="583">
                  <c:v>-73.425294823916431</c:v>
                </c:pt>
                <c:pt idx="584">
                  <c:v>-73.492421346935174</c:v>
                </c:pt>
                <c:pt idx="585">
                  <c:v>-73.559367852144092</c:v>
                </c:pt>
                <c:pt idx="586">
                  <c:v>-73.626135251928872</c:v>
                </c:pt>
                <c:pt idx="587">
                  <c:v>-73.692724451743373</c:v>
                </c:pt>
                <c:pt idx="588">
                  <c:v>-73.759136350179389</c:v>
                </c:pt>
                <c:pt idx="589">
                  <c:v>-73.825371839035398</c:v>
                </c:pt>
                <c:pt idx="590">
                  <c:v>-73.891431803384691</c:v>
                </c:pt>
                <c:pt idx="591">
                  <c:v>-73.957317121642461</c:v>
                </c:pt>
                <c:pt idx="592">
                  <c:v>-74.023028665632097</c:v>
                </c:pt>
                <c:pt idx="593">
                  <c:v>-74.08856730065078</c:v>
                </c:pt>
                <c:pt idx="594">
                  <c:v>-74.153933885534101</c:v>
                </c:pt>
                <c:pt idx="595">
                  <c:v>-74.219129272720053</c:v>
                </c:pt>
                <c:pt idx="596">
                  <c:v>-74.284154308312068</c:v>
                </c:pt>
                <c:pt idx="597">
                  <c:v>-74.349009832141462</c:v>
                </c:pt>
                <c:pt idx="598">
                  <c:v>-74.413696677828995</c:v>
                </c:pt>
                <c:pt idx="599">
                  <c:v>-74.478215672845721</c:v>
                </c:pt>
                <c:pt idx="600">
                  <c:v>-74.542567638573146</c:v>
                </c:pt>
                <c:pt idx="601">
                  <c:v>-74.606753390362542</c:v>
                </c:pt>
                <c:pt idx="602">
                  <c:v>-74.670773737593677</c:v>
                </c:pt>
                <c:pt idx="603">
                  <c:v>-74.734629483732746</c:v>
                </c:pt>
                <c:pt idx="604">
                  <c:v>-74.798321426389705</c:v>
                </c:pt>
                <c:pt idx="605">
                  <c:v>-74.86185035737472</c:v>
                </c:pt>
                <c:pt idx="606">
                  <c:v>-77.846418843070296</c:v>
                </c:pt>
                <c:pt idx="607">
                  <c:v>-80.506143192221927</c:v>
                </c:pt>
                <c:pt idx="608">
                  <c:v>-82.901308766096889</c:v>
                </c:pt>
                <c:pt idx="609">
                  <c:v>-85.076781683715851</c:v>
                </c:pt>
                <c:pt idx="610">
                  <c:v>-87.066871113391571</c:v>
                </c:pt>
                <c:pt idx="611">
                  <c:v>-88.898417631170673</c:v>
                </c:pt>
                <c:pt idx="612">
                  <c:v>-90.592829651430094</c:v>
                </c:pt>
                <c:pt idx="613">
                  <c:v>-92.167469543803179</c:v>
                </c:pt>
                <c:pt idx="614">
                  <c:v>-93.636623200368604</c:v>
                </c:pt>
                <c:pt idx="615">
                  <c:v>-95.012194508586617</c:v>
                </c:pt>
                <c:pt idx="616">
                  <c:v>-96.304213254412559</c:v>
                </c:pt>
                <c:pt idx="617">
                  <c:v>-97.521213505337968</c:v>
                </c:pt>
                <c:pt idx="618">
                  <c:v>-97.988684477621462</c:v>
                </c:pt>
                <c:pt idx="619">
                  <c:v>-98.445757478725852</c:v>
                </c:pt>
                <c:pt idx="620">
                  <c:v>-98.892831226417599</c:v>
                </c:pt>
                <c:pt idx="621">
                  <c:v>-99.330282859602704</c:v>
                </c:pt>
                <c:pt idx="622">
                  <c:v>-99.758469479271696</c:v>
                </c:pt>
                <c:pt idx="623">
                  <c:v>-100.17772955199061</c:v>
                </c:pt>
                <c:pt idx="624">
                  <c:v>-100.58838419050576</c:v>
                </c:pt>
                <c:pt idx="625">
                  <c:v>-100.99073832426244</c:v>
                </c:pt>
                <c:pt idx="626">
                  <c:v>-101.38508177110795</c:v>
                </c:pt>
                <c:pt idx="627">
                  <c:v>-101.77169022012761</c:v>
                </c:pt>
                <c:pt idx="628">
                  <c:v>-102.15082613441119</c:v>
                </c:pt>
                <c:pt idx="629">
                  <c:v>-102.52273958154667</c:v>
                </c:pt>
                <c:pt idx="630">
                  <c:v>-102.88766899876558</c:v>
                </c:pt>
                <c:pt idx="631">
                  <c:v>-103.24584189889973</c:v>
                </c:pt>
                <c:pt idx="632">
                  <c:v>-103.59747552264041</c:v>
                </c:pt>
                <c:pt idx="633">
                  <c:v>-103.94277744200377</c:v>
                </c:pt>
                <c:pt idx="634">
                  <c:v>-104.28194611938829</c:v>
                </c:pt>
                <c:pt idx="635">
                  <c:v>-104.6151714261552</c:v>
                </c:pt>
                <c:pt idx="636">
                  <c:v>-104.94263512425975</c:v>
                </c:pt>
                <c:pt idx="637">
                  <c:v>-105.26451131410516</c:v>
                </c:pt>
                <c:pt idx="638">
                  <c:v>-105.58096685147503</c:v>
                </c:pt>
                <c:pt idx="639">
                  <c:v>-105.89216173612024</c:v>
                </c:pt>
                <c:pt idx="640">
                  <c:v>-106.1982494743263</c:v>
                </c:pt>
                <c:pt idx="641">
                  <c:v>-106.49937741756528</c:v>
                </c:pt>
                <c:pt idx="642">
                  <c:v>-106.79568707913856</c:v>
                </c:pt>
                <c:pt idx="643">
                  <c:v>-107.08731443053901</c:v>
                </c:pt>
                <c:pt idx="644">
                  <c:v>-107.37439017910292</c:v>
                </c:pt>
                <c:pt idx="645">
                  <c:v>-107.65704002837994</c:v>
                </c:pt>
                <c:pt idx="646">
                  <c:v>-107.93538492252196</c:v>
                </c:pt>
                <c:pt idx="647">
                  <c:v>-108.20954127587667</c:v>
                </c:pt>
                <c:pt idx="648">
                  <c:v>-108.47962118886926</c:v>
                </c:pt>
                <c:pt idx="649">
                  <c:v>-108.74573265116182</c:v>
                </c:pt>
                <c:pt idx="650">
                  <c:v>-109.00797973299687</c:v>
                </c:pt>
                <c:pt idx="651">
                  <c:v>-109.2664627655553</c:v>
                </c:pt>
                <c:pt idx="652">
                  <c:v>-109.52127851109032</c:v>
                </c:pt>
                <c:pt idx="653">
                  <c:v>-109.77252032353724</c:v>
                </c:pt>
                <c:pt idx="654">
                  <c:v>-110.02027830024235</c:v>
                </c:pt>
                <c:pt idx="655">
                  <c:v>-110.26463942540298</c:v>
                </c:pt>
                <c:pt idx="656">
                  <c:v>-110.50568770576425</c:v>
                </c:pt>
                <c:pt idx="657">
                  <c:v>-110.74350429907636</c:v>
                </c:pt>
                <c:pt idx="658">
                  <c:v>-110.97816763577667</c:v>
                </c:pt>
                <c:pt idx="659">
                  <c:v>-111.20975353432625</c:v>
                </c:pt>
                <c:pt idx="660">
                  <c:v>-111.43833531059884</c:v>
                </c:pt>
                <c:pt idx="661">
                  <c:v>-111.6639838816897</c:v>
                </c:pt>
                <c:pt idx="662">
                  <c:v>-111.88676786448616</c:v>
                </c:pt>
                <c:pt idx="663">
                  <c:v>-112.1067536693163</c:v>
                </c:pt>
                <c:pt idx="664">
                  <c:v>-112.32400558896991</c:v>
                </c:pt>
                <c:pt idx="665">
                  <c:v>-112.53858588336514</c:v>
                </c:pt>
                <c:pt idx="666">
                  <c:v>-112.75055486011513</c:v>
                </c:pt>
                <c:pt idx="667">
                  <c:v>-112.95997095123171</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77.825473637753618</c:v>
                </c:pt>
                <c:pt idx="1">
                  <c:v>76.000548910844984</c:v>
                </c:pt>
                <c:pt idx="2">
                  <c:v>74.03654285877127</c:v>
                </c:pt>
                <c:pt idx="3">
                  <c:v>72.248765240802399</c:v>
                </c:pt>
                <c:pt idx="4">
                  <c:v>70.683708228984045</c:v>
                </c:pt>
                <c:pt idx="5">
                  <c:v>69.317075035861308</c:v>
                </c:pt>
                <c:pt idx="6">
                  <c:v>68.114420789739569</c:v>
                </c:pt>
                <c:pt idx="7">
                  <c:v>67.045381584435646</c:v>
                </c:pt>
                <c:pt idx="8">
                  <c:v>66.085701388033641</c:v>
                </c:pt>
                <c:pt idx="9">
                  <c:v>65.216456956286336</c:v>
                </c:pt>
                <c:pt idx="10">
                  <c:v>59.34608408034012</c:v>
                </c:pt>
                <c:pt idx="11">
                  <c:v>55.852858677279457</c:v>
                </c:pt>
                <c:pt idx="12">
                  <c:v>53.364375968624174</c:v>
                </c:pt>
                <c:pt idx="13">
                  <c:v>51.431208488135873</c:v>
                </c:pt>
                <c:pt idx="14">
                  <c:v>49.850596684865145</c:v>
                </c:pt>
                <c:pt idx="15">
                  <c:v>48.513767222376487</c:v>
                </c:pt>
                <c:pt idx="16">
                  <c:v>47.355593309533944</c:v>
                </c:pt>
                <c:pt idx="17">
                  <c:v>46.333989133800856</c:v>
                </c:pt>
                <c:pt idx="18">
                  <c:v>45.420184114100152</c:v>
                </c:pt>
                <c:pt idx="19">
                  <c:v>39.414732184725231</c:v>
                </c:pt>
                <c:pt idx="20">
                  <c:v>35.915850516413187</c:v>
                </c:pt>
                <c:pt idx="21">
                  <c:v>33.448865787192737</c:v>
                </c:pt>
                <c:pt idx="22">
                  <c:v>31.551404132059041</c:v>
                </c:pt>
                <c:pt idx="23">
                  <c:v>30.01746093751628</c:v>
                </c:pt>
                <c:pt idx="24">
                  <c:v>28.737115462021489</c:v>
                </c:pt>
                <c:pt idx="25">
                  <c:v>27.644727283429273</c:v>
                </c:pt>
                <c:pt idx="26">
                  <c:v>26.697930922297619</c:v>
                </c:pt>
                <c:pt idx="27">
                  <c:v>25.867774467873758</c:v>
                </c:pt>
                <c:pt idx="28">
                  <c:v>22.899420063912657</c:v>
                </c:pt>
                <c:pt idx="29">
                  <c:v>21.160847658452873</c:v>
                </c:pt>
                <c:pt idx="30">
                  <c:v>20.179828635412662</c:v>
                </c:pt>
                <c:pt idx="31">
                  <c:v>19.743666494766945</c:v>
                </c:pt>
                <c:pt idx="32">
                  <c:v>19.741949887480235</c:v>
                </c:pt>
                <c:pt idx="33">
                  <c:v>20.118108858342495</c:v>
                </c:pt>
                <c:pt idx="34">
                  <c:v>20.852566244051264</c:v>
                </c:pt>
                <c:pt idx="35">
                  <c:v>21.958562878288475</c:v>
                </c:pt>
                <c:pt idx="36">
                  <c:v>23.483996151605169</c:v>
                </c:pt>
                <c:pt idx="37">
                  <c:v>25.507199960859886</c:v>
                </c:pt>
                <c:pt idx="38">
                  <c:v>28.049433510796369</c:v>
                </c:pt>
                <c:pt idx="39">
                  <c:v>30.470154248549388</c:v>
                </c:pt>
                <c:pt idx="40">
                  <c:v>30.392223162562445</c:v>
                </c:pt>
                <c:pt idx="41">
                  <c:v>27.729556000675007</c:v>
                </c:pt>
                <c:pt idx="42">
                  <c:v>24.869850256194294</c:v>
                </c:pt>
                <c:pt idx="43">
                  <c:v>22.480219563163175</c:v>
                </c:pt>
                <c:pt idx="44">
                  <c:v>20.524061383454143</c:v>
                </c:pt>
                <c:pt idx="45">
                  <c:v>18.895722408085284</c:v>
                </c:pt>
                <c:pt idx="46">
                  <c:v>17.512388478756755</c:v>
                </c:pt>
                <c:pt idx="47">
                  <c:v>16.315784076530147</c:v>
                </c:pt>
                <c:pt idx="48">
                  <c:v>15.264924497228986</c:v>
                </c:pt>
                <c:pt idx="49">
                  <c:v>14.330362347440921</c:v>
                </c:pt>
                <c:pt idx="50">
                  <c:v>13.490405133238268</c:v>
                </c:pt>
                <c:pt idx="51">
                  <c:v>12.728690340975717</c:v>
                </c:pt>
                <c:pt idx="52">
                  <c:v>12.032611574902569</c:v>
                </c:pt>
                <c:pt idx="53">
                  <c:v>11.392273776133008</c:v>
                </c:pt>
                <c:pt idx="54">
                  <c:v>10.799782430750337</c:v>
                </c:pt>
                <c:pt idx="55">
                  <c:v>10.248748388796523</c:v>
                </c:pt>
                <c:pt idx="56">
                  <c:v>9.7339352289178329</c:v>
                </c:pt>
                <c:pt idx="57">
                  <c:v>9.2510030669600702</c:v>
                </c:pt>
                <c:pt idx="58">
                  <c:v>8.7963190430918718</c:v>
                </c:pt>
                <c:pt idx="59">
                  <c:v>8.3668148350363332</c:v>
                </c:pt>
                <c:pt idx="60">
                  <c:v>7.9598779457333606</c:v>
                </c:pt>
                <c:pt idx="61">
                  <c:v>7.5732676531874619</c:v>
                </c:pt>
                <c:pt idx="62">
                  <c:v>7.2050492425142307</c:v>
                </c:pt>
                <c:pt idx="63">
                  <c:v>6.8535419784355938</c:v>
                </c:pt>
                <c:pt idx="64">
                  <c:v>6.5172775353833146</c:v>
                </c:pt>
                <c:pt idx="65">
                  <c:v>6.1949664788325931</c:v>
                </c:pt>
                <c:pt idx="66">
                  <c:v>5.8854710110522195</c:v>
                </c:pt>
                <c:pt idx="67">
                  <c:v>5.5877826386380338</c:v>
                </c:pt>
                <c:pt idx="68">
                  <c:v>5.3010037418236458</c:v>
                </c:pt>
                <c:pt idx="69">
                  <c:v>5.0243322627527922</c:v>
                </c:pt>
                <c:pt idx="70">
                  <c:v>4.7570489062465562</c:v>
                </c:pt>
                <c:pt idx="71">
                  <c:v>4.4985063790895889</c:v>
                </c:pt>
                <c:pt idx="72">
                  <c:v>4.2481202943733543</c:v>
                </c:pt>
                <c:pt idx="73">
                  <c:v>4.005361444384695</c:v>
                </c:pt>
                <c:pt idx="74">
                  <c:v>3.7697492049412364</c:v>
                </c:pt>
                <c:pt idx="75">
                  <c:v>3.5408458803143761</c:v>
                </c:pt>
                <c:pt idx="76">
                  <c:v>3.3182518341360865</c:v>
                </c:pt>
                <c:pt idx="77">
                  <c:v>3.1016012803137558</c:v>
                </c:pt>
                <c:pt idx="78">
                  <c:v>2.8905586307319071</c:v>
                </c:pt>
                <c:pt idx="79">
                  <c:v>2.6848153147185689</c:v>
                </c:pt>
                <c:pt idx="80">
                  <c:v>2.4840869998962152</c:v>
                </c:pt>
                <c:pt idx="81">
                  <c:v>2.2881111558822722</c:v>
                </c:pt>
                <c:pt idx="82">
                  <c:v>2.0966449119378532</c:v>
                </c:pt>
                <c:pt idx="83">
                  <c:v>1.9094631675380589</c:v>
                </c:pt>
                <c:pt idx="84">
                  <c:v>1.7263569213036987</c:v>
                </c:pt>
                <c:pt idx="85">
                  <c:v>1.5471317890697205</c:v>
                </c:pt>
                <c:pt idx="86">
                  <c:v>1.371606686286122</c:v>
                </c:pt>
                <c:pt idx="87">
                  <c:v>1.1996126536246956</c:v>
                </c:pt>
                <c:pt idx="88">
                  <c:v>1.0309918077369769</c:v>
                </c:pt>
                <c:pt idx="89">
                  <c:v>0.86559640168411567</c:v>
                </c:pt>
                <c:pt idx="90">
                  <c:v>0.70328798172620055</c:v>
                </c:pt>
                <c:pt idx="91">
                  <c:v>0.5439366289886236</c:v>
                </c:pt>
                <c:pt idx="92">
                  <c:v>0.38742027607248347</c:v>
                </c:pt>
                <c:pt idx="93">
                  <c:v>0.23362408999359779</c:v>
                </c:pt>
                <c:pt idx="94">
                  <c:v>8.2439913957260982E-2</c:v>
                </c:pt>
                <c:pt idx="95">
                  <c:v>-6.6234238564242653E-2</c:v>
                </c:pt>
                <c:pt idx="96">
                  <c:v>-0.21249464316130368</c:v>
                </c:pt>
                <c:pt idx="97">
                  <c:v>-0.35643228222638818</c:v>
                </c:pt>
                <c:pt idx="98">
                  <c:v>-0.49813322549586286</c:v>
                </c:pt>
                <c:pt idx="99">
                  <c:v>-0.6376789772600262</c:v>
                </c:pt>
                <c:pt idx="100">
                  <c:v>-0.77514679365049033</c:v>
                </c:pt>
                <c:pt idx="101">
                  <c:v>-0.91060997301791469</c:v>
                </c:pt>
                <c:pt idx="102">
                  <c:v>-1.0441381220678851</c:v>
                </c:pt>
                <c:pt idx="103">
                  <c:v>-1.175797400121994</c:v>
                </c:pt>
                <c:pt idx="104">
                  <c:v>-1.3056507436080598</c:v>
                </c:pt>
                <c:pt idx="105">
                  <c:v>-1.4337580726530734</c:v>
                </c:pt>
                <c:pt idx="106">
                  <c:v>-1.560176481450227</c:v>
                </c:pt>
                <c:pt idx="107">
                  <c:v>-1.6849604138935406</c:v>
                </c:pt>
                <c:pt idx="108">
                  <c:v>-1.8081618258169359</c:v>
                </c:pt>
                <c:pt idx="109">
                  <c:v>-1.9298303350362334</c:v>
                </c:pt>
                <c:pt idx="110">
                  <c:v>-2.050013360270261</c:v>
                </c:pt>
                <c:pt idx="111">
                  <c:v>-2.1687562499089612</c:v>
                </c:pt>
                <c:pt idx="112">
                  <c:v>-2.2861024015000515</c:v>
                </c:pt>
                <c:pt idx="113">
                  <c:v>-2.4020933727406635</c:v>
                </c:pt>
                <c:pt idx="114">
                  <c:v>-2.5167689846838592</c:v>
                </c:pt>
                <c:pt idx="115">
                  <c:v>-2.6301674178024932</c:v>
                </c:pt>
                <c:pt idx="116">
                  <c:v>-2.7423253014920945</c:v>
                </c:pt>
                <c:pt idx="117">
                  <c:v>-2.8532777975402324</c:v>
                </c:pt>
                <c:pt idx="118">
                  <c:v>-2.9630586780415062</c:v>
                </c:pt>
                <c:pt idx="119">
                  <c:v>-3.0717003981935038</c:v>
                </c:pt>
                <c:pt idx="120">
                  <c:v>-3.1792341643703126</c:v>
                </c:pt>
                <c:pt idx="121">
                  <c:v>-3.285689997834615</c:v>
                </c:pt>
                <c:pt idx="122">
                  <c:v>-3.3910967944182113</c:v>
                </c:pt>
                <c:pt idx="123">
                  <c:v>-3.4954823804717829</c:v>
                </c:pt>
                <c:pt idx="124">
                  <c:v>-3.5988735653593822</c:v>
                </c:pt>
                <c:pt idx="125">
                  <c:v>-3.7012961907495456</c:v>
                </c:pt>
                <c:pt idx="126">
                  <c:v>-3.802775176933924</c:v>
                </c:pt>
                <c:pt idx="127">
                  <c:v>-3.9033345663853791</c:v>
                </c:pt>
                <c:pt idx="128">
                  <c:v>-4.0029975647499061</c:v>
                </c:pt>
                <c:pt idx="129">
                  <c:v>-4.1017865794512076</c:v>
                </c:pt>
                <c:pt idx="130">
                  <c:v>-4.1997232560724642</c:v>
                </c:pt>
                <c:pt idx="131">
                  <c:v>-4.2968285126665959</c:v>
                </c:pt>
                <c:pt idx="132">
                  <c:v>-4.3931225721347991</c:v>
                </c:pt>
                <c:pt idx="133">
                  <c:v>-4.488624992802011</c:v>
                </c:pt>
                <c:pt idx="134">
                  <c:v>-4.5833546973083363</c:v>
                </c:pt>
                <c:pt idx="135">
                  <c:v>-4.6773299999262008</c:v>
                </c:pt>
                <c:pt idx="136">
                  <c:v>-4.7705686324051184</c:v>
                </c:pt>
                <c:pt idx="137">
                  <c:v>-4.8630877684379117</c:v>
                </c:pt>
                <c:pt idx="138">
                  <c:v>-4.954904046835817</c:v>
                </c:pt>
                <c:pt idx="139">
                  <c:v>-5.0460335934931608</c:v>
                </c:pt>
                <c:pt idx="140">
                  <c:v>-5.1364920422167035</c:v>
                </c:pt>
                <c:pt idx="141">
                  <c:v>-5.2262945544893613</c:v>
                </c:pt>
                <c:pt idx="142">
                  <c:v>-5.3154558382328947</c:v>
                </c:pt>
                <c:pt idx="143">
                  <c:v>-5.4039901656300318</c:v>
                </c:pt>
                <c:pt idx="144">
                  <c:v>-5.4919113900618406</c:v>
                </c:pt>
                <c:pt idx="145">
                  <c:v>-5.5792329622126893</c:v>
                </c:pt>
                <c:pt idx="146">
                  <c:v>-5.6659679453914658</c:v>
                </c:pt>
                <c:pt idx="147">
                  <c:v>-5.752129030114296</c:v>
                </c:pt>
                <c:pt idx="148">
                  <c:v>-5.8377285479913423</c:v>
                </c:pt>
                <c:pt idx="149">
                  <c:v>-5.9227784849570044</c:v>
                </c:pt>
                <c:pt idx="150">
                  <c:v>-6.0072904938806424</c:v>
                </c:pt>
                <c:pt idx="151">
                  <c:v>-6.091275906592398</c:v>
                </c:pt>
                <c:pt idx="152">
                  <c:v>-6.1747457453563035</c:v>
                </c:pt>
                <c:pt idx="153">
                  <c:v>-6.2577107338212121</c:v>
                </c:pt>
                <c:pt idx="154">
                  <c:v>-6.3401813074776578</c:v>
                </c:pt>
                <c:pt idx="155">
                  <c:v>-6.4221676236474732</c:v>
                </c:pt>
                <c:pt idx="156">
                  <c:v>-6.5036795710309816</c:v>
                </c:pt>
                <c:pt idx="157">
                  <c:v>-6.5847267788352069</c:v>
                </c:pt>
                <c:pt idx="158">
                  <c:v>-6.6653186255050914</c:v>
                </c:pt>
                <c:pt idx="159">
                  <c:v>-6.7454642470784059</c:v>
                </c:pt>
                <c:pt idx="160">
                  <c:v>-6.825172545183726</c:v>
                </c:pt>
                <c:pt idx="161">
                  <c:v>-6.9044521946997879</c:v>
                </c:pt>
                <c:pt idx="162">
                  <c:v>-6.9833116510933815</c:v>
                </c:pt>
                <c:pt idx="163">
                  <c:v>-7.0617591574519158</c:v>
                </c:pt>
                <c:pt idx="164">
                  <c:v>-7.1398027512260782</c:v>
                </c:pt>
                <c:pt idx="165">
                  <c:v>-7.2174502706966939</c:v>
                </c:pt>
                <c:pt idx="166">
                  <c:v>-7.2947093611796205</c:v>
                </c:pt>
                <c:pt idx="167">
                  <c:v>-7.3715874809811774</c:v>
                </c:pt>
                <c:pt idx="168">
                  <c:v>-7.4480919071164511</c:v>
                </c:pt>
                <c:pt idx="169">
                  <c:v>-7.5242297408016254</c:v>
                </c:pt>
                <c:pt idx="170">
                  <c:v>-7.600007912731277</c:v>
                </c:pt>
                <c:pt idx="171">
                  <c:v>-7.6754331881507358</c:v>
                </c:pt>
                <c:pt idx="172">
                  <c:v>-7.7505121717330638</c:v>
                </c:pt>
                <c:pt idx="173">
                  <c:v>-7.8252513122699501</c:v>
                </c:pt>
                <c:pt idx="174">
                  <c:v>-7.8996569071849043</c:v>
                </c:pt>
                <c:pt idx="175">
                  <c:v>-7.9737351068770561</c:v>
                </c:pt>
                <c:pt idx="176">
                  <c:v>-8.0474919189032263</c:v>
                </c:pt>
                <c:pt idx="177">
                  <c:v>-8.1209332120056104</c:v>
                </c:pt>
                <c:pt idx="178">
                  <c:v>-8.1940647199919709</c:v>
                </c:pt>
                <c:pt idx="179">
                  <c:v>-8.2668920454749895</c:v>
                </c:pt>
                <c:pt idx="180">
                  <c:v>-8.3394206634769539</c:v>
                </c:pt>
                <c:pt idx="181">
                  <c:v>-8.4116559249057339</c:v>
                </c:pt>
                <c:pt idx="182">
                  <c:v>-8.4836030599076722</c:v>
                </c:pt>
                <c:pt idx="183">
                  <c:v>-8.5552671811027245</c:v>
                </c:pt>
                <c:pt idx="184">
                  <c:v>-8.6266532867069259</c:v>
                </c:pt>
                <c:pt idx="185">
                  <c:v>-8.6977662635470043</c:v>
                </c:pt>
                <c:pt idx="186">
                  <c:v>-8.7686108899717734</c:v>
                </c:pt>
                <c:pt idx="187">
                  <c:v>-8.8391918386645454</c:v>
                </c:pt>
                <c:pt idx="188">
                  <c:v>-8.9095136793608614</c:v>
                </c:pt>
                <c:pt idx="189">
                  <c:v>-8.9795808814754245</c:v>
                </c:pt>
                <c:pt idx="190">
                  <c:v>-9.0493978166419691</c:v>
                </c:pt>
                <c:pt idx="191">
                  <c:v>-9.1189687611696648</c:v>
                </c:pt>
                <c:pt idx="192">
                  <c:v>-9.1882978984195134</c:v>
                </c:pt>
                <c:pt idx="193">
                  <c:v>-9.257389321103954</c:v>
                </c:pt>
                <c:pt idx="194">
                  <c:v>-9.3262470335127325</c:v>
                </c:pt>
                <c:pt idx="195">
                  <c:v>-9.3948749536681131</c:v>
                </c:pt>
                <c:pt idx="196">
                  <c:v>-9.4632769154120915</c:v>
                </c:pt>
                <c:pt idx="197">
                  <c:v>-9.531456670428442</c:v>
                </c:pt>
                <c:pt idx="198">
                  <c:v>-9.5994178902020835</c:v>
                </c:pt>
                <c:pt idx="199">
                  <c:v>-9.6671641679182638</c:v>
                </c:pt>
                <c:pt idx="200">
                  <c:v>-9.7346990203038377</c:v>
                </c:pt>
                <c:pt idx="201">
                  <c:v>-9.8020258894129242</c:v>
                </c:pt>
                <c:pt idx="202">
                  <c:v>-9.8691481443591069</c:v>
                </c:pt>
                <c:pt idx="203">
                  <c:v>-9.9360690829961555</c:v>
                </c:pt>
                <c:pt idx="204">
                  <c:v>-10.002791933549187</c:v>
                </c:pt>
                <c:pt idx="205">
                  <c:v>-10.069319856198318</c:v>
                </c:pt>
                <c:pt idx="206">
                  <c:v>-10.135655944616328</c:v>
                </c:pt>
                <c:pt idx="207">
                  <c:v>-10.201803227462257</c:v>
                </c:pt>
                <c:pt idx="208">
                  <c:v>-10.267764669832452</c:v>
                </c:pt>
                <c:pt idx="209">
                  <c:v>-10.333543174670691</c:v>
                </c:pt>
                <c:pt idx="210">
                  <c:v>-10.399141584138816</c:v>
                </c:pt>
                <c:pt idx="211">
                  <c:v>-10.464562680949358</c:v>
                </c:pt>
                <c:pt idx="212">
                  <c:v>-10.529809189661503</c:v>
                </c:pt>
                <c:pt idx="213">
                  <c:v>-10.594883777941728</c:v>
                </c:pt>
                <c:pt idx="214">
                  <c:v>-10.659789057790359</c:v>
                </c:pt>
                <c:pt idx="215">
                  <c:v>-10.724527586735231</c:v>
                </c:pt>
                <c:pt idx="216">
                  <c:v>-10.78910186899363</c:v>
                </c:pt>
                <c:pt idx="217">
                  <c:v>-10.853514356603668</c:v>
                </c:pt>
                <c:pt idx="218">
                  <c:v>-10.917767450526082</c:v>
                </c:pt>
                <c:pt idx="219">
                  <c:v>-10.98186350171745</c:v>
                </c:pt>
                <c:pt idx="220">
                  <c:v>-11.045804812175973</c:v>
                </c:pt>
                <c:pt idx="221">
                  <c:v>-11.109593635960524</c:v>
                </c:pt>
                <c:pt idx="222">
                  <c:v>-11.173232180184074</c:v>
                </c:pt>
                <c:pt idx="223">
                  <c:v>-11.236722605982219</c:v>
                </c:pt>
                <c:pt idx="224">
                  <c:v>-11.30006702945769</c:v>
                </c:pt>
                <c:pt idx="225">
                  <c:v>-11.363267522601648</c:v>
                </c:pt>
                <c:pt idx="226">
                  <c:v>-11.987782320653405</c:v>
                </c:pt>
                <c:pt idx="227">
                  <c:v>-12.599887779129022</c:v>
                </c:pt>
                <c:pt idx="228">
                  <c:v>-13.201050975033713</c:v>
                </c:pt>
                <c:pt idx="229">
                  <c:v>-13.792452631462481</c:v>
                </c:pt>
                <c:pt idx="230">
                  <c:v>-14.375037750300159</c:v>
                </c:pt>
                <c:pt idx="231">
                  <c:v>-14.949557288179399</c:v>
                </c:pt>
                <c:pt idx="232">
                  <c:v>-15.516602819699351</c:v>
                </c:pt>
                <c:pt idx="233">
                  <c:v>-16.076635574669087</c:v>
                </c:pt>
                <c:pt idx="234">
                  <c:v>-16.630010861927154</c:v>
                </c:pt>
                <c:pt idx="235">
                  <c:v>-17.176998639996796</c:v>
                </c:pt>
                <c:pt idx="236">
                  <c:v>-17.717800823809196</c:v>
                </c:pt>
                <c:pt idx="237">
                  <c:v>-18.252565799579461</c:v>
                </c:pt>
                <c:pt idx="238">
                  <c:v>-18.78140053813647</c:v>
                </c:pt>
                <c:pt idx="239">
                  <c:v>-19.304380638116726</c:v>
                </c:pt>
                <c:pt idx="240">
                  <c:v>-19.8215585861468</c:v>
                </c:pt>
                <c:pt idx="241">
                  <c:v>-20.332970486063637</c:v>
                </c:pt>
                <c:pt idx="242">
                  <c:v>-20.838641479956554</c:v>
                </c:pt>
                <c:pt idx="243">
                  <c:v>-21.338590058300738</c:v>
                </c:pt>
                <c:pt idx="244">
                  <c:v>-21.832831433515743</c:v>
                </c:pt>
                <c:pt idx="245">
                  <c:v>-22.321380130306153</c:v>
                </c:pt>
                <c:pt idx="246">
                  <c:v>-22.804251926836617</c:v>
                </c:pt>
                <c:pt idx="247">
                  <c:v>-23.281465263051526</c:v>
                </c:pt>
                <c:pt idx="248">
                  <c:v>-23.753042216242509</c:v>
                </c:pt>
                <c:pt idx="249">
                  <c:v>-24.21900912929129</c:v>
                </c:pt>
                <c:pt idx="250">
                  <c:v>-24.679396963859158</c:v>
                </c:pt>
                <c:pt idx="251">
                  <c:v>-25.134241439123244</c:v>
                </c:pt>
                <c:pt idx="252">
                  <c:v>-25.583583006414386</c:v>
                </c:pt>
                <c:pt idx="253">
                  <c:v>-26.027466701208549</c:v>
                </c:pt>
                <c:pt idx="254">
                  <c:v>-26.465941906264014</c:v>
                </c:pt>
                <c:pt idx="255">
                  <c:v>-26.899062053167295</c:v>
                </c:pt>
                <c:pt idx="256">
                  <c:v>-27.326884284036772</c:v>
                </c:pt>
                <c:pt idx="257">
                  <c:v>-27.749469090515802</c:v>
                </c:pt>
                <c:pt idx="258">
                  <c:v>-28.166879943355369</c:v>
                </c:pt>
                <c:pt idx="259">
                  <c:v>-28.579182922732848</c:v>
                </c:pt>
                <c:pt idx="260">
                  <c:v>-28.986446356880666</c:v>
                </c:pt>
                <c:pt idx="261">
                  <c:v>-29.388740474518634</c:v>
                </c:pt>
                <c:pt idx="262">
                  <c:v>-29.786137074917825</c:v>
                </c:pt>
                <c:pt idx="263">
                  <c:v>-30.178709218103265</c:v>
                </c:pt>
                <c:pt idx="264">
                  <c:v>-30.566530936668297</c:v>
                </c:pt>
                <c:pt idx="265">
                  <c:v>-30.949676969873188</c:v>
                </c:pt>
                <c:pt idx="266">
                  <c:v>-31.328222520092485</c:v>
                </c:pt>
                <c:pt idx="267">
                  <c:v>-31.702243031221485</c:v>
                </c:pt>
                <c:pt idx="268">
                  <c:v>-32.071813988322873</c:v>
                </c:pt>
                <c:pt idx="269">
                  <c:v>-32.437010737563853</c:v>
                </c:pt>
                <c:pt idx="270">
                  <c:v>-32.797908325341169</c:v>
                </c:pt>
                <c:pt idx="271">
                  <c:v>-33.154581355399493</c:v>
                </c:pt>
                <c:pt idx="272">
                  <c:v>-33.507103862703339</c:v>
                </c:pt>
                <c:pt idx="273">
                  <c:v>-33.855549202812988</c:v>
                </c:pt>
                <c:pt idx="274">
                  <c:v>-34.199989955531493</c:v>
                </c:pt>
                <c:pt idx="275">
                  <c:v>-34.540497841626056</c:v>
                </c:pt>
                <c:pt idx="276">
                  <c:v>-34.877143651476274</c:v>
                </c:pt>
                <c:pt idx="277">
                  <c:v>-35.209997184560478</c:v>
                </c:pt>
                <c:pt idx="278">
                  <c:v>-35.53912719875531</c:v>
                </c:pt>
                <c:pt idx="279">
                  <c:v>-35.864601368490675</c:v>
                </c:pt>
                <c:pt idx="280">
                  <c:v>-36.186486250869848</c:v>
                </c:pt>
                <c:pt idx="281">
                  <c:v>-36.504847258931761</c:v>
                </c:pt>
                <c:pt idx="282">
                  <c:v>-36.819748641297487</c:v>
                </c:pt>
                <c:pt idx="283">
                  <c:v>-37.13125346750612</c:v>
                </c:pt>
                <c:pt idx="284">
                  <c:v>-37.439423618404383</c:v>
                </c:pt>
                <c:pt idx="285">
                  <c:v>-37.744319781011072</c:v>
                </c:pt>
                <c:pt idx="286">
                  <c:v>-38.046001447329722</c:v>
                </c:pt>
                <c:pt idx="287">
                  <c:v>-38.344526916632375</c:v>
                </c:pt>
                <c:pt idx="288">
                  <c:v>-38.639953300782395</c:v>
                </c:pt>
                <c:pt idx="289">
                  <c:v>-38.932336532206612</c:v>
                </c:pt>
                <c:pt idx="290">
                  <c:v>-39.221731374165358</c:v>
                </c:pt>
                <c:pt idx="291">
                  <c:v>-39.508191433004598</c:v>
                </c:pt>
                <c:pt idx="292">
                  <c:v>-39.791769172106477</c:v>
                </c:pt>
                <c:pt idx="293">
                  <c:v>-40.072515927284172</c:v>
                </c:pt>
                <c:pt idx="294">
                  <c:v>-40.350481923393808</c:v>
                </c:pt>
                <c:pt idx="295">
                  <c:v>-40.625716291960444</c:v>
                </c:pt>
                <c:pt idx="296">
                  <c:v>-40.898267089637237</c:v>
                </c:pt>
                <c:pt idx="297">
                  <c:v>-41.16818131733703</c:v>
                </c:pt>
                <c:pt idx="298">
                  <c:v>-41.43550493989337</c:v>
                </c:pt>
                <c:pt idx="299">
                  <c:v>-41.700282906124514</c:v>
                </c:pt>
                <c:pt idx="300">
                  <c:v>-41.962559169188658</c:v>
                </c:pt>
                <c:pt idx="301">
                  <c:v>-42.222376707131517</c:v>
                </c:pt>
                <c:pt idx="302">
                  <c:v>-42.479777543539825</c:v>
                </c:pt>
                <c:pt idx="303">
                  <c:v>-42.734802768224469</c:v>
                </c:pt>
                <c:pt idx="304">
                  <c:v>-42.987492557866901</c:v>
                </c:pt>
                <c:pt idx="305">
                  <c:v>-43.23788619657094</c:v>
                </c:pt>
                <c:pt idx="306">
                  <c:v>-43.486022096269593</c:v>
                </c:pt>
                <c:pt idx="307">
                  <c:v>-43.731937816943841</c:v>
                </c:pt>
                <c:pt idx="308">
                  <c:v>-43.975670086616049</c:v>
                </c:pt>
                <c:pt idx="309">
                  <c:v>-44.217254821086165</c:v>
                </c:pt>
                <c:pt idx="310">
                  <c:v>-44.456727143384178</c:v>
                </c:pt>
                <c:pt idx="311">
                  <c:v>-44.69412140291611</c:v>
                </c:pt>
                <c:pt idx="312">
                  <c:v>-44.929471194285057</c:v>
                </c:pt>
                <c:pt idx="313">
                  <c:v>-45.162809375771971</c:v>
                </c:pt>
                <c:pt idx="314">
                  <c:v>-45.394168087464223</c:v>
                </c:pt>
                <c:pt idx="315">
                  <c:v>-45.623578769022195</c:v>
                </c:pt>
                <c:pt idx="316">
                  <c:v>-45.851072177077192</c:v>
                </c:pt>
                <c:pt idx="317">
                  <c:v>-46.076678402255205</c:v>
                </c:pt>
                <c:pt idx="318">
                  <c:v>-46.300426885823853</c:v>
                </c:pt>
                <c:pt idx="319">
                  <c:v>-46.522346435960529</c:v>
                </c:pt>
                <c:pt idx="320">
                  <c:v>-46.742465243641902</c:v>
                </c:pt>
                <c:pt idx="321">
                  <c:v>-46.960810898155643</c:v>
                </c:pt>
                <c:pt idx="322">
                  <c:v>-47.177410402236745</c:v>
                </c:pt>
                <c:pt idx="323">
                  <c:v>-47.392290186831225</c:v>
                </c:pt>
                <c:pt idx="324">
                  <c:v>-47.605476125491393</c:v>
                </c:pt>
                <c:pt idx="325">
                  <c:v>-47.816993548406884</c:v>
                </c:pt>
                <c:pt idx="326">
                  <c:v>-48.026867256076869</c:v>
                </c:pt>
                <c:pt idx="327">
                  <c:v>-48.235121532628888</c:v>
                </c:pt>
                <c:pt idx="328">
                  <c:v>-48.441780158790174</c:v>
                </c:pt>
                <c:pt idx="329">
                  <c:v>-48.646866424518159</c:v>
                </c:pt>
                <c:pt idx="330">
                  <c:v>-48.850403141296333</c:v>
                </c:pt>
                <c:pt idx="331">
                  <c:v>-49.052412654102596</c:v>
                </c:pt>
                <c:pt idx="332">
                  <c:v>-49.252916853056846</c:v>
                </c:pt>
                <c:pt idx="333">
                  <c:v>-49.45193718475501</c:v>
                </c:pt>
                <c:pt idx="334">
                  <c:v>-49.649494663296636</c:v>
                </c:pt>
                <c:pt idx="335">
                  <c:v>-49.845609881013182</c:v>
                </c:pt>
                <c:pt idx="336">
                  <c:v>-50.040303018904424</c:v>
                </c:pt>
                <c:pt idx="337">
                  <c:v>-50.233593856789881</c:v>
                </c:pt>
                <c:pt idx="338">
                  <c:v>-50.425501783182789</c:v>
                </c:pt>
                <c:pt idx="339">
                  <c:v>-50.616045804893375</c:v>
                </c:pt>
                <c:pt idx="340">
                  <c:v>-50.805244556368869</c:v>
                </c:pt>
                <c:pt idx="341">
                  <c:v>-50.993116308776855</c:v>
                </c:pt>
                <c:pt idx="342">
                  <c:v>-51.179678978839142</c:v>
                </c:pt>
                <c:pt idx="343">
                  <c:v>-51.364950137422682</c:v>
                </c:pt>
                <c:pt idx="344">
                  <c:v>-51.548947017894385</c:v>
                </c:pt>
                <c:pt idx="345">
                  <c:v>-51.731686524246257</c:v>
                </c:pt>
                <c:pt idx="346">
                  <c:v>-51.913185238997187</c:v>
                </c:pt>
                <c:pt idx="347">
                  <c:v>-52.093459430877886</c:v>
                </c:pt>
                <c:pt idx="348">
                  <c:v>-52.272525062304922</c:v>
                </c:pt>
                <c:pt idx="349">
                  <c:v>-52.45039779664986</c:v>
                </c:pt>
                <c:pt idx="350">
                  <c:v>-52.62709300530954</c:v>
                </c:pt>
                <c:pt idx="351">
                  <c:v>-52.802625774582914</c:v>
                </c:pt>
                <c:pt idx="352">
                  <c:v>-52.977010912360342</c:v>
                </c:pt>
                <c:pt idx="353">
                  <c:v>-53.150262954630527</c:v>
                </c:pt>
                <c:pt idx="354">
                  <c:v>-53.322396171810524</c:v>
                </c:pt>
                <c:pt idx="355">
                  <c:v>-53.493424574903969</c:v>
                </c:pt>
                <c:pt idx="356">
                  <c:v>-53.663361921492395</c:v>
                </c:pt>
                <c:pt idx="357">
                  <c:v>-53.832221721564736</c:v>
                </c:pt>
                <c:pt idx="358">
                  <c:v>-54.000017243189674</c:v>
                </c:pt>
                <c:pt idx="359">
                  <c:v>-54.16676151803523</c:v>
                </c:pt>
                <c:pt idx="360">
                  <c:v>-54.332467346740493</c:v>
                </c:pt>
                <c:pt idx="361">
                  <c:v>-54.497147304143439</c:v>
                </c:pt>
                <c:pt idx="362">
                  <c:v>-54.660813744369293</c:v>
                </c:pt>
                <c:pt idx="363">
                  <c:v>-54.823478805783509</c:v>
                </c:pt>
                <c:pt idx="364">
                  <c:v>-54.985154415813156</c:v>
                </c:pt>
                <c:pt idx="365">
                  <c:v>-55.145852295640985</c:v>
                </c:pt>
                <c:pt idx="366">
                  <c:v>-55.305583964775352</c:v>
                </c:pt>
                <c:pt idx="367">
                  <c:v>-55.464360745500151</c:v>
                </c:pt>
                <c:pt idx="368">
                  <c:v>-55.62219376720801</c:v>
                </c:pt>
                <c:pt idx="369">
                  <c:v>-55.77909397062021</c:v>
                </c:pt>
                <c:pt idx="370">
                  <c:v>-55.935072111896645</c:v>
                </c:pt>
                <c:pt idx="371">
                  <c:v>-56.090138766639079</c:v>
                </c:pt>
                <c:pt idx="372">
                  <c:v>-56.244304333790758</c:v>
                </c:pt>
                <c:pt idx="373">
                  <c:v>-56.397579039435456</c:v>
                </c:pt>
                <c:pt idx="374">
                  <c:v>-56.549972940498719</c:v>
                </c:pt>
                <c:pt idx="375">
                  <c:v>-56.701495928354475</c:v>
                </c:pt>
                <c:pt idx="376">
                  <c:v>-56.852157732339357</c:v>
                </c:pt>
                <c:pt idx="377">
                  <c:v>-57.001967923177652</c:v>
                </c:pt>
                <c:pt idx="378">
                  <c:v>-57.150935916319469</c:v>
                </c:pt>
                <c:pt idx="379">
                  <c:v>-57.299070975194468</c:v>
                </c:pt>
                <c:pt idx="380">
                  <c:v>-57.446382214383689</c:v>
                </c:pt>
                <c:pt idx="381">
                  <c:v>-57.59287860271187</c:v>
                </c:pt>
                <c:pt idx="382">
                  <c:v>-57.738568966262314</c:v>
                </c:pt>
                <c:pt idx="383">
                  <c:v>-57.883461991316807</c:v>
                </c:pt>
                <c:pt idx="384">
                  <c:v>-58.027566227222529</c:v>
                </c:pt>
                <c:pt idx="385">
                  <c:v>-58.170890089188021</c:v>
                </c:pt>
                <c:pt idx="386">
                  <c:v>-58.313441861010361</c:v>
                </c:pt>
                <c:pt idx="387">
                  <c:v>-58.455229697735341</c:v>
                </c:pt>
                <c:pt idx="388">
                  <c:v>-58.59626162825262</c:v>
                </c:pt>
                <c:pt idx="389">
                  <c:v>-58.736545557827611</c:v>
                </c:pt>
                <c:pt idx="390">
                  <c:v>-58.87608927057201</c:v>
                </c:pt>
                <c:pt idx="391">
                  <c:v>-59.014900431854471</c:v>
                </c:pt>
                <c:pt idx="392">
                  <c:v>-59.152986590653249</c:v>
                </c:pt>
                <c:pt idx="393">
                  <c:v>-59.290355181852455</c:v>
                </c:pt>
                <c:pt idx="394">
                  <c:v>-59.427013528483286</c:v>
                </c:pt>
                <c:pt idx="395">
                  <c:v>-59.562968843911939</c:v>
                </c:pt>
                <c:pt idx="396">
                  <c:v>-59.698228233975627</c:v>
                </c:pt>
                <c:pt idx="397">
                  <c:v>-59.832798699067993</c:v>
                </c:pt>
                <c:pt idx="398">
                  <c:v>-59.966687136175629</c:v>
                </c:pt>
                <c:pt idx="399">
                  <c:v>-60.099900340866547</c:v>
                </c:pt>
                <c:pt idx="400">
                  <c:v>-60.232445009232343</c:v>
                </c:pt>
                <c:pt idx="401">
                  <c:v>-60.36432773978521</c:v>
                </c:pt>
                <c:pt idx="402">
                  <c:v>-60.495555035310716</c:v>
                </c:pt>
                <c:pt idx="403">
                  <c:v>-60.626133304677992</c:v>
                </c:pt>
                <c:pt idx="404">
                  <c:v>-60.756068864608174</c:v>
                </c:pt>
                <c:pt idx="405">
                  <c:v>-60.885367941402244</c:v>
                </c:pt>
                <c:pt idx="406">
                  <c:v>-61.014036672629501</c:v>
                </c:pt>
                <c:pt idx="407">
                  <c:v>-61.142081108777575</c:v>
                </c:pt>
                <c:pt idx="408">
                  <c:v>-61.269507214864944</c:v>
                </c:pt>
                <c:pt idx="409">
                  <c:v>-61.39632087201722</c:v>
                </c:pt>
                <c:pt idx="410">
                  <c:v>-61.522527879007811</c:v>
                </c:pt>
                <c:pt idx="411">
                  <c:v>-61.648133953764116</c:v>
                </c:pt>
                <c:pt idx="412">
                  <c:v>-61.773144734840109</c:v>
                </c:pt>
                <c:pt idx="413">
                  <c:v>-61.897565782856184</c:v>
                </c:pt>
                <c:pt idx="414">
                  <c:v>-62.021402581906983</c:v>
                </c:pt>
                <c:pt idx="415">
                  <c:v>-62.144660540938325</c:v>
                </c:pt>
                <c:pt idx="416">
                  <c:v>-62.267344995093723</c:v>
                </c:pt>
                <c:pt idx="417">
                  <c:v>-62.389461207031438</c:v>
                </c:pt>
                <c:pt idx="418">
                  <c:v>-62.511014368212834</c:v>
                </c:pt>
                <c:pt idx="419">
                  <c:v>-62.632009600162689</c:v>
                </c:pt>
                <c:pt idx="420">
                  <c:v>-62.752451955702149</c:v>
                </c:pt>
                <c:pt idx="421">
                  <c:v>-62.872346420155253</c:v>
                </c:pt>
                <c:pt idx="422">
                  <c:v>-62.991697912529261</c:v>
                </c:pt>
                <c:pt idx="423">
                  <c:v>-63.110511286670025</c:v>
                </c:pt>
                <c:pt idx="424">
                  <c:v>-63.228791332392369</c:v>
                </c:pt>
                <c:pt idx="425">
                  <c:v>-63.34654277658673</c:v>
                </c:pt>
                <c:pt idx="426">
                  <c:v>-63.4637702843022</c:v>
                </c:pt>
                <c:pt idx="427">
                  <c:v>-63.580478459806756</c:v>
                </c:pt>
                <c:pt idx="428">
                  <c:v>-63.696671847625254</c:v>
                </c:pt>
                <c:pt idx="429">
                  <c:v>-63.812354933555568</c:v>
                </c:pt>
                <c:pt idx="430">
                  <c:v>-63.927532145663704</c:v>
                </c:pt>
                <c:pt idx="431">
                  <c:v>-64.042207855258113</c:v>
                </c:pt>
                <c:pt idx="432">
                  <c:v>-64.156386377843788</c:v>
                </c:pt>
                <c:pt idx="433">
                  <c:v>-64.270071974056791</c:v>
                </c:pt>
                <c:pt idx="434">
                  <c:v>-64.383268850579526</c:v>
                </c:pt>
                <c:pt idx="435">
                  <c:v>-64.495981161037236</c:v>
                </c:pt>
                <c:pt idx="436">
                  <c:v>-64.608213006876213</c:v>
                </c:pt>
                <c:pt idx="437">
                  <c:v>-64.719968438224228</c:v>
                </c:pt>
                <c:pt idx="438">
                  <c:v>-64.831251454733405</c:v>
                </c:pt>
                <c:pt idx="439">
                  <c:v>-64.942066006406208</c:v>
                </c:pt>
                <c:pt idx="440">
                  <c:v>-65.052415994404697</c:v>
                </c:pt>
                <c:pt idx="441">
                  <c:v>-65.162305271843735</c:v>
                </c:pt>
                <c:pt idx="442">
                  <c:v>-65.271737644568162</c:v>
                </c:pt>
                <c:pt idx="443">
                  <c:v>-65.380716871914629</c:v>
                </c:pt>
                <c:pt idx="444">
                  <c:v>-65.489246667458403</c:v>
                </c:pt>
                <c:pt idx="445">
                  <c:v>-65.597330699745186</c:v>
                </c:pt>
                <c:pt idx="446">
                  <c:v>-65.704972593008804</c:v>
                </c:pt>
                <c:pt idx="447">
                  <c:v>-65.812175927874648</c:v>
                </c:pt>
                <c:pt idx="448">
                  <c:v>-65.918944242049406</c:v>
                </c:pt>
                <c:pt idx="449">
                  <c:v>-66.025281030997419</c:v>
                </c:pt>
                <c:pt idx="450">
                  <c:v>-66.13118974860393</c:v>
                </c:pt>
                <c:pt idx="451">
                  <c:v>-66.236673807825355</c:v>
                </c:pt>
                <c:pt idx="452">
                  <c:v>-66.34173658132724</c:v>
                </c:pt>
                <c:pt idx="453">
                  <c:v>-66.446381402109836</c:v>
                </c:pt>
                <c:pt idx="454">
                  <c:v>-66.550611564121766</c:v>
                </c:pt>
                <c:pt idx="455">
                  <c:v>-66.65443032286197</c:v>
                </c:pt>
                <c:pt idx="456">
                  <c:v>-66.757840895970247</c:v>
                </c:pt>
                <c:pt idx="457">
                  <c:v>-66.860846463806581</c:v>
                </c:pt>
                <c:pt idx="458">
                  <c:v>-66.963450170019598</c:v>
                </c:pt>
                <c:pt idx="459">
                  <c:v>-67.065655122104275</c:v>
                </c:pt>
                <c:pt idx="460">
                  <c:v>-67.167464391949267</c:v>
                </c:pt>
                <c:pt idx="461">
                  <c:v>-67.268881016373967</c:v>
                </c:pt>
                <c:pt idx="462">
                  <c:v>-67.369907997655616</c:v>
                </c:pt>
                <c:pt idx="463">
                  <c:v>-67.470548304046631</c:v>
                </c:pt>
                <c:pt idx="464">
                  <c:v>-67.570804870282359</c:v>
                </c:pt>
                <c:pt idx="465">
                  <c:v>-67.670680598079514</c:v>
                </c:pt>
                <c:pt idx="466">
                  <c:v>-67.770178356625422</c:v>
                </c:pt>
                <c:pt idx="467">
                  <c:v>-67.869300983058437</c:v>
                </c:pt>
                <c:pt idx="468">
                  <c:v>-67.968051282939456</c:v>
                </c:pt>
                <c:pt idx="469">
                  <c:v>-68.066432030714964</c:v>
                </c:pt>
                <c:pt idx="470">
                  <c:v>-68.164445970171656</c:v>
                </c:pt>
                <c:pt idx="471">
                  <c:v>-68.262095814882912</c:v>
                </c:pt>
                <c:pt idx="472">
                  <c:v>-68.359384248647203</c:v>
                </c:pt>
                <c:pt idx="473">
                  <c:v>-68.456313925918664</c:v>
                </c:pt>
                <c:pt idx="474">
                  <c:v>-68.552887472229955</c:v>
                </c:pt>
                <c:pt idx="475">
                  <c:v>-68.649107484607597</c:v>
                </c:pt>
                <c:pt idx="476">
                  <c:v>-68.744976531980029</c:v>
                </c:pt>
                <c:pt idx="477">
                  <c:v>-68.840497155578277</c:v>
                </c:pt>
                <c:pt idx="478">
                  <c:v>-68.935671869329809</c:v>
                </c:pt>
                <c:pt idx="479">
                  <c:v>-69.030503160245203</c:v>
                </c:pt>
                <c:pt idx="480">
                  <c:v>-69.124993488798225</c:v>
                </c:pt>
                <c:pt idx="481">
                  <c:v>-69.219145289299277</c:v>
                </c:pt>
                <c:pt idx="482">
                  <c:v>-69.312960970262253</c:v>
                </c:pt>
                <c:pt idx="483">
                  <c:v>-69.40644291476508</c:v>
                </c:pt>
                <c:pt idx="484">
                  <c:v>-69.499593480804137</c:v>
                </c:pt>
                <c:pt idx="485">
                  <c:v>-69.592415001642337</c:v>
                </c:pt>
                <c:pt idx="486">
                  <c:v>-69.684909786151508</c:v>
                </c:pt>
                <c:pt idx="487">
                  <c:v>-69.777080119148692</c:v>
                </c:pt>
                <c:pt idx="488">
                  <c:v>-69.868928261726865</c:v>
                </c:pt>
                <c:pt idx="489">
                  <c:v>-69.96045645157993</c:v>
                </c:pt>
                <c:pt idx="490">
                  <c:v>-70.051666903322314</c:v>
                </c:pt>
                <c:pt idx="491">
                  <c:v>-70.142561808803009</c:v>
                </c:pt>
                <c:pt idx="492">
                  <c:v>-70.233143337414504</c:v>
                </c:pt>
                <c:pt idx="493">
                  <c:v>-70.32341363639641</c:v>
                </c:pt>
                <c:pt idx="494">
                  <c:v>-70.413374831134078</c:v>
                </c:pt>
                <c:pt idx="495">
                  <c:v>-70.503029025452165</c:v>
                </c:pt>
                <c:pt idx="496">
                  <c:v>-70.592378301903423</c:v>
                </c:pt>
                <c:pt idx="497">
                  <c:v>-70.681424722052554</c:v>
                </c:pt>
                <c:pt idx="498">
                  <c:v>-70.770170326755633</c:v>
                </c:pt>
                <c:pt idx="499">
                  <c:v>-70.858617136434532</c:v>
                </c:pt>
                <c:pt idx="500">
                  <c:v>-70.946767151347288</c:v>
                </c:pt>
                <c:pt idx="501">
                  <c:v>-71.034622351853727</c:v>
                </c:pt>
                <c:pt idx="502">
                  <c:v>-71.122184698676861</c:v>
                </c:pt>
                <c:pt idx="503">
                  <c:v>-71.209456133160089</c:v>
                </c:pt>
                <c:pt idx="504">
                  <c:v>-71.296438577520135</c:v>
                </c:pt>
                <c:pt idx="505">
                  <c:v>-71.383133935095927</c:v>
                </c:pt>
                <c:pt idx="506">
                  <c:v>-71.469544090593558</c:v>
                </c:pt>
                <c:pt idx="507">
                  <c:v>-71.555670910327109</c:v>
                </c:pt>
                <c:pt idx="508">
                  <c:v>-71.641516242455893</c:v>
                </c:pt>
                <c:pt idx="509">
                  <c:v>-71.727081917217603</c:v>
                </c:pt>
                <c:pt idx="510">
                  <c:v>-71.812369747158073</c:v>
                </c:pt>
                <c:pt idx="511">
                  <c:v>-71.897381527357084</c:v>
                </c:pt>
                <c:pt idx="512">
                  <c:v>-71.982119035650825</c:v>
                </c:pt>
                <c:pt idx="513">
                  <c:v>-72.066584032850741</c:v>
                </c:pt>
                <c:pt idx="514">
                  <c:v>-72.150778262958994</c:v>
                </c:pt>
                <c:pt idx="515">
                  <c:v>-72.234703453380476</c:v>
                </c:pt>
                <c:pt idx="516">
                  <c:v>-72.318361315131554</c:v>
                </c:pt>
                <c:pt idx="517">
                  <c:v>-72.401753543045572</c:v>
                </c:pt>
                <c:pt idx="518">
                  <c:v>-72.4848818159752</c:v>
                </c:pt>
                <c:pt idx="519">
                  <c:v>-72.567747796991497</c:v>
                </c:pt>
                <c:pt idx="520">
                  <c:v>-72.650353133580069</c:v>
                </c:pt>
                <c:pt idx="521">
                  <c:v>-72.732699457834102</c:v>
                </c:pt>
                <c:pt idx="522">
                  <c:v>-72.814788386644523</c:v>
                </c:pt>
                <c:pt idx="523">
                  <c:v>-72.896621521887127</c:v>
                </c:pt>
                <c:pt idx="524">
                  <c:v>-72.978200450606977</c:v>
                </c:pt>
                <c:pt idx="525">
                  <c:v>-73.059526745199875</c:v>
                </c:pt>
                <c:pt idx="526">
                  <c:v>-73.140601963591209</c:v>
                </c:pt>
                <c:pt idx="527">
                  <c:v>-73.221427649412021</c:v>
                </c:pt>
                <c:pt idx="528">
                  <c:v>-73.302005332172357</c:v>
                </c:pt>
                <c:pt idx="529">
                  <c:v>-73.382336527432173</c:v>
                </c:pt>
                <c:pt idx="530">
                  <c:v>-73.462422736969529</c:v>
                </c:pt>
                <c:pt idx="531">
                  <c:v>-73.542265448946324</c:v>
                </c:pt>
                <c:pt idx="532">
                  <c:v>-73.621866138071638</c:v>
                </c:pt>
                <c:pt idx="533">
                  <c:v>-73.701226265762443</c:v>
                </c:pt>
                <c:pt idx="534">
                  <c:v>-73.780347280302138</c:v>
                </c:pt>
                <c:pt idx="535">
                  <c:v>-73.859230616996697</c:v>
                </c:pt>
                <c:pt idx="536">
                  <c:v>-73.937877698328364</c:v>
                </c:pt>
                <c:pt idx="537">
                  <c:v>-74.016289934107292</c:v>
                </c:pt>
                <c:pt idx="538">
                  <c:v>-74.094468721620856</c:v>
                </c:pt>
                <c:pt idx="539">
                  <c:v>-74.172415445780786</c:v>
                </c:pt>
                <c:pt idx="540">
                  <c:v>-74.250131479268177</c:v>
                </c:pt>
                <c:pt idx="541">
                  <c:v>-74.327618182676375</c:v>
                </c:pt>
                <c:pt idx="542">
                  <c:v>-74.404876904651772</c:v>
                </c:pt>
                <c:pt idx="543">
                  <c:v>-74.481908982032706</c:v>
                </c:pt>
                <c:pt idx="544">
                  <c:v>-74.558715739986098</c:v>
                </c:pt>
                <c:pt idx="545">
                  <c:v>-74.635298492142411</c:v>
                </c:pt>
                <c:pt idx="546">
                  <c:v>-74.711658540728422</c:v>
                </c:pt>
                <c:pt idx="547">
                  <c:v>-74.787797176698319</c:v>
                </c:pt>
                <c:pt idx="548">
                  <c:v>-74.863715679862764</c:v>
                </c:pt>
                <c:pt idx="549">
                  <c:v>-74.939415319016192</c:v>
                </c:pt>
                <c:pt idx="550">
                  <c:v>-75.014897352062306</c:v>
                </c:pt>
                <c:pt idx="551">
                  <c:v>-75.090163026137787</c:v>
                </c:pt>
                <c:pt idx="552">
                  <c:v>-75.165213577734292</c:v>
                </c:pt>
                <c:pt idx="553">
                  <c:v>-75.240050232818604</c:v>
                </c:pt>
                <c:pt idx="554">
                  <c:v>-75.314674206951352</c:v>
                </c:pt>
                <c:pt idx="555">
                  <c:v>-75.389086705403813</c:v>
                </c:pt>
                <c:pt idx="556">
                  <c:v>-75.463288923273225</c:v>
                </c:pt>
                <c:pt idx="557">
                  <c:v>-75.537282045596442</c:v>
                </c:pt>
                <c:pt idx="558">
                  <c:v>-75.611067247462088</c:v>
                </c:pt>
                <c:pt idx="559">
                  <c:v>-75.684645694121073</c:v>
                </c:pt>
                <c:pt idx="560">
                  <c:v>-75.758018541095581</c:v>
                </c:pt>
                <c:pt idx="561">
                  <c:v>-75.831186934286691</c:v>
                </c:pt>
                <c:pt idx="562">
                  <c:v>-75.904152010080324</c:v>
                </c:pt>
                <c:pt idx="563">
                  <c:v>-75.976914895451927</c:v>
                </c:pt>
                <c:pt idx="564">
                  <c:v>-76.049476708069591</c:v>
                </c:pt>
                <c:pt idx="565">
                  <c:v>-76.121838556395829</c:v>
                </c:pt>
                <c:pt idx="566">
                  <c:v>-76.19400153978799</c:v>
                </c:pt>
                <c:pt idx="567">
                  <c:v>-76.265966748597236</c:v>
                </c:pt>
                <c:pt idx="568">
                  <c:v>-76.337735264266314</c:v>
                </c:pt>
                <c:pt idx="569">
                  <c:v>-76.409308159425819</c:v>
                </c:pt>
                <c:pt idx="570">
                  <c:v>-76.480686497989382</c:v>
                </c:pt>
                <c:pt idx="571">
                  <c:v>-76.55187133524737</c:v>
                </c:pt>
                <c:pt idx="572">
                  <c:v>-76.622863717959561</c:v>
                </c:pt>
                <c:pt idx="573">
                  <c:v>-76.693664684446347</c:v>
                </c:pt>
                <c:pt idx="574">
                  <c:v>-76.764275264678915</c:v>
                </c:pt>
                <c:pt idx="575">
                  <c:v>-76.834696480368109</c:v>
                </c:pt>
                <c:pt idx="576">
                  <c:v>-76.904929345052196</c:v>
                </c:pt>
                <c:pt idx="577">
                  <c:v>-76.974974864183451</c:v>
                </c:pt>
                <c:pt idx="578">
                  <c:v>-77.044834035213555</c:v>
                </c:pt>
                <c:pt idx="579">
                  <c:v>-77.114507847677942</c:v>
                </c:pt>
                <c:pt idx="580">
                  <c:v>-77.18399728327897</c:v>
                </c:pt>
                <c:pt idx="581">
                  <c:v>-77.253303315968139</c:v>
                </c:pt>
                <c:pt idx="582">
                  <c:v>-77.322426912027055</c:v>
                </c:pt>
                <c:pt idx="583">
                  <c:v>-77.391369030147473</c:v>
                </c:pt>
                <c:pt idx="584">
                  <c:v>-77.460130621510245</c:v>
                </c:pt>
                <c:pt idx="585">
                  <c:v>-77.528712629863335</c:v>
                </c:pt>
                <c:pt idx="586">
                  <c:v>-77.597115991598614</c:v>
                </c:pt>
                <c:pt idx="587">
                  <c:v>-77.665341635827986</c:v>
                </c:pt>
                <c:pt idx="588">
                  <c:v>-77.733390484458269</c:v>
                </c:pt>
                <c:pt idx="589">
                  <c:v>-77.801263452265189</c:v>
                </c:pt>
                <c:pt idx="590">
                  <c:v>-77.86896144696658</c:v>
                </c:pt>
                <c:pt idx="591">
                  <c:v>-77.936485369294317</c:v>
                </c:pt>
                <c:pt idx="592">
                  <c:v>-78.003836113065773</c:v>
                </c:pt>
                <c:pt idx="593">
                  <c:v>-78.071014565254032</c:v>
                </c:pt>
                <c:pt idx="594">
                  <c:v>-78.138021606057251</c:v>
                </c:pt>
                <c:pt idx="595">
                  <c:v>-78.2048581089674</c:v>
                </c:pt>
                <c:pt idx="596">
                  <c:v>-78.271524940837807</c:v>
                </c:pt>
                <c:pt idx="597">
                  <c:v>-78.338022961950074</c:v>
                </c:pt>
                <c:pt idx="598">
                  <c:v>-78.404353026080088</c:v>
                </c:pt>
                <c:pt idx="599">
                  <c:v>-78.470515980563206</c:v>
                </c:pt>
                <c:pt idx="600">
                  <c:v>-78.53651266635859</c:v>
                </c:pt>
                <c:pt idx="601">
                  <c:v>-78.602343918112894</c:v>
                </c:pt>
                <c:pt idx="602">
                  <c:v>-78.668010564222911</c:v>
                </c:pt>
                <c:pt idx="603">
                  <c:v>-78.733513426897701</c:v>
                </c:pt>
                <c:pt idx="604">
                  <c:v>-78.79885332221977</c:v>
                </c:pt>
                <c:pt idx="605">
                  <c:v>-78.864031060205619</c:v>
                </c:pt>
                <c:pt idx="606">
                  <c:v>-81.932464229056166</c:v>
                </c:pt>
                <c:pt idx="607">
                  <c:v>-84.679743803131231</c:v>
                </c:pt>
                <c:pt idx="608">
                  <c:v>-87.166915548171659</c:v>
                </c:pt>
                <c:pt idx="609">
                  <c:v>-89.439133447045265</c:v>
                </c:pt>
                <c:pt idx="610">
                  <c:v>-91.530728079863124</c:v>
                </c:pt>
                <c:pt idx="611">
                  <c:v>-93.468405355358485</c:v>
                </c:pt>
                <c:pt idx="612">
                  <c:v>-95.273345962595059</c:v>
                </c:pt>
                <c:pt idx="613">
                  <c:v>-96.962629529741676</c:v>
                </c:pt>
                <c:pt idx="614">
                  <c:v>-98.550228270424071</c:v>
                </c:pt>
                <c:pt idx="615">
                  <c:v>-100.04771730056299</c:v>
                </c:pt>
                <c:pt idx="616">
                  <c:v>-101.46479327697568</c:v>
                </c:pt>
                <c:pt idx="617">
                  <c:v>-102.80966019458118</c:v>
                </c:pt>
                <c:pt idx="618">
                  <c:v>-103.32801206008335</c:v>
                </c:pt>
                <c:pt idx="619">
                  <c:v>-103.83635009892586</c:v>
                </c:pt>
                <c:pt idx="620">
                  <c:v>-104.33505499964744</c:v>
                </c:pt>
                <c:pt idx="621">
                  <c:v>-104.82448600116469</c:v>
                </c:pt>
                <c:pt idx="622">
                  <c:v>-105.30498247888585</c:v>
                </c:pt>
                <c:pt idx="623">
                  <c:v>-105.77686538700334</c:v>
                </c:pt>
                <c:pt idx="624">
                  <c:v>-106.24043857231709</c:v>
                </c:pt>
                <c:pt idx="625">
                  <c:v>-106.69598997306088</c:v>
                </c:pt>
                <c:pt idx="626">
                  <c:v>-107.14379271458574</c:v>
                </c:pt>
                <c:pt idx="627">
                  <c:v>-107.58410611235146</c:v>
                </c:pt>
                <c:pt idx="628">
                  <c:v>-108.01717659146445</c:v>
                </c:pt>
                <c:pt idx="629">
                  <c:v>-108.44323853094298</c:v>
                </c:pt>
                <c:pt idx="630">
                  <c:v>-108.86251503997181</c:v>
                </c:pt>
                <c:pt idx="631">
                  <c:v>-109.2752186726038</c:v>
                </c:pt>
                <c:pt idx="632">
                  <c:v>-109.68155208666343</c:v>
                </c:pt>
                <c:pt idx="633">
                  <c:v>-110.08170865198923</c:v>
                </c:pt>
                <c:pt idx="634">
                  <c:v>-110.47587301261012</c:v>
                </c:pt>
                <c:pt idx="635">
                  <c:v>-110.8642216069717</c:v>
                </c:pt>
                <c:pt idx="636">
                  <c:v>-111.24692314990725</c:v>
                </c:pt>
                <c:pt idx="637">
                  <c:v>-111.62413907967461</c:v>
                </c:pt>
                <c:pt idx="638">
                  <c:v>-111.99602397304858</c:v>
                </c:pt>
                <c:pt idx="639">
                  <c:v>-112.3627259311658</c:v>
                </c:pt>
                <c:pt idx="640">
                  <c:v>-112.72438693855689</c:v>
                </c:pt>
                <c:pt idx="641">
                  <c:v>-113.08114319756855</c:v>
                </c:pt>
                <c:pt idx="642">
                  <c:v>-113.43312544017003</c:v>
                </c:pt>
                <c:pt idx="643">
                  <c:v>-113.7804592189532</c:v>
                </c:pt>
                <c:pt idx="644">
                  <c:v>-114.12326517896921</c:v>
                </c:pt>
                <c:pt idx="645">
                  <c:v>-114.4616593118952</c:v>
                </c:pt>
                <c:pt idx="646">
                  <c:v>-114.79575319389178</c:v>
                </c:pt>
                <c:pt idx="647">
                  <c:v>-115.12565420839039</c:v>
                </c:pt>
                <c:pt idx="648">
                  <c:v>-115.45146575494263</c:v>
                </c:pt>
                <c:pt idx="649">
                  <c:v>-115.77328744516514</c:v>
                </c:pt>
                <c:pt idx="650">
                  <c:v>-116.09121528672566</c:v>
                </c:pt>
                <c:pt idx="651">
                  <c:v>-116.40534185623629</c:v>
                </c:pt>
                <c:pt idx="652">
                  <c:v>-116.71575646184814</c:v>
                </c:pt>
                <c:pt idx="653">
                  <c:v>-117.02254529627525</c:v>
                </c:pt>
                <c:pt idx="654">
                  <c:v>-117.32579158091745</c:v>
                </c:pt>
                <c:pt idx="655">
                  <c:v>-117.62557570169724</c:v>
                </c:pt>
                <c:pt idx="656">
                  <c:v>-117.92197533717726</c:v>
                </c:pt>
                <c:pt idx="657">
                  <c:v>-118.21506557947978</c:v>
                </c:pt>
                <c:pt idx="658">
                  <c:v>-118.50491904848964</c:v>
                </c:pt>
                <c:pt idx="659">
                  <c:v>-118.79160599978434</c:v>
                </c:pt>
                <c:pt idx="660">
                  <c:v>-119.07519442670201</c:v>
                </c:pt>
                <c:pt idx="661">
                  <c:v>-119.35575015692595</c:v>
                </c:pt>
                <c:pt idx="662">
                  <c:v>-119.63333694393708</c:v>
                </c:pt>
                <c:pt idx="663">
                  <c:v>-119.90801655365911</c:v>
                </c:pt>
                <c:pt idx="664">
                  <c:v>-120.17984884659796</c:v>
                </c:pt>
                <c:pt idx="665">
                  <c:v>-120.44889185575455</c:v>
                </c:pt>
                <c:pt idx="666">
                  <c:v>-120.71520186057064</c:v>
                </c:pt>
                <c:pt idx="667">
                  <c:v>-120.97883345714874</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90.018880596622608</c:v>
                </c:pt>
                <c:pt idx="1">
                  <c:v>90.037761191629301</c:v>
                </c:pt>
                <c:pt idx="2">
                  <c:v>90.056641783404217</c:v>
                </c:pt>
                <c:pt idx="3">
                  <c:v>90.075522370331484</c:v>
                </c:pt>
                <c:pt idx="4">
                  <c:v>90.0944029507952</c:v>
                </c:pt>
                <c:pt idx="5">
                  <c:v>90.113283523179447</c:v>
                </c:pt>
                <c:pt idx="6">
                  <c:v>90.132164085868411</c:v>
                </c:pt>
                <c:pt idx="7">
                  <c:v>90.151044637246173</c:v>
                </c:pt>
                <c:pt idx="8">
                  <c:v>90.169925175696861</c:v>
                </c:pt>
                <c:pt idx="9">
                  <c:v>90.188805699604643</c:v>
                </c:pt>
                <c:pt idx="10">
                  <c:v>90.377609783333583</c:v>
                </c:pt>
                <c:pt idx="11">
                  <c:v>90.566410635364761</c:v>
                </c:pt>
                <c:pt idx="12">
                  <c:v>90.755206639983271</c:v>
                </c:pt>
                <c:pt idx="13">
                  <c:v>90.943996181634873</c:v>
                </c:pt>
                <c:pt idx="14">
                  <c:v>91.132777644979683</c:v>
                </c:pt>
                <c:pt idx="15">
                  <c:v>91.321549414945608</c:v>
                </c:pt>
                <c:pt idx="16">
                  <c:v>91.510309876781832</c:v>
                </c:pt>
                <c:pt idx="17">
                  <c:v>91.699057416112254</c:v>
                </c:pt>
                <c:pt idx="18">
                  <c:v>91.887790418988942</c:v>
                </c:pt>
                <c:pt idx="19">
                  <c:v>93.77396628693748</c:v>
                </c:pt>
                <c:pt idx="20">
                  <c:v>95.65691838895215</c:v>
                </c:pt>
                <c:pt idx="21">
                  <c:v>97.535048114134042</c:v>
                </c:pt>
                <c:pt idx="22">
                  <c:v>99.40677258803187</c:v>
                </c:pt>
                <c:pt idx="23">
                  <c:v>101.27052960496955</c:v>
                </c:pt>
                <c:pt idx="24">
                  <c:v>103.12478229896121</c:v>
                </c:pt>
                <c:pt idx="25">
                  <c:v>104.96802349632935</c:v>
                </c:pt>
                <c:pt idx="26">
                  <c:v>106.7987796983526</c:v>
                </c:pt>
                <c:pt idx="27">
                  <c:v>108.61561464811398</c:v>
                </c:pt>
                <c:pt idx="28">
                  <c:v>117.4436586774915</c:v>
                </c:pt>
                <c:pt idx="29">
                  <c:v>125.73363670233404</c:v>
                </c:pt>
                <c:pt idx="30">
                  <c:v>133.35692404696744</c:v>
                </c:pt>
                <c:pt idx="31">
                  <c:v>140.20806983661828</c:v>
                </c:pt>
                <c:pt idx="32">
                  <c:v>146.19063618816196</c:v>
                </c:pt>
                <c:pt idx="33">
                  <c:v>151.19272380182298</c:v>
                </c:pt>
                <c:pt idx="34">
                  <c:v>155.04533111866209</c:v>
                </c:pt>
                <c:pt idx="35">
                  <c:v>157.44323871563682</c:v>
                </c:pt>
                <c:pt idx="36">
                  <c:v>157.77152316635204</c:v>
                </c:pt>
                <c:pt idx="37">
                  <c:v>154.67428527226053</c:v>
                </c:pt>
                <c:pt idx="38">
                  <c:v>144.95343500694065</c:v>
                </c:pt>
                <c:pt idx="39">
                  <c:v>122.31531566156141</c:v>
                </c:pt>
                <c:pt idx="40">
                  <c:v>88.602147941686766</c:v>
                </c:pt>
                <c:pt idx="41">
                  <c:v>64.802977221481569</c:v>
                </c:pt>
                <c:pt idx="42">
                  <c:v>53.473559486711679</c:v>
                </c:pt>
                <c:pt idx="43">
                  <c:v>48.254751240277812</c:v>
                </c:pt>
                <c:pt idx="44">
                  <c:v>45.840622340182563</c:v>
                </c:pt>
                <c:pt idx="45">
                  <c:v>44.81761857971938</c:v>
                </c:pt>
                <c:pt idx="46">
                  <c:v>44.535541670234551</c:v>
                </c:pt>
                <c:pt idx="47">
                  <c:v>44.666707926092442</c:v>
                </c:pt>
                <c:pt idx="48">
                  <c:v>45.033111539102919</c:v>
                </c:pt>
                <c:pt idx="49">
                  <c:v>45.532378801980826</c:v>
                </c:pt>
                <c:pt idx="50">
                  <c:v>46.103103940306482</c:v>
                </c:pt>
                <c:pt idx="51">
                  <c:v>46.707340807701371</c:v>
                </c:pt>
                <c:pt idx="52">
                  <c:v>47.32118501822228</c:v>
                </c:pt>
                <c:pt idx="53">
                  <c:v>47.92943788388925</c:v>
                </c:pt>
                <c:pt idx="54">
                  <c:v>48.522450336273181</c:v>
                </c:pt>
                <c:pt idx="55">
                  <c:v>49.094188432187622</c:v>
                </c:pt>
                <c:pt idx="56">
                  <c:v>49.641011860511952</c:v>
                </c:pt>
                <c:pt idx="57">
                  <c:v>50.160883312878696</c:v>
                </c:pt>
                <c:pt idx="58">
                  <c:v>50.652846082710312</c:v>
                </c:pt>
                <c:pt idx="59">
                  <c:v>51.116672968649965</c:v>
                </c:pt>
                <c:pt idx="60">
                  <c:v>51.552627017455364</c:v>
                </c:pt>
                <c:pt idx="61">
                  <c:v>51.96129668329624</c:v>
                </c:pt>
                <c:pt idx="62">
                  <c:v>52.343481319490593</c:v>
                </c:pt>
                <c:pt idx="63">
                  <c:v>52.700111194783744</c:v>
                </c:pt>
                <c:pt idx="64">
                  <c:v>53.032191476338284</c:v>
                </c:pt>
                <c:pt idx="65">
                  <c:v>53.340763018812112</c:v>
                </c:pt>
                <c:pt idx="66">
                  <c:v>53.626875036593063</c:v>
                </c:pt>
                <c:pt idx="67">
                  <c:v>53.891566233911504</c:v>
                </c:pt>
                <c:pt idx="68">
                  <c:v>54.135851984385354</c:v>
                </c:pt>
                <c:pt idx="69">
                  <c:v>54.360715850908804</c:v>
                </c:pt>
                <c:pt idx="70">
                  <c:v>54.567104223409899</c:v>
                </c:pt>
                <c:pt idx="71">
                  <c:v>54.755923194149005</c:v>
                </c:pt>
                <c:pt idx="72">
                  <c:v>54.92803703305691</c:v>
                </c:pt>
                <c:pt idx="73">
                  <c:v>55.084267799405723</c:v>
                </c:pt>
                <c:pt idx="74">
                  <c:v>55.225395751414894</c:v>
                </c:pt>
                <c:pt idx="75">
                  <c:v>55.352160306345795</c:v>
                </c:pt>
                <c:pt idx="76">
                  <c:v>55.465261370032707</c:v>
                </c:pt>
                <c:pt idx="77">
                  <c:v>55.565360903495375</c:v>
                </c:pt>
                <c:pt idx="78">
                  <c:v>55.653084630156201</c:v>
                </c:pt>
                <c:pt idx="79">
                  <c:v>55.729023813687775</c:v>
                </c:pt>
                <c:pt idx="80">
                  <c:v>55.793737056155791</c:v>
                </c:pt>
                <c:pt idx="81">
                  <c:v>55.847752080685822</c:v>
                </c:pt>
                <c:pt idx="82">
                  <c:v>55.891567473690074</c:v>
                </c:pt>
                <c:pt idx="83">
                  <c:v>55.925654369707161</c:v>
                </c:pt>
                <c:pt idx="84">
                  <c:v>55.95045806783736</c:v>
                </c:pt>
                <c:pt idx="85">
                  <c:v>55.966399573126381</c:v>
                </c:pt>
                <c:pt idx="86">
                  <c:v>55.973877059455376</c:v>
                </c:pt>
                <c:pt idx="87">
                  <c:v>55.97326725281971</c:v>
                </c:pt>
                <c:pt idx="88">
                  <c:v>55.964926735549653</c:v>
                </c:pt>
                <c:pt idx="89">
                  <c:v>55.949193173199049</c:v>
                </c:pt>
                <c:pt idx="90">
                  <c:v>55.926386466637013</c:v>
                </c:pt>
                <c:pt idx="91">
                  <c:v>55.896809832404102</c:v>
                </c:pt>
                <c:pt idx="92">
                  <c:v>55.860750814723303</c:v>
                </c:pt>
                <c:pt idx="93">
                  <c:v>55.818482232726609</c:v>
                </c:pt>
                <c:pt idx="94">
                  <c:v>55.770263066522233</c:v>
                </c:pt>
                <c:pt idx="95">
                  <c:v>55.716339285709466</c:v>
                </c:pt>
                <c:pt idx="96">
                  <c:v>55.65694462387485</c:v>
                </c:pt>
                <c:pt idx="97">
                  <c:v>55.592301302487641</c:v>
                </c:pt>
                <c:pt idx="98">
                  <c:v>55.522620707475298</c:v>
                </c:pt>
                <c:pt idx="99">
                  <c:v>55.448104021601551</c:v>
                </c:pt>
                <c:pt idx="100">
                  <c:v>55.36894281560572</c:v>
                </c:pt>
                <c:pt idx="101">
                  <c:v>55.285319600892493</c:v>
                </c:pt>
                <c:pt idx="102">
                  <c:v>55.197408346394525</c:v>
                </c:pt>
                <c:pt idx="103">
                  <c:v>55.105374962063721</c:v>
                </c:pt>
                <c:pt idx="104">
                  <c:v>55.009377751287644</c:v>
                </c:pt>
                <c:pt idx="105">
                  <c:v>54.909567834375068</c:v>
                </c:pt>
                <c:pt idx="106">
                  <c:v>54.806089545107355</c:v>
                </c:pt>
                <c:pt idx="107">
                  <c:v>54.699080802214425</c:v>
                </c:pt>
                <c:pt idx="108">
                  <c:v>54.58867345750474</c:v>
                </c:pt>
                <c:pt idx="109">
                  <c:v>54.474993622254118</c:v>
                </c:pt>
                <c:pt idx="110">
                  <c:v>54.358161973346739</c:v>
                </c:pt>
                <c:pt idx="111">
                  <c:v>54.238294040551978</c:v>
                </c:pt>
                <c:pt idx="112">
                  <c:v>54.115500476222806</c:v>
                </c:pt>
                <c:pt idx="113">
                  <c:v>53.989887308608175</c:v>
                </c:pt>
                <c:pt idx="114">
                  <c:v>53.861556179886662</c:v>
                </c:pt>
                <c:pt idx="115">
                  <c:v>53.730604569946735</c:v>
                </c:pt>
                <c:pt idx="116">
                  <c:v>53.597126006867754</c:v>
                </c:pt>
                <c:pt idx="117">
                  <c:v>53.461210264985041</c:v>
                </c:pt>
                <c:pt idx="118">
                  <c:v>53.322943551359643</c:v>
                </c:pt>
                <c:pt idx="119">
                  <c:v>53.182408681415069</c:v>
                </c:pt>
                <c:pt idx="120">
                  <c:v>53.039685244448194</c:v>
                </c:pt>
                <c:pt idx="121">
                  <c:v>52.894849759671146</c:v>
                </c:pt>
                <c:pt idx="122">
                  <c:v>52.747975823395194</c:v>
                </c:pt>
                <c:pt idx="123">
                  <c:v>52.599134247923786</c:v>
                </c:pt>
                <c:pt idx="124">
                  <c:v>52.448393192682659</c:v>
                </c:pt>
                <c:pt idx="125">
                  <c:v>52.295818288077299</c:v>
                </c:pt>
                <c:pt idx="126">
                  <c:v>52.141472752534625</c:v>
                </c:pt>
                <c:pt idx="127">
                  <c:v>51.985417503154224</c:v>
                </c:pt>
                <c:pt idx="128">
                  <c:v>51.827711260364424</c:v>
                </c:pt>
                <c:pt idx="129">
                  <c:v>51.668410646951941</c:v>
                </c:pt>
                <c:pt idx="130">
                  <c:v>51.507570281809336</c:v>
                </c:pt>
                <c:pt idx="131">
                  <c:v>51.345242868719851</c:v>
                </c:pt>
                <c:pt idx="132">
                  <c:v>51.181479280479209</c:v>
                </c:pt>
                <c:pt idx="133">
                  <c:v>51.016328638632757</c:v>
                </c:pt>
                <c:pt idx="134">
                  <c:v>50.849838389088575</c:v>
                </c:pt>
                <c:pt idx="135">
                  <c:v>50.68205437384978</c:v>
                </c:pt>
                <c:pt idx="136">
                  <c:v>50.513020899093277</c:v>
                </c:pt>
                <c:pt idx="137">
                  <c:v>50.342780799806746</c:v>
                </c:pt>
                <c:pt idx="138">
                  <c:v>50.171375501183888</c:v>
                </c:pt>
                <c:pt idx="139">
                  <c:v>49.998845076962454</c:v>
                </c:pt>
                <c:pt idx="140">
                  <c:v>49.825228304879801</c:v>
                </c:pt>
                <c:pt idx="141">
                  <c:v>49.650562719408782</c:v>
                </c:pt>
                <c:pt idx="142">
                  <c:v>49.474884661926581</c:v>
                </c:pt>
                <c:pt idx="143">
                  <c:v>49.298229328459655</c:v>
                </c:pt>
                <c:pt idx="144">
                  <c:v>49.12063081513881</c:v>
                </c:pt>
                <c:pt idx="145">
                  <c:v>48.942122161490573</c:v>
                </c:pt>
                <c:pt idx="146">
                  <c:v>48.762735391682753</c:v>
                </c:pt>
                <c:pt idx="147">
                  <c:v>48.582501553834959</c:v>
                </c:pt>
                <c:pt idx="148">
                  <c:v>48.401450757498679</c:v>
                </c:pt>
                <c:pt idx="149">
                  <c:v>48.219612209404943</c:v>
                </c:pt>
                <c:pt idx="150">
                  <c:v>48.037014247570283</c:v>
                </c:pt>
                <c:pt idx="151">
                  <c:v>47.853684373849603</c:v>
                </c:pt>
                <c:pt idx="152">
                  <c:v>47.669649285015595</c:v>
                </c:pt>
                <c:pt idx="153">
                  <c:v>47.484934902442404</c:v>
                </c:pt>
                <c:pt idx="154">
                  <c:v>47.299566400465096</c:v>
                </c:pt>
                <c:pt idx="155">
                  <c:v>47.113568233483704</c:v>
                </c:pt>
                <c:pt idx="156">
                  <c:v>46.92696416187465</c:v>
                </c:pt>
                <c:pt idx="157">
                  <c:v>46.739777276771321</c:v>
                </c:pt>
                <c:pt idx="158">
                  <c:v>46.55203002376993</c:v>
                </c:pt>
                <c:pt idx="159">
                  <c:v>46.363744225614397</c:v>
                </c:pt>
                <c:pt idx="160">
                  <c:v>46.174941103911522</c:v>
                </c:pt>
                <c:pt idx="161">
                  <c:v>45.985641299923401</c:v>
                </c:pt>
                <c:pt idx="162">
                  <c:v>45.795864894483913</c:v>
                </c:pt>
                <c:pt idx="163">
                  <c:v>45.605631427079658</c:v>
                </c:pt>
                <c:pt idx="164">
                  <c:v>45.41495991413808</c:v>
                </c:pt>
                <c:pt idx="165">
                  <c:v>45.22386886655957</c:v>
                </c:pt>
                <c:pt idx="166">
                  <c:v>45.032376306530097</c:v>
                </c:pt>
                <c:pt idx="167">
                  <c:v>44.840499783648198</c:v>
                </c:pt>
                <c:pt idx="168">
                  <c:v>44.648256390399808</c:v>
                </c:pt>
                <c:pt idx="169">
                  <c:v>44.455662777009508</c:v>
                </c:pt>
                <c:pt idx="170">
                  <c:v>44.262735165699667</c:v>
                </c:pt>
                <c:pt idx="171">
                  <c:v>44.069489364382832</c:v>
                </c:pt>
                <c:pt idx="172">
                  <c:v>43.87594077981484</c:v>
                </c:pt>
                <c:pt idx="173">
                  <c:v>43.682104430232584</c:v>
                </c:pt>
                <c:pt idx="174">
                  <c:v>43.487994957500234</c:v>
                </c:pt>
                <c:pt idx="175">
                  <c:v>43.29362663878598</c:v>
                </c:pt>
                <c:pt idx="176">
                  <c:v>43.099013397790486</c:v>
                </c:pt>
                <c:pt idx="177">
                  <c:v>42.904168815546882</c:v>
                </c:pt>
                <c:pt idx="178">
                  <c:v>42.709106140811912</c:v>
                </c:pt>
                <c:pt idx="179">
                  <c:v>42.513838300065402</c:v>
                </c:pt>
                <c:pt idx="180">
                  <c:v>42.318377907135556</c:v>
                </c:pt>
                <c:pt idx="181">
                  <c:v>42.122737272467361</c:v>
                </c:pt>
                <c:pt idx="182">
                  <c:v>41.926928412047886</c:v>
                </c:pt>
                <c:pt idx="183">
                  <c:v>41.730963056004526</c:v>
                </c:pt>
                <c:pt idx="184">
                  <c:v>41.534852656889797</c:v>
                </c:pt>
                <c:pt idx="185">
                  <c:v>41.338608397666007</c:v>
                </c:pt>
                <c:pt idx="186">
                  <c:v>41.142241199402775</c:v>
                </c:pt>
                <c:pt idx="187">
                  <c:v>40.945761728698869</c:v>
                </c:pt>
                <c:pt idx="188">
                  <c:v>40.749180404841042</c:v>
                </c:pt>
                <c:pt idx="189">
                  <c:v>40.552507406709282</c:v>
                </c:pt>
                <c:pt idx="190">
                  <c:v>40.355752679440656</c:v>
                </c:pt>
                <c:pt idx="191">
                  <c:v>40.158925940860399</c:v>
                </c:pt>
                <c:pt idx="192">
                  <c:v>39.962036687690244</c:v>
                </c:pt>
                <c:pt idx="193">
                  <c:v>39.765094201543292</c:v>
                </c:pt>
                <c:pt idx="194">
                  <c:v>39.568107554713919</c:v>
                </c:pt>
                <c:pt idx="195">
                  <c:v>39.371085615770454</c:v>
                </c:pt>
                <c:pt idx="196">
                  <c:v>39.174037054959427</c:v>
                </c:pt>
                <c:pt idx="197">
                  <c:v>38.976970349428541</c:v>
                </c:pt>
                <c:pt idx="198">
                  <c:v>38.77989378827499</c:v>
                </c:pt>
                <c:pt idx="199">
                  <c:v>38.582815477427005</c:v>
                </c:pt>
                <c:pt idx="200">
                  <c:v>38.385743344364244</c:v>
                </c:pt>
                <c:pt idx="201">
                  <c:v>38.188685142684136</c:v>
                </c:pt>
                <c:pt idx="202">
                  <c:v>37.991648456519329</c:v>
                </c:pt>
                <c:pt idx="203">
                  <c:v>37.794640704812593</c:v>
                </c:pt>
                <c:pt idx="204">
                  <c:v>37.597669145454859</c:v>
                </c:pt>
                <c:pt idx="205">
                  <c:v>37.400740879290254</c:v>
                </c:pt>
                <c:pt idx="206">
                  <c:v>37.203862853994963</c:v>
                </c:pt>
                <c:pt idx="207">
                  <c:v>37.007041867833806</c:v>
                </c:pt>
                <c:pt idx="208">
                  <c:v>36.810284573298674</c:v>
                </c:pt>
                <c:pt idx="209">
                  <c:v>36.613597480634326</c:v>
                </c:pt>
                <c:pt idx="210">
                  <c:v>36.416986961254679</c:v>
                </c:pt>
                <c:pt idx="211">
                  <c:v>36.220459251054791</c:v>
                </c:pt>
                <c:pt idx="212">
                  <c:v>36.024020453620636</c:v>
                </c:pt>
                <c:pt idx="213">
                  <c:v>35.827676543342818</c:v>
                </c:pt>
                <c:pt idx="214">
                  <c:v>35.631433368435211</c:v>
                </c:pt>
                <c:pt idx="215">
                  <c:v>35.435296653863958</c:v>
                </c:pt>
                <c:pt idx="216">
                  <c:v>35.239272004188905</c:v>
                </c:pt>
                <c:pt idx="217">
                  <c:v>35.043364906320789</c:v>
                </c:pt>
                <c:pt idx="218">
                  <c:v>34.847580732197969</c:v>
                </c:pt>
                <c:pt idx="219">
                  <c:v>34.651924741384249</c:v>
                </c:pt>
                <c:pt idx="220">
                  <c:v>34.45640208359174</c:v>
                </c:pt>
                <c:pt idx="221">
                  <c:v>34.261017801130748</c:v>
                </c:pt>
                <c:pt idx="222">
                  <c:v>34.065776831289639</c:v>
                </c:pt>
                <c:pt idx="223">
                  <c:v>33.87068400864635</c:v>
                </c:pt>
                <c:pt idx="224">
                  <c:v>33.67574406731535</c:v>
                </c:pt>
                <c:pt idx="225">
                  <c:v>33.48096164313057</c:v>
                </c:pt>
                <c:pt idx="226">
                  <c:v>31.542754535638011</c:v>
                </c:pt>
                <c:pt idx="227">
                  <c:v>29.624743580622351</c:v>
                </c:pt>
                <c:pt idx="228">
                  <c:v>27.730227252488532</c:v>
                </c:pt>
                <c:pt idx="229">
                  <c:v>25.86187293382855</c:v>
                </c:pt>
                <c:pt idx="230">
                  <c:v>24.021825168937141</c:v>
                </c:pt>
                <c:pt idx="231">
                  <c:v>22.21179150037301</c:v>
                </c:pt>
                <c:pt idx="232">
                  <c:v>20.433111530803615</c:v>
                </c:pt>
                <c:pt idx="233">
                  <c:v>18.686813239801182</c:v>
                </c:pt>
                <c:pt idx="234">
                  <c:v>16.973659472374692</c:v>
                </c:pt>
                <c:pt idx="235">
                  <c:v>15.294186737871968</c:v>
                </c:pt>
                <c:pt idx="236">
                  <c:v>13.648737907208186</c:v>
                </c:pt>
                <c:pt idx="237">
                  <c:v>12.037490002277423</c:v>
                </c:pt>
                <c:pt idx="238">
                  <c:v>10.460477986377725</c:v>
                </c:pt>
                <c:pt idx="239">
                  <c:v>8.9176152562420157</c:v>
                </c:pt>
                <c:pt idx="240">
                  <c:v>7.4087113826165307</c:v>
                </c:pt>
                <c:pt idx="241">
                  <c:v>5.9334875318490958</c:v>
                </c:pt>
                <c:pt idx="242">
                  <c:v>4.4915899147914047</c:v>
                </c:pt>
                <c:pt idx="243">
                  <c:v>3.0826015438202603</c:v>
                </c:pt>
                <c:pt idx="244">
                  <c:v>1.7060525284582866</c:v>
                </c:pt>
                <c:pt idx="245">
                  <c:v>0.36142910097913727</c:v>
                </c:pt>
                <c:pt idx="246">
                  <c:v>-0.95181846733586895</c:v>
                </c:pt>
                <c:pt idx="247">
                  <c:v>-2.2342689230473241</c:v>
                </c:pt>
                <c:pt idx="248">
                  <c:v>-3.4865239439243112</c:v>
                </c:pt>
                <c:pt idx="249">
                  <c:v>-4.7092028082487332</c:v>
                </c:pt>
                <c:pt idx="250">
                  <c:v>-5.9029377326726262</c:v>
                </c:pt>
                <c:pt idx="251">
                  <c:v>-7.0683698022486396</c:v>
                </c:pt>
                <c:pt idx="252">
                  <c:v>-8.2061454255274953</c:v>
                </c:pt>
                <c:pt idx="253">
                  <c:v>-9.3169132555198075</c:v>
                </c:pt>
                <c:pt idx="254">
                  <c:v>-10.401321524105526</c:v>
                </c:pt>
                <c:pt idx="255">
                  <c:v>-11.460015743361197</c:v>
                </c:pt>
                <c:pt idx="256">
                  <c:v>-12.493636732407595</c:v>
                </c:pt>
                <c:pt idx="257">
                  <c:v>-13.502818932891358</c:v>
                </c:pt>
                <c:pt idx="258">
                  <c:v>-14.488188980192092</c:v>
                </c:pt>
                <c:pt idx="259">
                  <c:v>-15.450364500974189</c:v>
                </c:pt>
                <c:pt idx="260">
                  <c:v>-16.389953110839201</c:v>
                </c:pt>
                <c:pt idx="261">
                  <c:v>-17.307551588631242</c:v>
                </c:pt>
                <c:pt idx="262">
                  <c:v>-18.203745206448019</c:v>
                </c:pt>
                <c:pt idx="263">
                  <c:v>-19.079107196645566</c:v>
                </c:pt>
                <c:pt idx="264">
                  <c:v>-19.934198339132337</c:v>
                </c:pt>
                <c:pt idx="265">
                  <c:v>-20.769566654040091</c:v>
                </c:pt>
                <c:pt idx="266">
                  <c:v>-21.585747186477676</c:v>
                </c:pt>
                <c:pt idx="267">
                  <c:v>-22.383261871514748</c:v>
                </c:pt>
                <c:pt idx="268">
                  <c:v>-23.162619468844838</c:v>
                </c:pt>
                <c:pt idx="269">
                  <c:v>-23.924315557738822</c:v>
                </c:pt>
                <c:pt idx="270">
                  <c:v>-24.668832583946653</c:v>
                </c:pt>
                <c:pt idx="271">
                  <c:v>-25.396639951139974</c:v>
                </c:pt>
                <c:pt idx="272">
                  <c:v>-26.108194150328728</c:v>
                </c:pt>
                <c:pt idx="273">
                  <c:v>-26.803938921436355</c:v>
                </c:pt>
                <c:pt idx="274">
                  <c:v>-27.484305441890257</c:v>
                </c:pt>
                <c:pt idx="275">
                  <c:v>-28.149712537687691</c:v>
                </c:pt>
                <c:pt idx="276">
                  <c:v>-28.800566912934272</c:v>
                </c:pt>
                <c:pt idx="277">
                  <c:v>-29.437263394331893</c:v>
                </c:pt>
                <c:pt idx="278">
                  <c:v>-30.060185187525832</c:v>
                </c:pt>
                <c:pt idx="279">
                  <c:v>-30.669704142598732</c:v>
                </c:pt>
                <c:pt idx="280">
                  <c:v>-31.266181026342508</c:v>
                </c:pt>
                <c:pt idx="281">
                  <c:v>-31.849965799244188</c:v>
                </c:pt>
                <c:pt idx="282">
                  <c:v>-32.421397895388537</c:v>
                </c:pt>
                <c:pt idx="283">
                  <c:v>-32.980806503723016</c:v>
                </c:pt>
                <c:pt idx="284">
                  <c:v>-33.528510849342751</c:v>
                </c:pt>
                <c:pt idx="285">
                  <c:v>-34.064820473641788</c:v>
                </c:pt>
                <c:pt idx="286">
                  <c:v>-34.590035512345281</c:v>
                </c:pt>
                <c:pt idx="287">
                  <c:v>-35.104446970584036</c:v>
                </c:pt>
                <c:pt idx="288">
                  <c:v>-35.608336994305233</c:v>
                </c:pt>
                <c:pt idx="289">
                  <c:v>-36.101979137427747</c:v>
                </c:pt>
                <c:pt idx="290">
                  <c:v>-36.585638624251175</c:v>
                </c:pt>
                <c:pt idx="291">
                  <c:v>-37.059572606720195</c:v>
                </c:pt>
                <c:pt idx="292">
                  <c:v>-37.524030416220711</c:v>
                </c:pt>
                <c:pt idx="293">
                  <c:v>-37.979253809655745</c:v>
                </c:pt>
                <c:pt idx="294">
                  <c:v>-38.425477209608317</c:v>
                </c:pt>
                <c:pt idx="295">
                  <c:v>-38.862927938450241</c:v>
                </c:pt>
                <c:pt idx="296">
                  <c:v>-39.291826446303418</c:v>
                </c:pt>
                <c:pt idx="297">
                  <c:v>-39.712386532796955</c:v>
                </c:pt>
                <c:pt idx="298">
                  <c:v>-40.124815562600503</c:v>
                </c:pt>
                <c:pt idx="299">
                  <c:v>-40.529314674741585</c:v>
                </c:pt>
                <c:pt idx="300">
                  <c:v>-40.926078985740361</c:v>
                </c:pt>
                <c:pt idx="301">
                  <c:v>-41.315297786617492</c:v>
                </c:pt>
                <c:pt idx="302">
                  <c:v>-41.697154733848009</c:v>
                </c:pt>
                <c:pt idx="303">
                  <c:v>-42.071828034349636</c:v>
                </c:pt>
                <c:pt idx="304">
                  <c:v>-42.439490624606719</c:v>
                </c:pt>
                <c:pt idx="305">
                  <c:v>-42.800310344041719</c:v>
                </c:pt>
                <c:pt idx="306">
                  <c:v>-43.154450102753884</c:v>
                </c:pt>
                <c:pt idx="307">
                  <c:v>-43.502068043752104</c:v>
                </c:pt>
                <c:pt idx="308">
                  <c:v>-43.84331769981398</c:v>
                </c:pt>
                <c:pt idx="309">
                  <c:v>-44.178348145106781</c:v>
                </c:pt>
                <c:pt idx="310">
                  <c:v>-44.507304141709454</c:v>
                </c:pt>
                <c:pt idx="311">
                  <c:v>-44.830326281175502</c:v>
                </c:pt>
                <c:pt idx="312">
                  <c:v>-45.147551121278127</c:v>
                </c:pt>
                <c:pt idx="313">
                  <c:v>-45.459111318079295</c:v>
                </c:pt>
                <c:pt idx="314">
                  <c:v>-45.765135753463596</c:v>
                </c:pt>
                <c:pt idx="315">
                  <c:v>-46.06574965827636</c:v>
                </c:pt>
                <c:pt idx="316">
                  <c:v>-46.361074731204951</c:v>
                </c:pt>
                <c:pt idx="317">
                  <c:v>-46.651229253539185</c:v>
                </c:pt>
                <c:pt idx="318">
                  <c:v>-46.936328199946018</c:v>
                </c:pt>
                <c:pt idx="319">
                  <c:v>-47.216483345388582</c:v>
                </c:pt>
                <c:pt idx="320">
                  <c:v>-47.491803368320859</c:v>
                </c:pt>
                <c:pt idx="321">
                  <c:v>-47.762393950282444</c:v>
                </c:pt>
                <c:pt idx="322">
                  <c:v>-48.028357872017438</c:v>
                </c:pt>
                <c:pt idx="323">
                  <c:v>-48.289795106237193</c:v>
                </c:pt>
                <c:pt idx="324">
                  <c:v>-48.546802907143984</c:v>
                </c:pt>
                <c:pt idx="325">
                  <c:v>-48.799475896828994</c:v>
                </c:pt>
                <c:pt idx="326">
                  <c:v>-49.047906148655358</c:v>
                </c:pt>
                <c:pt idx="327">
                  <c:v>-49.292183267733321</c:v>
                </c:pt>
                <c:pt idx="328">
                  <c:v>-49.532394468590184</c:v>
                </c:pt>
                <c:pt idx="329">
                  <c:v>-49.768624650137838</c:v>
                </c:pt>
                <c:pt idx="330">
                  <c:v>-50.000956468032854</c:v>
                </c:pt>
                <c:pt idx="331">
                  <c:v>-50.229470404524676</c:v>
                </c:pt>
                <c:pt idx="332">
                  <c:v>-50.454244835882832</c:v>
                </c:pt>
                <c:pt idx="333">
                  <c:v>-50.67535609749018</c:v>
                </c:pt>
                <c:pt idx="334">
                  <c:v>-50.892878546688337</c:v>
                </c:pt>
                <c:pt idx="335">
                  <c:v>-51.106884623456182</c:v>
                </c:pt>
                <c:pt idx="336">
                  <c:v>-51.317444909001637</c:v>
                </c:pt>
                <c:pt idx="337">
                  <c:v>-51.524628182341758</c:v>
                </c:pt>
                <c:pt idx="338">
                  <c:v>-51.72850147494546</c:v>
                </c:pt>
                <c:pt idx="339">
                  <c:v>-51.929130123509992</c:v>
                </c:pt>
                <c:pt idx="340">
                  <c:v>-52.126577820938678</c:v>
                </c:pt>
                <c:pt idx="341">
                  <c:v>-52.320906665586506</c:v>
                </c:pt>
                <c:pt idx="342">
                  <c:v>-52.512177208836448</c:v>
                </c:pt>
                <c:pt idx="343">
                  <c:v>-52.700448501068138</c:v>
                </c:pt>
                <c:pt idx="344">
                  <c:v>-52.885778136076937</c:v>
                </c:pt>
                <c:pt idx="345">
                  <c:v>-53.068222294000265</c:v>
                </c:pt>
                <c:pt idx="346">
                  <c:v>-53.247835782806789</c:v>
                </c:pt>
                <c:pt idx="347">
                  <c:v>-53.424672078398714</c:v>
                </c:pt>
                <c:pt idx="348">
                  <c:v>-53.598783363379283</c:v>
                </c:pt>
                <c:pt idx="349">
                  <c:v>-53.770220564534071</c:v>
                </c:pt>
                <c:pt idx="350">
                  <c:v>-53.939033389071511</c:v>
                </c:pt>
                <c:pt idx="351">
                  <c:v>-54.105270359668907</c:v>
                </c:pt>
                <c:pt idx="352">
                  <c:v>-54.26897884836626</c:v>
                </c:pt>
                <c:pt idx="353">
                  <c:v>-54.430205109350851</c:v>
                </c:pt>
                <c:pt idx="354">
                  <c:v>-54.588994310669761</c:v>
                </c:pt>
                <c:pt idx="355">
                  <c:v>-54.745390564912782</c:v>
                </c:pt>
                <c:pt idx="356">
                  <c:v>-54.899436958899713</c:v>
                </c:pt>
                <c:pt idx="357">
                  <c:v>-55.051175582408035</c:v>
                </c:pt>
                <c:pt idx="358">
                  <c:v>-55.200647555976957</c:v>
                </c:pt>
                <c:pt idx="359">
                  <c:v>-55.34789305781905</c:v>
                </c:pt>
                <c:pt idx="360">
                  <c:v>-55.49295134987176</c:v>
                </c:pt>
                <c:pt idx="361">
                  <c:v>-55.635860803019455</c:v>
                </c:pt>
                <c:pt idx="362">
                  <c:v>-55.77665892151515</c:v>
                </c:pt>
                <c:pt idx="363">
                  <c:v>-55.915382366630155</c:v>
                </c:pt>
                <c:pt idx="364">
                  <c:v>-56.05206697955893</c:v>
                </c:pt>
                <c:pt idx="365">
                  <c:v>-56.186747803605414</c:v>
                </c:pt>
                <c:pt idx="366">
                  <c:v>-56.319459105675264</c:v>
                </c:pt>
                <c:pt idx="367">
                  <c:v>-56.450234397099194</c:v>
                </c:pt>
                <c:pt idx="368">
                  <c:v>-56.579106453809715</c:v>
                </c:pt>
                <c:pt idx="369">
                  <c:v>-56.706107335894899</c:v>
                </c:pt>
                <c:pt idx="370">
                  <c:v>-56.831268406549043</c:v>
                </c:pt>
                <c:pt idx="371">
                  <c:v>-56.954620350442895</c:v>
                </c:pt>
                <c:pt idx="372">
                  <c:v>-57.076193191532013</c:v>
                </c:pt>
                <c:pt idx="373">
                  <c:v>-57.196016310322477</c:v>
                </c:pt>
                <c:pt idx="374">
                  <c:v>-57.314118460614452</c:v>
                </c:pt>
                <c:pt idx="375">
                  <c:v>-57.430527785737723</c:v>
                </c:pt>
                <c:pt idx="376">
                  <c:v>-57.545271834301019</c:v>
                </c:pt>
                <c:pt idx="377">
                  <c:v>-57.658377575467142</c:v>
                </c:pt>
                <c:pt idx="378">
                  <c:v>-57.769871413773188</c:v>
                </c:pt>
                <c:pt idx="379">
                  <c:v>-57.879779203509059</c:v>
                </c:pt>
                <c:pt idx="380">
                  <c:v>-57.988126262670619</c:v>
                </c:pt>
                <c:pt idx="381">
                  <c:v>-58.094937386500391</c:v>
                </c:pt>
                <c:pt idx="382">
                  <c:v>-58.200236860630241</c:v>
                </c:pt>
                <c:pt idx="383">
                  <c:v>-58.304048473839202</c:v>
                </c:pt>
                <c:pt idx="384">
                  <c:v>-58.406395530439028</c:v>
                </c:pt>
                <c:pt idx="385">
                  <c:v>-58.507300862299502</c:v>
                </c:pt>
                <c:pt idx="386">
                  <c:v>-58.606786840526041</c:v>
                </c:pt>
                <c:pt idx="387">
                  <c:v>-58.704875386799785</c:v>
                </c:pt>
                <c:pt idx="388">
                  <c:v>-58.801587984393024</c:v>
                </c:pt>
                <c:pt idx="389">
                  <c:v>-58.896945688867959</c:v>
                </c:pt>
                <c:pt idx="390">
                  <c:v>-58.990969138472138</c:v>
                </c:pt>
                <c:pt idx="391">
                  <c:v>-59.083678564237005</c:v>
                </c:pt>
                <c:pt idx="392">
                  <c:v>-59.175093799792023</c:v>
                </c:pt>
                <c:pt idx="393">
                  <c:v>-59.26523429090193</c:v>
                </c:pt>
                <c:pt idx="394">
                  <c:v>-59.354119104735901</c:v>
                </c:pt>
                <c:pt idx="395">
                  <c:v>-59.441766938878118</c:v>
                </c:pt>
                <c:pt idx="396">
                  <c:v>-59.528196130087423</c:v>
                </c:pt>
                <c:pt idx="397">
                  <c:v>-59.613424662812918</c:v>
                </c:pt>
                <c:pt idx="398">
                  <c:v>-59.697470177475793</c:v>
                </c:pt>
                <c:pt idx="399">
                  <c:v>-59.780349978522111</c:v>
                </c:pt>
                <c:pt idx="400">
                  <c:v>-59.86208104225463</c:v>
                </c:pt>
                <c:pt idx="401">
                  <c:v>-59.94268002445142</c:v>
                </c:pt>
                <c:pt idx="402">
                  <c:v>-60.022163267776619</c:v>
                </c:pt>
                <c:pt idx="403">
                  <c:v>-60.100546808990686</c:v>
                </c:pt>
                <c:pt idx="404">
                  <c:v>-60.177846385964926</c:v>
                </c:pt>
                <c:pt idx="405">
                  <c:v>-60.254077444509079</c:v>
                </c:pt>
                <c:pt idx="406">
                  <c:v>-60.329255145014116</c:v>
                </c:pt>
                <c:pt idx="407">
                  <c:v>-60.403394368918754</c:v>
                </c:pt>
                <c:pt idx="408">
                  <c:v>-60.476509725003751</c:v>
                </c:pt>
                <c:pt idx="409">
                  <c:v>-60.548615555519433</c:v>
                </c:pt>
                <c:pt idx="410">
                  <c:v>-60.619725942151177</c:v>
                </c:pt>
                <c:pt idx="411">
                  <c:v>-60.689854711828445</c:v>
                </c:pt>
                <c:pt idx="412">
                  <c:v>-60.759015442381667</c:v>
                </c:pt>
                <c:pt idx="413">
                  <c:v>-60.827221468051249</c:v>
                </c:pt>
                <c:pt idx="414">
                  <c:v>-60.894485884853054</c:v>
                </c:pt>
                <c:pt idx="415">
                  <c:v>-60.960821555806092</c:v>
                </c:pt>
                <c:pt idx="416">
                  <c:v>-61.026241116023726</c:v>
                </c:pt>
                <c:pt idx="417">
                  <c:v>-61.090756977675369</c:v>
                </c:pt>
                <c:pt idx="418">
                  <c:v>-61.1543813348203</c:v>
                </c:pt>
                <c:pt idx="419">
                  <c:v>-61.217126168118369</c:v>
                </c:pt>
                <c:pt idx="420">
                  <c:v>-61.279003249421208</c:v>
                </c:pt>
                <c:pt idx="421">
                  <c:v>-61.340024146246719</c:v>
                </c:pt>
                <c:pt idx="422">
                  <c:v>-61.400200226140953</c:v>
                </c:pt>
                <c:pt idx="423">
                  <c:v>-61.459542660930282</c:v>
                </c:pt>
                <c:pt idx="424">
                  <c:v>-61.518062430867218</c:v>
                </c:pt>
                <c:pt idx="425">
                  <c:v>-61.57577032867232</c:v>
                </c:pt>
                <c:pt idx="426">
                  <c:v>-61.632676963476285</c:v>
                </c:pt>
                <c:pt idx="427">
                  <c:v>-61.688792764663731</c:v>
                </c:pt>
                <c:pt idx="428">
                  <c:v>-61.744127985622612</c:v>
                </c:pt>
                <c:pt idx="429">
                  <c:v>-61.798692707401244</c:v>
                </c:pt>
                <c:pt idx="430">
                  <c:v>-61.852496842275599</c:v>
                </c:pt>
                <c:pt idx="431">
                  <c:v>-61.905550137229824</c:v>
                </c:pt>
                <c:pt idx="432">
                  <c:v>-61.957862177351842</c:v>
                </c:pt>
                <c:pt idx="433">
                  <c:v>-62.009442389147011</c:v>
                </c:pt>
                <c:pt idx="434">
                  <c:v>-62.060300043771008</c:v>
                </c:pt>
                <c:pt idx="435">
                  <c:v>-62.110444260186028</c:v>
                </c:pt>
                <c:pt idx="436">
                  <c:v>-62.159884008240539</c:v>
                </c:pt>
                <c:pt idx="437">
                  <c:v>-62.208628111675608</c:v>
                </c:pt>
                <c:pt idx="438">
                  <c:v>-62.256685251059508</c:v>
                </c:pt>
                <c:pt idx="439">
                  <c:v>-62.304063966653786</c:v>
                </c:pt>
                <c:pt idx="440">
                  <c:v>-62.350772661209731</c:v>
                </c:pt>
                <c:pt idx="441">
                  <c:v>-62.396819602700816</c:v>
                </c:pt>
                <c:pt idx="442">
                  <c:v>-62.442212926989953</c:v>
                </c:pt>
                <c:pt idx="443">
                  <c:v>-62.486960640434631</c:v>
                </c:pt>
                <c:pt idx="444">
                  <c:v>-62.531070622431514</c:v>
                </c:pt>
                <c:pt idx="445">
                  <c:v>-62.5745506279018</c:v>
                </c:pt>
                <c:pt idx="446">
                  <c:v>-62.617408289719123</c:v>
                </c:pt>
                <c:pt idx="447">
                  <c:v>-62.659651121081538</c:v>
                </c:pt>
                <c:pt idx="448">
                  <c:v>-62.701286517828834</c:v>
                </c:pt>
                <c:pt idx="449">
                  <c:v>-62.742321760707171</c:v>
                </c:pt>
                <c:pt idx="450">
                  <c:v>-62.782764017581457</c:v>
                </c:pt>
                <c:pt idx="451">
                  <c:v>-62.822620345597898</c:v>
                </c:pt>
                <c:pt idx="452">
                  <c:v>-62.86189769329772</c:v>
                </c:pt>
                <c:pt idx="453">
                  <c:v>-62.900602902682323</c:v>
                </c:pt>
                <c:pt idx="454">
                  <c:v>-62.938742711232862</c:v>
                </c:pt>
                <c:pt idx="455">
                  <c:v>-62.976323753884373</c:v>
                </c:pt>
                <c:pt idx="456">
                  <c:v>-63.013352564954772</c:v>
                </c:pt>
                <c:pt idx="457">
                  <c:v>-63.049835580032834</c:v>
                </c:pt>
                <c:pt idx="458">
                  <c:v>-63.085779137822101</c:v>
                </c:pt>
                <c:pt idx="459">
                  <c:v>-63.121189481945919</c:v>
                </c:pt>
                <c:pt idx="460">
                  <c:v>-63.156072762711119</c:v>
                </c:pt>
                <c:pt idx="461">
                  <c:v>-63.190435038834266</c:v>
                </c:pt>
                <c:pt idx="462">
                  <c:v>-63.224282279128801</c:v>
                </c:pt>
                <c:pt idx="463">
                  <c:v>-63.257620364156679</c:v>
                </c:pt>
                <c:pt idx="464">
                  <c:v>-63.290455087843014</c:v>
                </c:pt>
                <c:pt idx="465">
                  <c:v>-63.322792159056462</c:v>
                </c:pt>
                <c:pt idx="466">
                  <c:v>-63.35463720315488</c:v>
                </c:pt>
                <c:pt idx="467">
                  <c:v>-63.385995763498215</c:v>
                </c:pt>
                <c:pt idx="468">
                  <c:v>-63.416873302928622</c:v>
                </c:pt>
                <c:pt idx="469">
                  <c:v>-63.447275205218915</c:v>
                </c:pt>
                <c:pt idx="470">
                  <c:v>-63.477206776490362</c:v>
                </c:pt>
                <c:pt idx="471">
                  <c:v>-63.50667324659986</c:v>
                </c:pt>
                <c:pt idx="472">
                  <c:v>-63.535679770498632</c:v>
                </c:pt>
                <c:pt idx="473">
                  <c:v>-63.564231429561033</c:v>
                </c:pt>
                <c:pt idx="474">
                  <c:v>-63.592333232886688</c:v>
                </c:pt>
                <c:pt idx="475">
                  <c:v>-63.619990118574009</c:v>
                </c:pt>
                <c:pt idx="476">
                  <c:v>-63.647206954968397</c:v>
                </c:pt>
                <c:pt idx="477">
                  <c:v>-63.673988541883205</c:v>
                </c:pt>
                <c:pt idx="478">
                  <c:v>-63.700339611796352</c:v>
                </c:pt>
                <c:pt idx="479">
                  <c:v>-63.726264831021609</c:v>
                </c:pt>
                <c:pt idx="480">
                  <c:v>-63.751768800855615</c:v>
                </c:pt>
                <c:pt idx="481">
                  <c:v>-63.776856058702066</c:v>
                </c:pt>
                <c:pt idx="482">
                  <c:v>-63.801531079171497</c:v>
                </c:pt>
                <c:pt idx="483">
                  <c:v>-63.825798275160309</c:v>
                </c:pt>
                <c:pt idx="484">
                  <c:v>-63.849661998906186</c:v>
                </c:pt>
                <c:pt idx="485">
                  <c:v>-63.873126543023176</c:v>
                </c:pt>
                <c:pt idx="486">
                  <c:v>-63.896196141515105</c:v>
                </c:pt>
                <c:pt idx="487">
                  <c:v>-63.918874970769451</c:v>
                </c:pt>
                <c:pt idx="488">
                  <c:v>-63.941167150529907</c:v>
                </c:pt>
                <c:pt idx="489">
                  <c:v>-63.963076744850639</c:v>
                </c:pt>
                <c:pt idx="490">
                  <c:v>-63.984607763030965</c:v>
                </c:pt>
                <c:pt idx="491">
                  <c:v>-64.005764160531101</c:v>
                </c:pt>
                <c:pt idx="492">
                  <c:v>-64.026549839870768</c:v>
                </c:pt>
                <c:pt idx="493">
                  <c:v>-64.046968651508166</c:v>
                </c:pt>
                <c:pt idx="494">
                  <c:v>-64.06702439470385</c:v>
                </c:pt>
                <c:pt idx="495">
                  <c:v>-64.086720818365791</c:v>
                </c:pt>
                <c:pt idx="496">
                  <c:v>-64.106061621878666</c:v>
                </c:pt>
                <c:pt idx="497">
                  <c:v>-64.125050455916892</c:v>
                </c:pt>
                <c:pt idx="498">
                  <c:v>-64.143690923241593</c:v>
                </c:pt>
                <c:pt idx="499">
                  <c:v>-64.161986579482175</c:v>
                </c:pt>
                <c:pt idx="500">
                  <c:v>-64.179940933902827</c:v>
                </c:pt>
                <c:pt idx="501">
                  <c:v>-64.197557450153994</c:v>
                </c:pt>
                <c:pt idx="502">
                  <c:v>-64.214839547009717</c:v>
                </c:pt>
                <c:pt idx="503">
                  <c:v>-64.231790599090374</c:v>
                </c:pt>
                <c:pt idx="504">
                  <c:v>-64.248413937572082</c:v>
                </c:pt>
                <c:pt idx="505">
                  <c:v>-64.264712850882006</c:v>
                </c:pt>
                <c:pt idx="506">
                  <c:v>-64.280690585380825</c:v>
                </c:pt>
                <c:pt idx="507">
                  <c:v>-64.296350346032142</c:v>
                </c:pt>
                <c:pt idx="508">
                  <c:v>-64.311695297059458</c:v>
                </c:pt>
                <c:pt idx="509">
                  <c:v>-64.326728562589977</c:v>
                </c:pt>
                <c:pt idx="510">
                  <c:v>-64.341453227287303</c:v>
                </c:pt>
                <c:pt idx="511">
                  <c:v>-64.355872336971601</c:v>
                </c:pt>
                <c:pt idx="512">
                  <c:v>-64.369988899228503</c:v>
                </c:pt>
                <c:pt idx="513">
                  <c:v>-64.38380588400625</c:v>
                </c:pt>
                <c:pt idx="514">
                  <c:v>-64.397326224202487</c:v>
                </c:pt>
                <c:pt idx="515">
                  <c:v>-64.410552816239317</c:v>
                </c:pt>
                <c:pt idx="516">
                  <c:v>-64.423488520628126</c:v>
                </c:pt>
                <c:pt idx="517">
                  <c:v>-64.436136162524377</c:v>
                </c:pt>
                <c:pt idx="518">
                  <c:v>-64.448498532271287</c:v>
                </c:pt>
                <c:pt idx="519">
                  <c:v>-64.460578385934724</c:v>
                </c:pt>
                <c:pt idx="520">
                  <c:v>-64.47237844582699</c:v>
                </c:pt>
                <c:pt idx="521">
                  <c:v>-64.483901401022536</c:v>
                </c:pt>
                <c:pt idx="522">
                  <c:v>-64.495149907862981</c:v>
                </c:pt>
                <c:pt idx="523">
                  <c:v>-64.506126590453675</c:v>
                </c:pt>
                <c:pt idx="524">
                  <c:v>-64.516834041151498</c:v>
                </c:pt>
                <c:pt idx="525">
                  <c:v>-64.527274821043193</c:v>
                </c:pt>
                <c:pt idx="526">
                  <c:v>-64.537451460415497</c:v>
                </c:pt>
                <c:pt idx="527">
                  <c:v>-64.547366459217358</c:v>
                </c:pt>
                <c:pt idx="528">
                  <c:v>-64.557022287512495</c:v>
                </c:pt>
                <c:pt idx="529">
                  <c:v>-64.566421385925707</c:v>
                </c:pt>
                <c:pt idx="530">
                  <c:v>-64.575566166079739</c:v>
                </c:pt>
                <c:pt idx="531">
                  <c:v>-64.58445901102516</c:v>
                </c:pt>
                <c:pt idx="532">
                  <c:v>-64.593102275662631</c:v>
                </c:pt>
                <c:pt idx="533">
                  <c:v>-64.601498287157767</c:v>
                </c:pt>
                <c:pt idx="534">
                  <c:v>-64.609649345348004</c:v>
                </c:pt>
                <c:pt idx="535">
                  <c:v>-64.617557723143648</c:v>
                </c:pt>
                <c:pt idx="536">
                  <c:v>-64.625225666920699</c:v>
                </c:pt>
                <c:pt idx="537">
                  <c:v>-64.63265539690741</c:v>
                </c:pt>
                <c:pt idx="538">
                  <c:v>-64.639849107564288</c:v>
                </c:pt>
                <c:pt idx="539">
                  <c:v>-64.646808967957099</c:v>
                </c:pt>
                <c:pt idx="540">
                  <c:v>-64.65353712212368</c:v>
                </c:pt>
                <c:pt idx="541">
                  <c:v>-64.660035689434324</c:v>
                </c:pt>
                <c:pt idx="542">
                  <c:v>-64.666306764946228</c:v>
                </c:pt>
                <c:pt idx="543">
                  <c:v>-64.672352419751434</c:v>
                </c:pt>
                <c:pt idx="544">
                  <c:v>-64.678174701319278</c:v>
                </c:pt>
                <c:pt idx="545">
                  <c:v>-64.68377563383271</c:v>
                </c:pt>
                <c:pt idx="546">
                  <c:v>-64.689157218519199</c:v>
                </c:pt>
                <c:pt idx="547">
                  <c:v>-64.69432143397546</c:v>
                </c:pt>
                <c:pt idx="548">
                  <c:v>-64.699270236487507</c:v>
                </c:pt>
                <c:pt idx="549">
                  <c:v>-64.704005560344655</c:v>
                </c:pt>
                <c:pt idx="550">
                  <c:v>-64.708529318148379</c:v>
                </c:pt>
                <c:pt idx="551">
                  <c:v>-64.71284340111643</c:v>
                </c:pt>
                <c:pt idx="552">
                  <c:v>-64.716949679381287</c:v>
                </c:pt>
                <c:pt idx="553">
                  <c:v>-64.720850002284038</c:v>
                </c:pt>
                <c:pt idx="554">
                  <c:v>-64.724546198662949</c:v>
                </c:pt>
                <c:pt idx="555">
                  <c:v>-64.728040077138132</c:v>
                </c:pt>
                <c:pt idx="556">
                  <c:v>-64.731333426390108</c:v>
                </c:pt>
                <c:pt idx="557">
                  <c:v>-64.734428015435356</c:v>
                </c:pt>
                <c:pt idx="558">
                  <c:v>-64.737325593895946</c:v>
                </c:pt>
                <c:pt idx="559">
                  <c:v>-64.740027892265687</c:v>
                </c:pt>
                <c:pt idx="560">
                  <c:v>-64.742536622171514</c:v>
                </c:pt>
                <c:pt idx="561">
                  <c:v>-64.744853476630823</c:v>
                </c:pt>
                <c:pt idx="562">
                  <c:v>-64.746980130304109</c:v>
                </c:pt>
                <c:pt idx="563">
                  <c:v>-64.74891823974437</c:v>
                </c:pt>
                <c:pt idx="564">
                  <c:v>-64.750669443641641</c:v>
                </c:pt>
                <c:pt idx="565">
                  <c:v>-64.75223536306396</c:v>
                </c:pt>
                <c:pt idx="566">
                  <c:v>-64.753617601694657</c:v>
                </c:pt>
                <c:pt idx="567">
                  <c:v>-64.754817746065271</c:v>
                </c:pt>
                <c:pt idx="568">
                  <c:v>-64.75583736578551</c:v>
                </c:pt>
                <c:pt idx="569">
                  <c:v>-64.756678013768351</c:v>
                </c:pt>
                <c:pt idx="570">
                  <c:v>-64.75734122645315</c:v>
                </c:pt>
                <c:pt idx="571">
                  <c:v>-64.757828524023722</c:v>
                </c:pt>
                <c:pt idx="572">
                  <c:v>-64.758141410623864</c:v>
                </c:pt>
                <c:pt idx="573">
                  <c:v>-64.758281374569009</c:v>
                </c:pt>
                <c:pt idx="574">
                  <c:v>-64.758249888555071</c:v>
                </c:pt>
                <c:pt idx="575">
                  <c:v>-64.758048409863193</c:v>
                </c:pt>
                <c:pt idx="576">
                  <c:v>-64.75767838056214</c:v>
                </c:pt>
                <c:pt idx="577">
                  <c:v>-64.757141227706796</c:v>
                </c:pt>
                <c:pt idx="578">
                  <c:v>-64.756438363534272</c:v>
                </c:pt>
                <c:pt idx="579">
                  <c:v>-64.755571185656237</c:v>
                </c:pt>
                <c:pt idx="580">
                  <c:v>-64.754541077248689</c:v>
                </c:pt>
                <c:pt idx="581">
                  <c:v>-64.753349407238858</c:v>
                </c:pt>
                <c:pt idx="582">
                  <c:v>-64.751997530488978</c:v>
                </c:pt>
                <c:pt idx="583">
                  <c:v>-64.750486787977138</c:v>
                </c:pt>
                <c:pt idx="584">
                  <c:v>-64.748818506975852</c:v>
                </c:pt>
                <c:pt idx="585">
                  <c:v>-64.746994001227193</c:v>
                </c:pt>
                <c:pt idx="586">
                  <c:v>-64.745014571115917</c:v>
                </c:pt>
                <c:pt idx="587">
                  <c:v>-64.742881503839499</c:v>
                </c:pt>
                <c:pt idx="588">
                  <c:v>-64.740596073575631</c:v>
                </c:pt>
                <c:pt idx="589">
                  <c:v>-64.738159541647605</c:v>
                </c:pt>
                <c:pt idx="590">
                  <c:v>-64.735573156686343</c:v>
                </c:pt>
                <c:pt idx="591">
                  <c:v>-64.732838154790954</c:v>
                </c:pt>
                <c:pt idx="592">
                  <c:v>-64.729955759685936</c:v>
                </c:pt>
                <c:pt idx="593">
                  <c:v>-64.726927182877063</c:v>
                </c:pt>
                <c:pt idx="594">
                  <c:v>-64.723753623803674</c:v>
                </c:pt>
                <c:pt idx="595">
                  <c:v>-64.720436269989875</c:v>
                </c:pt>
                <c:pt idx="596">
                  <c:v>-64.716976297192815</c:v>
                </c:pt>
                <c:pt idx="597">
                  <c:v>-64.713374869548488</c:v>
                </c:pt>
                <c:pt idx="598">
                  <c:v>-64.709633139716573</c:v>
                </c:pt>
                <c:pt idx="599">
                  <c:v>-64.7057522490216</c:v>
                </c:pt>
                <c:pt idx="600">
                  <c:v>-64.701733327593104</c:v>
                </c:pt>
                <c:pt idx="601">
                  <c:v>-64.697577494503349</c:v>
                </c:pt>
                <c:pt idx="602">
                  <c:v>-64.69328585790285</c:v>
                </c:pt>
                <c:pt idx="603">
                  <c:v>-64.68885951515432</c:v>
                </c:pt>
                <c:pt idx="604">
                  <c:v>-64.684299552964148</c:v>
                </c:pt>
                <c:pt idx="605">
                  <c:v>-64.67960704751269</c:v>
                </c:pt>
                <c:pt idx="606">
                  <c:v>-64.297051847827476</c:v>
                </c:pt>
                <c:pt idx="607">
                  <c:v>-63.688735154417571</c:v>
                </c:pt>
                <c:pt idx="608">
                  <c:v>-62.924632069382795</c:v>
                </c:pt>
                <c:pt idx="609">
                  <c:v>-62.052023667581096</c:v>
                </c:pt>
                <c:pt idx="610">
                  <c:v>-61.104043006717262</c:v>
                </c:pt>
                <c:pt idx="611">
                  <c:v>-60.104602319702337</c:v>
                </c:pt>
                <c:pt idx="612">
                  <c:v>-59.071372430032113</c:v>
                </c:pt>
                <c:pt idx="613">
                  <c:v>-58.017659241369358</c:v>
                </c:pt>
                <c:pt idx="614">
                  <c:v>-56.953628245167835</c:v>
                </c:pt>
                <c:pt idx="615">
                  <c:v>-55.887129061969432</c:v>
                </c:pt>
                <c:pt idx="616">
                  <c:v>-54.824266524969687</c:v>
                </c:pt>
                <c:pt idx="617">
                  <c:v>-53.769806443995208</c:v>
                </c:pt>
                <c:pt idx="618">
                  <c:v>-53.351238502085408</c:v>
                </c:pt>
                <c:pt idx="619">
                  <c:v>-52.934818423743081</c:v>
                </c:pt>
                <c:pt idx="620">
                  <c:v>-52.520725905123328</c:v>
                </c:pt>
                <c:pt idx="621">
                  <c:v>-52.10912315917588</c:v>
                </c:pt>
                <c:pt idx="622">
                  <c:v>-51.700156382924717</c:v>
                </c:pt>
                <c:pt idx="623">
                  <c:v>-51.293957082144658</c:v>
                </c:pt>
                <c:pt idx="624">
                  <c:v>-50.89064327025838</c:v>
                </c:pt>
                <c:pt idx="625">
                  <c:v>-50.490320555960949</c:v>
                </c:pt>
                <c:pt idx="626">
                  <c:v>-50.093083132117442</c:v>
                </c:pt>
                <c:pt idx="627">
                  <c:v>-49.699014676816347</c:v>
                </c:pt>
                <c:pt idx="628">
                  <c:v>-49.308189176040202</c:v>
                </c:pt>
                <c:pt idx="629">
                  <c:v>-48.920671676211072</c:v>
                </c:pt>
                <c:pt idx="630">
                  <c:v>-48.536518973826844</c:v>
                </c:pt>
                <c:pt idx="631">
                  <c:v>-48.155780248522063</c:v>
                </c:pt>
                <c:pt idx="632">
                  <c:v>-47.778497645116914</c:v>
                </c:pt>
                <c:pt idx="633">
                  <c:v>-47.404706809564431</c:v>
                </c:pt>
                <c:pt idx="634">
                  <c:v>-47.034437383132484</c:v>
                </c:pt>
                <c:pt idx="635">
                  <c:v>-46.667713458665446</c:v>
                </c:pt>
                <c:pt idx="636">
                  <c:v>-46.304554002340979</c:v>
                </c:pt>
                <c:pt idx="637">
                  <c:v>-45.944973243965279</c:v>
                </c:pt>
                <c:pt idx="638">
                  <c:v>-45.588981038522348</c:v>
                </c:pt>
                <c:pt idx="639">
                  <c:v>-45.23658320141115</c:v>
                </c:pt>
                <c:pt idx="640">
                  <c:v>-44.887781819550895</c:v>
                </c:pt>
                <c:pt idx="641">
                  <c:v>-44.542575540318751</c:v>
                </c:pt>
                <c:pt idx="642">
                  <c:v>-44.200959840090349</c:v>
                </c:pt>
                <c:pt idx="643">
                  <c:v>-43.862927273979722</c:v>
                </c:pt>
                <c:pt idx="644">
                  <c:v>-43.52846770822984</c:v>
                </c:pt>
                <c:pt idx="645">
                  <c:v>-43.197568536565967</c:v>
                </c:pt>
                <c:pt idx="646">
                  <c:v>-42.870214881708819</c:v>
                </c:pt>
                <c:pt idx="647">
                  <c:v>-42.54638978313568</c:v>
                </c:pt>
                <c:pt idx="648">
                  <c:v>-42.22607437208589</c:v>
                </c:pt>
                <c:pt idx="649">
                  <c:v>-41.909248034719724</c:v>
                </c:pt>
                <c:pt idx="650">
                  <c:v>-41.595888564265522</c:v>
                </c:pt>
                <c:pt idx="651">
                  <c:v>-41.285972302921834</c:v>
                </c:pt>
                <c:pt idx="652">
                  <c:v>-40.979474274217438</c:v>
                </c:pt>
                <c:pt idx="653">
                  <c:v>-40.676368306480697</c:v>
                </c:pt>
                <c:pt idx="654">
                  <c:v>-40.376627148015274</c:v>
                </c:pt>
                <c:pt idx="655">
                  <c:v>-40.080222574536521</c:v>
                </c:pt>
                <c:pt idx="656">
                  <c:v>-39.787125489380401</c:v>
                </c:pt>
                <c:pt idx="657">
                  <c:v>-39.497306016959556</c:v>
                </c:pt>
                <c:pt idx="658">
                  <c:v>-39.210733589905999</c:v>
                </c:pt>
                <c:pt idx="659">
                  <c:v>-38.927377030309913</c:v>
                </c:pt>
                <c:pt idx="660">
                  <c:v>-38.647204625433659</c:v>
                </c:pt>
                <c:pt idx="661">
                  <c:v>-38.370184198255373</c:v>
                </c:pt>
                <c:pt idx="662">
                  <c:v>-38.096283173171059</c:v>
                </c:pt>
                <c:pt idx="663">
                  <c:v>-37.825468637162373</c:v>
                </c:pt>
                <c:pt idx="664">
                  <c:v>-37.557707396716694</c:v>
                </c:pt>
                <c:pt idx="665">
                  <c:v>-37.292966030767559</c:v>
                </c:pt>
                <c:pt idx="666">
                  <c:v>-37.031210939904526</c:v>
                </c:pt>
                <c:pt idx="667">
                  <c:v>-36.772408392087073</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155.35821919560559</c:v>
                </c:pt>
                <c:pt idx="1">
                  <c:v>137.47850983331628</c:v>
                </c:pt>
                <c:pt idx="2">
                  <c:v>126.03735769178147</c:v>
                </c:pt>
                <c:pt idx="3">
                  <c:v>118.64467309721056</c:v>
                </c:pt>
                <c:pt idx="4">
                  <c:v>113.63299955414369</c:v>
                </c:pt>
                <c:pt idx="5">
                  <c:v>110.06465485444349</c:v>
                </c:pt>
                <c:pt idx="6">
                  <c:v>107.4156357594288</c:v>
                </c:pt>
                <c:pt idx="7">
                  <c:v>105.38088142731503</c:v>
                </c:pt>
                <c:pt idx="8">
                  <c:v>103.7740063772135</c:v>
                </c:pt>
                <c:pt idx="9">
                  <c:v>102.475867911105</c:v>
                </c:pt>
                <c:pt idx="10">
                  <c:v>96.591678820813215</c:v>
                </c:pt>
                <c:pt idx="11">
                  <c:v>94.717139013959581</c:v>
                </c:pt>
                <c:pt idx="12">
                  <c:v>93.869560261243535</c:v>
                </c:pt>
                <c:pt idx="13">
                  <c:v>93.435254534045797</c:v>
                </c:pt>
                <c:pt idx="14">
                  <c:v>93.208096921745806</c:v>
                </c:pt>
                <c:pt idx="15">
                  <c:v>93.099456730551978</c:v>
                </c:pt>
                <c:pt idx="16">
                  <c:v>93.064940377176043</c:v>
                </c:pt>
                <c:pt idx="17">
                  <c:v>93.079858207311943</c:v>
                </c:pt>
                <c:pt idx="18">
                  <c:v>93.129385704803028</c:v>
                </c:pt>
                <c:pt idx="19">
                  <c:v>94.385587750011851</c:v>
                </c:pt>
                <c:pt idx="20">
                  <c:v>96.054397189401939</c:v>
                </c:pt>
                <c:pt idx="21">
                  <c:v>97.822367675767737</c:v>
                </c:pt>
                <c:pt idx="22">
                  <c:v>99.625528755690681</c:v>
                </c:pt>
                <c:pt idx="23">
                  <c:v>101.44152076082005</c:v>
                </c:pt>
                <c:pt idx="24">
                  <c:v>103.2598933218602</c:v>
                </c:pt>
                <c:pt idx="25">
                  <c:v>105.0746824253924</c:v>
                </c:pt>
                <c:pt idx="26">
                  <c:v>106.881938515633</c:v>
                </c:pt>
                <c:pt idx="27">
                  <c:v>108.67873968318746</c:v>
                </c:pt>
                <c:pt idx="28">
                  <c:v>117.43434354930287</c:v>
                </c:pt>
                <c:pt idx="29">
                  <c:v>125.67267300827102</c:v>
                </c:pt>
                <c:pt idx="30">
                  <c:v>133.25262133679547</c:v>
                </c:pt>
                <c:pt idx="31">
                  <c:v>140.06457527657636</c:v>
                </c:pt>
                <c:pt idx="32">
                  <c:v>146.01031161926483</c:v>
                </c:pt>
                <c:pt idx="33">
                  <c:v>150.97703714121613</c:v>
                </c:pt>
                <c:pt idx="34">
                  <c:v>154.79525254156133</c:v>
                </c:pt>
                <c:pt idx="35">
                  <c:v>157.15943874973766</c:v>
                </c:pt>
                <c:pt idx="36">
                  <c:v>157.45448074679456</c:v>
                </c:pt>
                <c:pt idx="37">
                  <c:v>154.32435077721874</c:v>
                </c:pt>
                <c:pt idx="38">
                  <c:v>144.57086905233854</c:v>
                </c:pt>
                <c:pt idx="39">
                  <c:v>121.90031404416919</c:v>
                </c:pt>
                <c:pt idx="40">
                  <c:v>88.154858271532746</c:v>
                </c:pt>
                <c:pt idx="41">
                  <c:v>64.323510360355741</c:v>
                </c:pt>
                <c:pt idx="42">
                  <c:v>52.961997626156176</c:v>
                </c:pt>
                <c:pt idx="43">
                  <c:v>47.71115373947265</c:v>
                </c:pt>
                <c:pt idx="44">
                  <c:v>45.265030031350591</c:v>
                </c:pt>
                <c:pt idx="45">
                  <c:v>44.210057001005538</c:v>
                </c:pt>
                <c:pt idx="46">
                  <c:v>43.896023532693249</c:v>
                </c:pt>
                <c:pt idx="47">
                  <c:v>43.995235023852189</c:v>
                </c:pt>
                <c:pt idx="48">
                  <c:v>44.329676248144239</c:v>
                </c:pt>
                <c:pt idx="49">
                  <c:v>44.796965270544405</c:v>
                </c:pt>
                <c:pt idx="50">
                  <c:v>45.335689045101532</c:v>
                </c:pt>
                <c:pt idx="51">
                  <c:v>45.907894930114054</c:v>
                </c:pt>
                <c:pt idx="52">
                  <c:v>46.489672680671248</c:v>
                </c:pt>
                <c:pt idx="53">
                  <c:v>47.065818276436403</c:v>
                </c:pt>
                <c:pt idx="54">
                  <c:v>47.626677756328917</c:v>
                </c:pt>
                <c:pt idx="55">
                  <c:v>48.166212654819418</c:v>
                </c:pt>
                <c:pt idx="56">
                  <c:v>48.680778452909919</c:v>
                </c:pt>
                <c:pt idx="57">
                  <c:v>49.168333903565042</c:v>
                </c:pt>
                <c:pt idx="58">
                  <c:v>49.627918593832931</c:v>
                </c:pt>
                <c:pt idx="59">
                  <c:v>50.059301817981833</c:v>
                </c:pt>
                <c:pt idx="60">
                  <c:v>50.462743295394176</c:v>
                </c:pt>
                <c:pt idx="61">
                  <c:v>50.838828309130122</c:v>
                </c:pt>
                <c:pt idx="62">
                  <c:v>51.188353180384865</c:v>
                </c:pt>
                <c:pt idx="63">
                  <c:v>51.512245270307005</c:v>
                </c:pt>
                <c:pt idx="64">
                  <c:v>51.811506950839004</c:v>
                </c:pt>
                <c:pt idx="65">
                  <c:v>52.087176383549149</c:v>
                </c:pt>
                <c:pt idx="66">
                  <c:v>52.340300183199773</c:v>
                </c:pt>
                <c:pt idx="67">
                  <c:v>52.571914540505517</c:v>
                </c:pt>
                <c:pt idx="68">
                  <c:v>52.783032395423348</c:v>
                </c:pt>
                <c:pt idx="69">
                  <c:v>52.974634951707358</c:v>
                </c:pt>
                <c:pt idx="70">
                  <c:v>53.147666310110125</c:v>
                </c:pt>
                <c:pt idx="71">
                  <c:v>53.303030339781955</c:v>
                </c:pt>
                <c:pt idx="72">
                  <c:v>53.441589150267916</c:v>
                </c:pt>
                <c:pt idx="73">
                  <c:v>53.564162700312522</c:v>
                </c:pt>
                <c:pt idx="74">
                  <c:v>53.671529205005271</c:v>
                </c:pt>
                <c:pt idx="75">
                  <c:v>53.764426093762552</c:v>
                </c:pt>
                <c:pt idx="76">
                  <c:v>53.843551338043682</c:v>
                </c:pt>
                <c:pt idx="77">
                  <c:v>53.909565016406191</c:v>
                </c:pt>
                <c:pt idx="78">
                  <c:v>53.963091020385519</c:v>
                </c:pt>
                <c:pt idx="79">
                  <c:v>54.004718831197934</c:v>
                </c:pt>
                <c:pt idx="80">
                  <c:v>54.035005316903082</c:v>
                </c:pt>
                <c:pt idx="81">
                  <c:v>54.054476514234025</c:v>
                </c:pt>
                <c:pt idx="82">
                  <c:v>54.063629370111784</c:v>
                </c:pt>
                <c:pt idx="83">
                  <c:v>54.062933425880544</c:v>
                </c:pt>
                <c:pt idx="84">
                  <c:v>54.052832433231956</c:v>
                </c:pt>
                <c:pt idx="85">
                  <c:v>54.033745895159385</c:v>
                </c:pt>
                <c:pt idx="86">
                  <c:v>54.006070528488848</c:v>
                </c:pt>
                <c:pt idx="87">
                  <c:v>53.970181646860297</c:v>
                </c:pt>
                <c:pt idx="88">
                  <c:v>53.926434464703462</c:v>
                </c:pt>
                <c:pt idx="89">
                  <c:v>53.875165323927931</c:v>
                </c:pt>
                <c:pt idx="90">
                  <c:v>53.816692845855286</c:v>
                </c:pt>
                <c:pt idx="91">
                  <c:v>53.751319011450775</c:v>
                </c:pt>
                <c:pt idx="92">
                  <c:v>53.679330173237886</c:v>
                </c:pt>
                <c:pt idx="93">
                  <c:v>53.600998002454048</c:v>
                </c:pt>
                <c:pt idx="94">
                  <c:v>53.516580375067448</c:v>
                </c:pt>
                <c:pt idx="95">
                  <c:v>53.426322200259776</c:v>
                </c:pt>
                <c:pt idx="96">
                  <c:v>53.330456194904016</c:v>
                </c:pt>
                <c:pt idx="97">
                  <c:v>53.229203607454238</c:v>
                </c:pt>
                <c:pt idx="98">
                  <c:v>53.122774894524014</c:v>
                </c:pt>
                <c:pt idx="99">
                  <c:v>53.011370353275694</c:v>
                </c:pt>
                <c:pt idx="100">
                  <c:v>52.895180712575382</c:v>
                </c:pt>
                <c:pt idx="101">
                  <c:v>52.77438768570282</c:v>
                </c:pt>
                <c:pt idx="102">
                  <c:v>52.649164487235723</c:v>
                </c:pt>
                <c:pt idx="103">
                  <c:v>52.519676316563519</c:v>
                </c:pt>
                <c:pt idx="104">
                  <c:v>52.386080810326149</c:v>
                </c:pt>
                <c:pt idx="105">
                  <c:v>52.248528465919705</c:v>
                </c:pt>
                <c:pt idx="106">
                  <c:v>52.107163038065707</c:v>
                </c:pt>
                <c:pt idx="107">
                  <c:v>51.962121910301192</c:v>
                </c:pt>
                <c:pt idx="108">
                  <c:v>51.813536443118238</c:v>
                </c:pt>
                <c:pt idx="109">
                  <c:v>51.661532300357408</c:v>
                </c:pt>
                <c:pt idx="110">
                  <c:v>51.506229755347448</c:v>
                </c:pt>
                <c:pt idx="111">
                  <c:v>51.347743978174037</c:v>
                </c:pt>
                <c:pt idx="112">
                  <c:v>51.186185305363551</c:v>
                </c:pt>
                <c:pt idx="113">
                  <c:v>51.021659493173075</c:v>
                </c:pt>
                <c:pt idx="114">
                  <c:v>50.854267955593485</c:v>
                </c:pt>
                <c:pt idx="115">
                  <c:v>50.684107988090915</c:v>
                </c:pt>
                <c:pt idx="116">
                  <c:v>50.511272978040637</c:v>
                </c:pt>
                <c:pt idx="117">
                  <c:v>50.335852602735031</c:v>
                </c:pt>
                <c:pt idx="118">
                  <c:v>50.157933015787677</c:v>
                </c:pt>
                <c:pt idx="119">
                  <c:v>49.977597022694511</c:v>
                </c:pt>
                <c:pt idx="120">
                  <c:v>49.794924246258972</c:v>
                </c:pt>
                <c:pt idx="121">
                  <c:v>49.609991282538459</c:v>
                </c:pt>
                <c:pt idx="122">
                  <c:v>49.422871847922323</c:v>
                </c:pt>
                <c:pt idx="123">
                  <c:v>49.233636917908683</c:v>
                </c:pt>
                <c:pt idx="124">
                  <c:v>49.042354858107615</c:v>
                </c:pt>
                <c:pt idx="125">
                  <c:v>48.84909154796091</c:v>
                </c:pt>
                <c:pt idx="126">
                  <c:v>48.65391049763582</c:v>
                </c:pt>
                <c:pt idx="127">
                  <c:v>48.456872958516612</c:v>
                </c:pt>
                <c:pt idx="128">
                  <c:v>48.258038027690674</c:v>
                </c:pt>
                <c:pt idx="129">
                  <c:v>48.057462746797114</c:v>
                </c:pt>
                <c:pt idx="130">
                  <c:v>47.855202195581654</c:v>
                </c:pt>
                <c:pt idx="131">
                  <c:v>47.651309580478738</c:v>
                </c:pt>
                <c:pt idx="132">
                  <c:v>47.445836318518502</c:v>
                </c:pt>
                <c:pt idx="133">
                  <c:v>47.238832116838864</c:v>
                </c:pt>
                <c:pt idx="134">
                  <c:v>47.030345048062003</c:v>
                </c:pt>
                <c:pt idx="135">
                  <c:v>46.820421621779388</c:v>
                </c:pt>
                <c:pt idx="136">
                  <c:v>46.609106852371667</c:v>
                </c:pt>
                <c:pt idx="137">
                  <c:v>46.396444323376954</c:v>
                </c:pt>
                <c:pt idx="138">
                  <c:v>46.182476248605013</c:v>
                </c:pt>
                <c:pt idx="139">
                  <c:v>45.967243530184589</c:v>
                </c:pt>
                <c:pt idx="140">
                  <c:v>45.750785813717044</c:v>
                </c:pt>
                <c:pt idx="141">
                  <c:v>45.53314154069966</c:v>
                </c:pt>
                <c:pt idx="142">
                  <c:v>45.314347998371318</c:v>
                </c:pt>
                <c:pt idx="143">
                  <c:v>45.094441367123864</c:v>
                </c:pt>
                <c:pt idx="144">
                  <c:v>44.873456765613099</c:v>
                </c:pt>
                <c:pt idx="145">
                  <c:v>44.651428293696199</c:v>
                </c:pt>
                <c:pt idx="146">
                  <c:v>44.428389073312331</c:v>
                </c:pt>
                <c:pt idx="147">
                  <c:v>44.204371287419463</c:v>
                </c:pt>
                <c:pt idx="148">
                  <c:v>43.979406217089831</c:v>
                </c:pt>
                <c:pt idx="149">
                  <c:v>43.753524276863203</c:v>
                </c:pt>
                <c:pt idx="150">
                  <c:v>43.526755048449928</c:v>
                </c:pt>
                <c:pt idx="151">
                  <c:v>43.299127312870269</c:v>
                </c:pt>
                <c:pt idx="152">
                  <c:v>43.070669081111674</c:v>
                </c:pt>
                <c:pt idx="153">
                  <c:v>42.841407623380917</c:v>
                </c:pt>
                <c:pt idx="154">
                  <c:v>42.611369497023361</c:v>
                </c:pt>
                <c:pt idx="155">
                  <c:v>42.380580573177383</c:v>
                </c:pt>
                <c:pt idx="156">
                  <c:v>42.149066062228513</c:v>
                </c:pt>
                <c:pt idx="157">
                  <c:v>41.916850538123697</c:v>
                </c:pt>
                <c:pt idx="158">
                  <c:v>41.683957961602573</c:v>
                </c:pt>
                <c:pt idx="159">
                  <c:v>41.450411702400118</c:v>
                </c:pt>
                <c:pt idx="160">
                  <c:v>41.216234560471634</c:v>
                </c:pt>
                <c:pt idx="161">
                  <c:v>40.98144878628716</c:v>
                </c:pt>
                <c:pt idx="162">
                  <c:v>40.746076100242419</c:v>
                </c:pt>
                <c:pt idx="163">
                  <c:v>40.510137711227856</c:v>
                </c:pt>
                <c:pt idx="164">
                  <c:v>40.273654334396753</c:v>
                </c:pt>
                <c:pt idx="165">
                  <c:v>40.03664620817122</c:v>
                </c:pt>
                <c:pt idx="166">
                  <c:v>39.799133110521808</c:v>
                </c:pt>
                <c:pt idx="167">
                  <c:v>39.561134374555621</c:v>
                </c:pt>
                <c:pt idx="168">
                  <c:v>39.322668903445305</c:v>
                </c:pt>
                <c:pt idx="169">
                  <c:v>39.083755184729796</c:v>
                </c:pt>
                <c:pt idx="170">
                  <c:v>38.844411304015921</c:v>
                </c:pt>
                <c:pt idx="171">
                  <c:v>38.604654958108796</c:v>
                </c:pt>
                <c:pt idx="172">
                  <c:v>38.364503467597501</c:v>
                </c:pt>
                <c:pt idx="173">
                  <c:v>38.123973788920239</c:v>
                </c:pt>
                <c:pt idx="174">
                  <c:v>37.883082525933531</c:v>
                </c:pt>
                <c:pt idx="175">
                  <c:v>37.641845941007176</c:v>
                </c:pt>
                <c:pt idx="176">
                  <c:v>37.400279965667067</c:v>
                </c:pt>
                <c:pt idx="177">
                  <c:v>37.158400210805183</c:v>
                </c:pt>
                <c:pt idx="178">
                  <c:v>36.916221976477004</c:v>
                </c:pt>
                <c:pt idx="179">
                  <c:v>36.673760261304011</c:v>
                </c:pt>
                <c:pt idx="180">
                  <c:v>36.431029771498828</c:v>
                </c:pt>
                <c:pt idx="181">
                  <c:v>36.188044929529894</c:v>
                </c:pt>
                <c:pt idx="182">
                  <c:v>35.944819882440726</c:v>
                </c:pt>
                <c:pt idx="183">
                  <c:v>35.701368509839824</c:v>
                </c:pt>
                <c:pt idx="184">
                  <c:v>35.457704431574001</c:v>
                </c:pt>
                <c:pt idx="185">
                  <c:v>35.213841015100797</c:v>
                </c:pt>
                <c:pt idx="186">
                  <c:v>34.969791382570691</c:v>
                </c:pt>
                <c:pt idx="187">
                  <c:v>34.725568417633298</c:v>
                </c:pt>
                <c:pt idx="188">
                  <c:v>34.481184771978121</c:v>
                </c:pt>
                <c:pt idx="189">
                  <c:v>34.2366528716218</c:v>
                </c:pt>
                <c:pt idx="190">
                  <c:v>33.991984922952554</c:v>
                </c:pt>
                <c:pt idx="191">
                  <c:v>33.74719291854106</c:v>
                </c:pt>
                <c:pt idx="192">
                  <c:v>33.502288642729241</c:v>
                </c:pt>
                <c:pt idx="193">
                  <c:v>33.257283677004551</c:v>
                </c:pt>
                <c:pt idx="194">
                  <c:v>33.01218940516992</c:v>
                </c:pt>
                <c:pt idx="195">
                  <c:v>32.767017018317233</c:v>
                </c:pt>
                <c:pt idx="196">
                  <c:v>32.521777519612272</c:v>
                </c:pt>
                <c:pt idx="197">
                  <c:v>32.27648172889991</c:v>
                </c:pt>
                <c:pt idx="198">
                  <c:v>32.031140287135599</c:v>
                </c:pt>
                <c:pt idx="199">
                  <c:v>31.785763660651156</c:v>
                </c:pt>
                <c:pt idx="200">
                  <c:v>31.540362145261895</c:v>
                </c:pt>
                <c:pt idx="201">
                  <c:v>31.294945870220261</c:v>
                </c:pt>
                <c:pt idx="202">
                  <c:v>31.049524802023569</c:v>
                </c:pt>
                <c:pt idx="203">
                  <c:v>30.804108748081489</c:v>
                </c:pt>
                <c:pt idx="204">
                  <c:v>30.558707360248036</c:v>
                </c:pt>
                <c:pt idx="205">
                  <c:v>30.313330138224927</c:v>
                </c:pt>
                <c:pt idx="206">
                  <c:v>30.067986432840542</c:v>
                </c:pt>
                <c:pt idx="207">
                  <c:v>29.822685449209928</c:v>
                </c:pt>
                <c:pt idx="208">
                  <c:v>29.577436249780106</c:v>
                </c:pt>
                <c:pt idx="209">
                  <c:v>29.332247757266657</c:v>
                </c:pt>
                <c:pt idx="210">
                  <c:v>29.087128757483839</c:v>
                </c:pt>
                <c:pt idx="211">
                  <c:v>28.842087902074667</c:v>
                </c:pt>
                <c:pt idx="212">
                  <c:v>28.597133711143357</c:v>
                </c:pt>
                <c:pt idx="213">
                  <c:v>28.35227457579515</c:v>
                </c:pt>
                <c:pt idx="214">
                  <c:v>28.107518760586402</c:v>
                </c:pt>
                <c:pt idx="215">
                  <c:v>27.862874405889301</c:v>
                </c:pt>
                <c:pt idx="216">
                  <c:v>27.618349530173674</c:v>
                </c:pt>
                <c:pt idx="217">
                  <c:v>27.373952032210667</c:v>
                </c:pt>
                <c:pt idx="218">
                  <c:v>27.129689693199538</c:v>
                </c:pt>
                <c:pt idx="219">
                  <c:v>26.885570178822462</c:v>
                </c:pt>
                <c:pt idx="220">
                  <c:v>26.641601041229023</c:v>
                </c:pt>
                <c:pt idx="221">
                  <c:v>26.397789720953824</c:v>
                </c:pt>
                <c:pt idx="222">
                  <c:v>26.154143548769468</c:v>
                </c:pt>
                <c:pt idx="223">
                  <c:v>25.910669747478096</c:v>
                </c:pt>
                <c:pt idx="224">
                  <c:v>25.667375433643571</c:v>
                </c:pt>
                <c:pt idx="225">
                  <c:v>25.424267619266317</c:v>
                </c:pt>
                <c:pt idx="226">
                  <c:v>23.004917917199919</c:v>
                </c:pt>
                <c:pt idx="227">
                  <c:v>20.611211301074974</c:v>
                </c:pt>
                <c:pt idx="228">
                  <c:v>18.24864681610606</c:v>
                </c:pt>
                <c:pt idx="229">
                  <c:v>15.921937322087189</c:v>
                </c:pt>
                <c:pt idx="230">
                  <c:v>13.635087943891364</c:v>
                </c:pt>
                <c:pt idx="231">
                  <c:v>11.391460316106816</c:v>
                </c:pt>
                <c:pt idx="232">
                  <c:v>9.1938279824289566</c:v>
                </c:pt>
                <c:pt idx="233">
                  <c:v>7.0444263865369408</c:v>
                </c:pt>
                <c:pt idx="234">
                  <c:v>4.9449995489499372</c:v>
                </c:pt>
                <c:pt idx="235">
                  <c:v>2.8968446000580457</c:v>
                </c:pt>
                <c:pt idx="236">
                  <c:v>0.90085472008931333</c:v>
                </c:pt>
                <c:pt idx="237">
                  <c:v>-1.0424393594578873</c:v>
                </c:pt>
                <c:pt idx="238">
                  <c:v>-2.9328293725603487</c:v>
                </c:pt>
                <c:pt idx="239">
                  <c:v>-4.7703912521922405</c:v>
                </c:pt>
                <c:pt idx="240">
                  <c:v>-6.5554488190959148</c:v>
                </c:pt>
                <c:pt idx="241">
                  <c:v>-8.2885396527951798</c:v>
                </c:pt>
                <c:pt idx="242">
                  <c:v>-9.9703833298754603</c:v>
                </c:pt>
                <c:pt idx="243">
                  <c:v>-11.601852157362117</c:v>
                </c:pt>
                <c:pt idx="244">
                  <c:v>-13.183944467292463</c:v>
                </c:pt>
                <c:pt idx="245">
                  <c:v>-14.717760479380672</c:v>
                </c:pt>
                <c:pt idx="246">
                  <c:v>-16.204480686286246</c:v>
                </c:pt>
                <c:pt idx="247">
                  <c:v>-17.645346672606792</c:v>
                </c:pt>
                <c:pt idx="248">
                  <c:v>-19.041644245055096</c:v>
                </c:pt>
                <c:pt idx="249">
                  <c:v>-20.394688727076982</c:v>
                </c:pt>
                <c:pt idx="250">
                  <c:v>-21.705812255552644</c:v>
                </c:pt>
                <c:pt idx="251">
                  <c:v>-22.976352909016754</c:v>
                </c:pt>
                <c:pt idx="252">
                  <c:v>-24.207645494715592</c:v>
                </c:pt>
                <c:pt idx="253">
                  <c:v>-25.40101382450672</c:v>
                </c:pt>
                <c:pt idx="254">
                  <c:v>-26.557764315904109</c:v>
                </c:pt>
                <c:pt idx="255">
                  <c:v>-27.679180763434971</c:v>
                </c:pt>
                <c:pt idx="256">
                  <c:v>-28.766520136016197</c:v>
                </c:pt>
                <c:pt idx="257">
                  <c:v>-29.82100926756317</c:v>
                </c:pt>
                <c:pt idx="258">
                  <c:v>-30.843842319941729</c:v>
                </c:pt>
                <c:pt idx="259">
                  <c:v>-31.836178909234434</c:v>
                </c:pt>
                <c:pt idx="260">
                  <c:v>-32.799142797800386</c:v>
                </c:pt>
                <c:pt idx="261">
                  <c:v>-33.733821065541377</c:v>
                </c:pt>
                <c:pt idx="262">
                  <c:v>-34.641263684007015</c:v>
                </c:pt>
                <c:pt idx="263">
                  <c:v>-35.522483426395354</c:v>
                </c:pt>
                <c:pt idx="264">
                  <c:v>-36.378456055097558</c:v>
                </c:pt>
                <c:pt idx="265">
                  <c:v>-37.210120736193261</c:v>
                </c:pt>
                <c:pt idx="266">
                  <c:v>-38.018380637258133</c:v>
                </c:pt>
                <c:pt idx="267">
                  <c:v>-38.804103671023483</c:v>
                </c:pt>
                <c:pt idx="268">
                  <c:v>-39.568123352897118</c:v>
                </c:pt>
                <c:pt idx="269">
                  <c:v>-40.3112397451562</c:v>
                </c:pt>
                <c:pt idx="270">
                  <c:v>-41.034220464824983</c:v>
                </c:pt>
                <c:pt idx="271">
                  <c:v>-41.73780173590896</c:v>
                </c:pt>
                <c:pt idx="272">
                  <c:v>-42.42268946982739</c:v>
                </c:pt>
                <c:pt idx="273">
                  <c:v>-43.089560360625512</c:v>
                </c:pt>
                <c:pt idx="274">
                  <c:v>-43.739062983902585</c:v>
                </c:pt>
                <c:pt idx="275">
                  <c:v>-44.371818890410992</c:v>
                </c:pt>
                <c:pt idx="276">
                  <c:v>-44.988423687007298</c:v>
                </c:pt>
                <c:pt idx="277">
                  <c:v>-45.589448099101048</c:v>
                </c:pt>
                <c:pt idx="278">
                  <c:v>-46.175439009992857</c:v>
                </c:pt>
                <c:pt idx="279">
                  <c:v>-46.746920473543298</c:v>
                </c:pt>
                <c:pt idx="280">
                  <c:v>-47.304394697497258</c:v>
                </c:pt>
                <c:pt idx="281">
                  <c:v>-47.848342995528611</c:v>
                </c:pt>
                <c:pt idx="282">
                  <c:v>-48.379226706686239</c:v>
                </c:pt>
                <c:pt idx="283">
                  <c:v>-48.897488081434091</c:v>
                </c:pt>
                <c:pt idx="284">
                  <c:v>-49.403551133897793</c:v>
                </c:pt>
                <c:pt idx="285">
                  <c:v>-49.897822460275336</c:v>
                </c:pt>
                <c:pt idx="286">
                  <c:v>-50.380692023647015</c:v>
                </c:pt>
                <c:pt idx="287">
                  <c:v>-50.852533905645231</c:v>
                </c:pt>
                <c:pt idx="288">
                  <c:v>-51.313707025620516</c:v>
                </c:pt>
                <c:pt idx="289">
                  <c:v>-51.764555828078215</c:v>
                </c:pt>
                <c:pt idx="290">
                  <c:v>-52.205410939266557</c:v>
                </c:pt>
                <c:pt idx="291">
                  <c:v>-52.63658979387202</c:v>
                </c:pt>
                <c:pt idx="292">
                  <c:v>-53.058397232836086</c:v>
                </c:pt>
                <c:pt idx="293">
                  <c:v>-53.47112607333878</c:v>
                </c:pt>
                <c:pt idx="294">
                  <c:v>-53.875057652019336</c:v>
                </c:pt>
                <c:pt idx="295">
                  <c:v>-54.270462342507869</c:v>
                </c:pt>
                <c:pt idx="296">
                  <c:v>-54.657600048341067</c:v>
                </c:pt>
                <c:pt idx="297">
                  <c:v>-55.036720672323781</c:v>
                </c:pt>
                <c:pt idx="298">
                  <c:v>-55.408064563378332</c:v>
                </c:pt>
                <c:pt idx="299">
                  <c:v>-55.77186294190389</c:v>
                </c:pt>
                <c:pt idx="300">
                  <c:v>-56.12833830463768</c:v>
                </c:pt>
                <c:pt idx="301">
                  <c:v>-56.47770480998193</c:v>
                </c:pt>
                <c:pt idx="302">
                  <c:v>-56.820168644727175</c:v>
                </c:pt>
                <c:pt idx="303">
                  <c:v>-57.155928373070566</c:v>
                </c:pt>
                <c:pt idx="304">
                  <c:v>-57.485175268790442</c:v>
                </c:pt>
                <c:pt idx="305">
                  <c:v>-57.808093631406791</c:v>
                </c:pt>
                <c:pt idx="306">
                  <c:v>-58.124861087119911</c:v>
                </c:pt>
                <c:pt idx="307">
                  <c:v>-58.435648875285324</c:v>
                </c:pt>
                <c:pt idx="308">
                  <c:v>-58.740622121149954</c:v>
                </c:pt>
                <c:pt idx="309">
                  <c:v>-59.039940095540402</c:v>
                </c:pt>
                <c:pt idx="310">
                  <c:v>-59.333756462159812</c:v>
                </c:pt>
                <c:pt idx="311">
                  <c:v>-59.622219513121763</c:v>
                </c:pt>
                <c:pt idx="312">
                  <c:v>-59.905472393315677</c:v>
                </c:pt>
                <c:pt idx="313">
                  <c:v>-60.183653314170158</c:v>
                </c:pt>
                <c:pt idx="314">
                  <c:v>-60.456895757352669</c:v>
                </c:pt>
                <c:pt idx="315">
                  <c:v>-60.725328668915068</c:v>
                </c:pt>
                <c:pt idx="316">
                  <c:v>-60.989076644370812</c:v>
                </c:pt>
                <c:pt idx="317">
                  <c:v>-61.248260105162416</c:v>
                </c:pt>
                <c:pt idx="318">
                  <c:v>-61.502995466954673</c:v>
                </c:pt>
                <c:pt idx="319">
                  <c:v>-61.753395300168307</c:v>
                </c:pt>
                <c:pt idx="320">
                  <c:v>-61.999568483143548</c:v>
                </c:pt>
                <c:pt idx="321">
                  <c:v>-62.241620348306157</c:v>
                </c:pt>
                <c:pt idx="322">
                  <c:v>-62.479652821686557</c:v>
                </c:pt>
                <c:pt idx="323">
                  <c:v>-62.713764556125341</c:v>
                </c:pt>
                <c:pt idx="324">
                  <c:v>-62.944051058480113</c:v>
                </c:pt>
                <c:pt idx="325">
                  <c:v>-63.17060481113316</c:v>
                </c:pt>
                <c:pt idx="326">
                  <c:v>-63.393515388082335</c:v>
                </c:pt>
                <c:pt idx="327">
                  <c:v>-63.612869565882903</c:v>
                </c:pt>
                <c:pt idx="328">
                  <c:v>-63.828751429695387</c:v>
                </c:pt>
                <c:pt idx="329">
                  <c:v>-64.041242474678057</c:v>
                </c:pt>
                <c:pt idx="330">
                  <c:v>-64.250421702953872</c:v>
                </c:pt>
                <c:pt idx="331">
                  <c:v>-64.45636571636561</c:v>
                </c:pt>
                <c:pt idx="332">
                  <c:v>-64.659148805225584</c:v>
                </c:pt>
                <c:pt idx="333">
                  <c:v>-64.858843033252015</c:v>
                </c:pt>
                <c:pt idx="334">
                  <c:v>-65.055518318876665</c:v>
                </c:pt>
                <c:pt idx="335">
                  <c:v>-65.249242513097528</c:v>
                </c:pt>
                <c:pt idx="336">
                  <c:v>-65.440081474041051</c:v>
                </c:pt>
                <c:pt idx="337">
                  <c:v>-65.628099138390837</c:v>
                </c:pt>
                <c:pt idx="338">
                  <c:v>-65.813357589830616</c:v>
                </c:pt>
                <c:pt idx="339">
                  <c:v>-65.995917124642432</c:v>
                </c:pt>
                <c:pt idx="340">
                  <c:v>-66.175836314593141</c:v>
                </c:pt>
                <c:pt idx="341">
                  <c:v>-66.353172067235903</c:v>
                </c:pt>
                <c:pt idx="342">
                  <c:v>-66.527979683746537</c:v>
                </c:pt>
                <c:pt idx="343">
                  <c:v>-66.700312914408869</c:v>
                </c:pt>
                <c:pt idx="344">
                  <c:v>-66.870224011857175</c:v>
                </c:pt>
                <c:pt idx="345">
                  <c:v>-67.037763782177848</c:v>
                </c:pt>
                <c:pt idx="346">
                  <c:v>-67.202981633968932</c:v>
                </c:pt>
                <c:pt idx="347">
                  <c:v>-67.365925625448995</c:v>
                </c:pt>
                <c:pt idx="348">
                  <c:v>-67.52664250970335</c:v>
                </c:pt>
                <c:pt idx="349">
                  <c:v>-67.68517777815245</c:v>
                </c:pt>
                <c:pt idx="350">
                  <c:v>-67.841575702320625</c:v>
                </c:pt>
                <c:pt idx="351">
                  <c:v>-67.995879373980472</c:v>
                </c:pt>
                <c:pt idx="352">
                  <c:v>-68.148130743746208</c:v>
                </c:pt>
                <c:pt idx="353">
                  <c:v>-68.298370658182563</c:v>
                </c:pt>
                <c:pt idx="354">
                  <c:v>-68.446638895495596</c:v>
                </c:pt>
                <c:pt idx="355">
                  <c:v>-68.592974199865779</c:v>
                </c:pt>
                <c:pt idx="356">
                  <c:v>-68.737414314483459</c:v>
                </c:pt>
                <c:pt idx="357">
                  <c:v>-68.87999601334198</c:v>
                </c:pt>
                <c:pt idx="358">
                  <c:v>-69.020755131841668</c:v>
                </c:pt>
                <c:pt idx="359">
                  <c:v>-69.159726596255723</c:v>
                </c:pt>
                <c:pt idx="360">
                  <c:v>-69.296944452106487</c:v>
                </c:pt>
                <c:pt idx="361">
                  <c:v>-69.432441891497831</c:v>
                </c:pt>
                <c:pt idx="362">
                  <c:v>-69.566251279446874</c:v>
                </c:pt>
                <c:pt idx="363">
                  <c:v>-69.698404179258745</c:v>
                </c:pt>
                <c:pt idx="364">
                  <c:v>-69.828931376982069</c:v>
                </c:pt>
                <c:pt idx="365">
                  <c:v>-69.957862904985063</c:v>
                </c:pt>
                <c:pt idx="366">
                  <c:v>-70.085228064686703</c:v>
                </c:pt>
                <c:pt idx="367">
                  <c:v>-70.2110554484793</c:v>
                </c:pt>
                <c:pt idx="368">
                  <c:v>-70.335372960874366</c:v>
                </c:pt>
                <c:pt idx="369">
                  <c:v>-70.458207838903348</c:v>
                </c:pt>
                <c:pt idx="370">
                  <c:v>-70.579586671803867</c:v>
                </c:pt>
                <c:pt idx="371">
                  <c:v>-70.699535420019629</c:v>
                </c:pt>
                <c:pt idx="372">
                  <c:v>-70.818079433541754</c:v>
                </c:pt>
                <c:pt idx="373">
                  <c:v>-70.935243469617518</c:v>
                </c:pt>
                <c:pt idx="374">
                  <c:v>-71.051051709851436</c:v>
                </c:pt>
                <c:pt idx="375">
                  <c:v>-71.165527776723138</c:v>
                </c:pt>
                <c:pt idx="376">
                  <c:v>-71.278694749544229</c:v>
                </c:pt>
                <c:pt idx="377">
                  <c:v>-71.390575179876294</c:v>
                </c:pt>
                <c:pt idx="378">
                  <c:v>-71.501191106431151</c:v>
                </c:pt>
                <c:pt idx="379">
                  <c:v>-71.610564069472673</c:v>
                </c:pt>
                <c:pt idx="380">
                  <c:v>-71.718715124740442</c:v>
                </c:pt>
                <c:pt idx="381">
                  <c:v>-71.825664856912169</c:v>
                </c:pt>
                <c:pt idx="382">
                  <c:v>-71.931433392623262</c:v>
                </c:pt>
                <c:pt idx="383">
                  <c:v>-72.036040413060505</c:v>
                </c:pt>
                <c:pt idx="384">
                  <c:v>-72.139505166144829</c:v>
                </c:pt>
                <c:pt idx="385">
                  <c:v>-72.241846478319786</c:v>
                </c:pt>
                <c:pt idx="386">
                  <c:v>-72.34308276595965</c:v>
                </c:pt>
                <c:pt idx="387">
                  <c:v>-72.443232046411225</c:v>
                </c:pt>
                <c:pt idx="388">
                  <c:v>-72.542311948683931</c:v>
                </c:pt>
                <c:pt idx="389">
                  <c:v>-72.640339723799059</c:v>
                </c:pt>
                <c:pt idx="390">
                  <c:v>-72.737332254813339</c:v>
                </c:pt>
                <c:pt idx="391">
                  <c:v>-72.833306066525978</c:v>
                </c:pt>
                <c:pt idx="392">
                  <c:v>-72.928277334882949</c:v>
                </c:pt>
                <c:pt idx="393">
                  <c:v>-73.022261896087457</c:v>
                </c:pt>
                <c:pt idx="394">
                  <c:v>-73.11527525542877</c:v>
                </c:pt>
                <c:pt idx="395">
                  <c:v>-73.207332595838494</c:v>
                </c:pt>
                <c:pt idx="396">
                  <c:v>-73.298448786184139</c:v>
                </c:pt>
                <c:pt idx="397">
                  <c:v>-73.388638389309733</c:v>
                </c:pt>
                <c:pt idx="398">
                  <c:v>-73.477915669831532</c:v>
                </c:pt>
                <c:pt idx="399">
                  <c:v>-73.566294601698473</c:v>
                </c:pt>
                <c:pt idx="400">
                  <c:v>-73.653788875524668</c:v>
                </c:pt>
                <c:pt idx="401">
                  <c:v>-73.740411905702189</c:v>
                </c:pt>
                <c:pt idx="402">
                  <c:v>-73.826176837302029</c:v>
                </c:pt>
                <c:pt idx="403">
                  <c:v>-73.911096552770118</c:v>
                </c:pt>
                <c:pt idx="404">
                  <c:v>-73.995183678425235</c:v>
                </c:pt>
                <c:pt idx="405">
                  <c:v>-74.07845059076655</c:v>
                </c:pt>
                <c:pt idx="406">
                  <c:v>-74.160909422595921</c:v>
                </c:pt>
                <c:pt idx="407">
                  <c:v>-74.242572068962374</c:v>
                </c:pt>
                <c:pt idx="408">
                  <c:v>-74.323450192933791</c:v>
                </c:pt>
                <c:pt idx="409">
                  <c:v>-74.40355523120266</c:v>
                </c:pt>
                <c:pt idx="410">
                  <c:v>-74.482898399529773</c:v>
                </c:pt>
                <c:pt idx="411">
                  <c:v>-74.561490698033538</c:v>
                </c:pt>
                <c:pt idx="412">
                  <c:v>-74.639342916327934</c:v>
                </c:pt>
                <c:pt idx="413">
                  <c:v>-74.716465638514819</c:v>
                </c:pt>
                <c:pt idx="414">
                  <c:v>-74.79286924803597</c:v>
                </c:pt>
                <c:pt idx="415">
                  <c:v>-74.868563932388497</c:v>
                </c:pt>
                <c:pt idx="416">
                  <c:v>-74.94355968770833</c:v>
                </c:pt>
                <c:pt idx="417">
                  <c:v>-75.01786632322677</c:v>
                </c:pt>
                <c:pt idx="418">
                  <c:v>-75.091493465602923</c:v>
                </c:pt>
                <c:pt idx="419">
                  <c:v>-75.164450563136853</c:v>
                </c:pt>
                <c:pt idx="420">
                  <c:v>-75.236746889867391</c:v>
                </c:pt>
                <c:pt idx="421">
                  <c:v>-75.308391549557285</c:v>
                </c:pt>
                <c:pt idx="422">
                  <c:v>-75.379393479570382</c:v>
                </c:pt>
                <c:pt idx="423">
                  <c:v>-75.449761454643777</c:v>
                </c:pt>
                <c:pt idx="424">
                  <c:v>-75.519504090557604</c:v>
                </c:pt>
                <c:pt idx="425">
                  <c:v>-75.588629847706954</c:v>
                </c:pt>
                <c:pt idx="426">
                  <c:v>-75.65714703457806</c:v>
                </c:pt>
                <c:pt idx="427">
                  <c:v>-75.725063811131236</c:v>
                </c:pt>
                <c:pt idx="428">
                  <c:v>-75.792388192095331</c:v>
                </c:pt>
                <c:pt idx="429">
                  <c:v>-75.859128050174093</c:v>
                </c:pt>
                <c:pt idx="430">
                  <c:v>-75.92529111916889</c:v>
                </c:pt>
                <c:pt idx="431">
                  <c:v>-75.990884997019208</c:v>
                </c:pt>
                <c:pt idx="432">
                  <c:v>-76.055917148764536</c:v>
                </c:pt>
                <c:pt idx="433">
                  <c:v>-76.120394909428398</c:v>
                </c:pt>
                <c:pt idx="434">
                  <c:v>-76.184325486829039</c:v>
                </c:pt>
                <c:pt idx="435">
                  <c:v>-76.247715964316512</c:v>
                </c:pt>
                <c:pt idx="436">
                  <c:v>-76.310573303440606</c:v>
                </c:pt>
                <c:pt idx="437">
                  <c:v>-76.372904346549944</c:v>
                </c:pt>
                <c:pt idx="438">
                  <c:v>-76.434715819325447</c:v>
                </c:pt>
                <c:pt idx="439">
                  <c:v>-76.496014333249605</c:v>
                </c:pt>
                <c:pt idx="440">
                  <c:v>-76.556806388013229</c:v>
                </c:pt>
                <c:pt idx="441">
                  <c:v>-76.617098373861779</c:v>
                </c:pt>
                <c:pt idx="442">
                  <c:v>-76.676896573883539</c:v>
                </c:pt>
                <c:pt idx="443">
                  <c:v>-76.736207166240206</c:v>
                </c:pt>
                <c:pt idx="444">
                  <c:v>-76.795036226342063</c:v>
                </c:pt>
                <c:pt idx="445">
                  <c:v>-76.853389728970058</c:v>
                </c:pt>
                <c:pt idx="446">
                  <c:v>-76.911273550345186</c:v>
                </c:pt>
                <c:pt idx="447">
                  <c:v>-76.96869347014723</c:v>
                </c:pt>
                <c:pt idx="448">
                  <c:v>-77.025655173484097</c:v>
                </c:pt>
                <c:pt idx="449">
                  <c:v>-77.08216425281347</c:v>
                </c:pt>
                <c:pt idx="450">
                  <c:v>-77.138226209818072</c:v>
                </c:pt>
                <c:pt idx="451">
                  <c:v>-77.193846457234997</c:v>
                </c:pt>
                <c:pt idx="452">
                  <c:v>-77.24903032064185</c:v>
                </c:pt>
                <c:pt idx="453">
                  <c:v>-77.303783040199903</c:v>
                </c:pt>
                <c:pt idx="454">
                  <c:v>-77.358109772355476</c:v>
                </c:pt>
                <c:pt idx="455">
                  <c:v>-77.412015591500733</c:v>
                </c:pt>
                <c:pt idx="456">
                  <c:v>-77.465505491595991</c:v>
                </c:pt>
                <c:pt idx="457">
                  <c:v>-77.518584387753208</c:v>
                </c:pt>
                <c:pt idx="458">
                  <c:v>-77.57125711778184</c:v>
                </c:pt>
                <c:pt idx="459">
                  <c:v>-77.623528443700025</c:v>
                </c:pt>
                <c:pt idx="460">
                  <c:v>-77.675403053208527</c:v>
                </c:pt>
                <c:pt idx="461">
                  <c:v>-77.726885561132519</c:v>
                </c:pt>
                <c:pt idx="462">
                  <c:v>-77.777980510828343</c:v>
                </c:pt>
                <c:pt idx="463">
                  <c:v>-77.828692375559115</c:v>
                </c:pt>
                <c:pt idx="464">
                  <c:v>-77.879025559837828</c:v>
                </c:pt>
                <c:pt idx="465">
                  <c:v>-77.928984400740376</c:v>
                </c:pt>
                <c:pt idx="466">
                  <c:v>-77.978573169188451</c:v>
                </c:pt>
                <c:pt idx="467">
                  <c:v>-78.027796071203056</c:v>
                </c:pt>
                <c:pt idx="468">
                  <c:v>-78.076657249130278</c:v>
                </c:pt>
                <c:pt idx="469">
                  <c:v>-78.125160782839032</c:v>
                </c:pt>
                <c:pt idx="470">
                  <c:v>-78.173310690891867</c:v>
                </c:pt>
                <c:pt idx="471">
                  <c:v>-78.22111093168968</c:v>
                </c:pt>
                <c:pt idx="472">
                  <c:v>-78.268565404591357</c:v>
                </c:pt>
                <c:pt idx="473">
                  <c:v>-78.315677951007672</c:v>
                </c:pt>
                <c:pt idx="474">
                  <c:v>-78.362452355471873</c:v>
                </c:pt>
                <c:pt idx="475">
                  <c:v>-78.408892346686287</c:v>
                </c:pt>
                <c:pt idx="476">
                  <c:v>-78.455001598545607</c:v>
                </c:pt>
                <c:pt idx="477">
                  <c:v>-78.500783731138711</c:v>
                </c:pt>
                <c:pt idx="478">
                  <c:v>-78.546242311727383</c:v>
                </c:pt>
                <c:pt idx="479">
                  <c:v>-78.591380855705154</c:v>
                </c:pt>
                <c:pt idx="480">
                  <c:v>-78.636202827534248</c:v>
                </c:pt>
                <c:pt idx="481">
                  <c:v>-78.680711641662867</c:v>
                </c:pt>
                <c:pt idx="482">
                  <c:v>-78.724910663422747</c:v>
                </c:pt>
                <c:pt idx="483">
                  <c:v>-78.76880320990756</c:v>
                </c:pt>
                <c:pt idx="484">
                  <c:v>-78.81239255083176</c:v>
                </c:pt>
                <c:pt idx="485">
                  <c:v>-78.855681909372834</c:v>
                </c:pt>
                <c:pt idx="486">
                  <c:v>-78.898674462993654</c:v>
                </c:pt>
                <c:pt idx="487">
                  <c:v>-78.941373344249257</c:v>
                </c:pt>
                <c:pt idx="488">
                  <c:v>-78.983781641575604</c:v>
                </c:pt>
                <c:pt idx="489">
                  <c:v>-79.025902400062023</c:v>
                </c:pt>
                <c:pt idx="490">
                  <c:v>-79.067738622207685</c:v>
                </c:pt>
                <c:pt idx="491">
                  <c:v>-79.109293268661986</c:v>
                </c:pt>
                <c:pt idx="492">
                  <c:v>-79.150569258950213</c:v>
                </c:pt>
                <c:pt idx="493">
                  <c:v>-79.191569472183176</c:v>
                </c:pt>
                <c:pt idx="494">
                  <c:v>-79.23229674775331</c:v>
                </c:pt>
                <c:pt idx="495">
                  <c:v>-79.272753886015607</c:v>
                </c:pt>
                <c:pt idx="496">
                  <c:v>-79.312943648955184</c:v>
                </c:pt>
                <c:pt idx="497">
                  <c:v>-79.352868760840806</c:v>
                </c:pt>
                <c:pt idx="498">
                  <c:v>-79.392531908865408</c:v>
                </c:pt>
                <c:pt idx="499">
                  <c:v>-79.431935743773522</c:v>
                </c:pt>
                <c:pt idx="500">
                  <c:v>-79.471082880475876</c:v>
                </c:pt>
                <c:pt idx="501">
                  <c:v>-79.509975898652158</c:v>
                </c:pt>
                <c:pt idx="502">
                  <c:v>-79.548617343340823</c:v>
                </c:pt>
                <c:pt idx="503">
                  <c:v>-79.587009725517817</c:v>
                </c:pt>
                <c:pt idx="504">
                  <c:v>-79.625155522663533</c:v>
                </c:pt>
                <c:pt idx="505">
                  <c:v>-79.663057179318344</c:v>
                </c:pt>
                <c:pt idx="506">
                  <c:v>-79.700717107627611</c:v>
                </c:pt>
                <c:pt idx="507">
                  <c:v>-79.738137687874712</c:v>
                </c:pt>
                <c:pt idx="508">
                  <c:v>-79.775321269005758</c:v>
                </c:pt>
                <c:pt idx="509">
                  <c:v>-79.812270169141584</c:v>
                </c:pt>
                <c:pt idx="510">
                  <c:v>-79.848986676081381</c:v>
                </c:pt>
                <c:pt idx="511">
                  <c:v>-79.88547304779587</c:v>
                </c:pt>
                <c:pt idx="512">
                  <c:v>-79.921731512911151</c:v>
                </c:pt>
                <c:pt idx="513">
                  <c:v>-79.957764271182668</c:v>
                </c:pt>
                <c:pt idx="514">
                  <c:v>-79.993573493960753</c:v>
                </c:pt>
                <c:pt idx="515">
                  <c:v>-80.029161324646793</c:v>
                </c:pt>
                <c:pt idx="516">
                  <c:v>-80.064529879140537</c:v>
                </c:pt>
                <c:pt idx="517">
                  <c:v>-80.09968124627909</c:v>
                </c:pt>
                <c:pt idx="518">
                  <c:v>-80.134617488267679</c:v>
                </c:pt>
                <c:pt idx="519">
                  <c:v>-80.169340641101712</c:v>
                </c:pt>
                <c:pt idx="520">
                  <c:v>-80.20385271498111</c:v>
                </c:pt>
                <c:pt idx="521">
                  <c:v>-80.23815569471742</c:v>
                </c:pt>
                <c:pt idx="522">
                  <c:v>-80.272251540132004</c:v>
                </c:pt>
                <c:pt idx="523">
                  <c:v>-80.306142186447744</c:v>
                </c:pt>
                <c:pt idx="524">
                  <c:v>-80.339829544673364</c:v>
                </c:pt>
                <c:pt idx="525">
                  <c:v>-80.373315501979732</c:v>
                </c:pt>
                <c:pt idx="526">
                  <c:v>-80.406601922070479</c:v>
                </c:pt>
                <c:pt idx="527">
                  <c:v>-80.439690645544545</c:v>
                </c:pt>
                <c:pt idx="528">
                  <c:v>-80.472583490252816</c:v>
                </c:pt>
                <c:pt idx="529">
                  <c:v>-80.505282251647657</c:v>
                </c:pt>
                <c:pt idx="530">
                  <c:v>-80.537788703126409</c:v>
                </c:pt>
                <c:pt idx="531">
                  <c:v>-80.570104596368594</c:v>
                </c:pt>
                <c:pt idx="532">
                  <c:v>-80.602231661666451</c:v>
                </c:pt>
                <c:pt idx="533">
                  <c:v>-80.634171608250085</c:v>
                </c:pt>
                <c:pt idx="534">
                  <c:v>-80.665926124606528</c:v>
                </c:pt>
                <c:pt idx="535">
                  <c:v>-80.697496878792833</c:v>
                </c:pt>
                <c:pt idx="536">
                  <c:v>-80.728885518743539</c:v>
                </c:pt>
                <c:pt idx="537">
                  <c:v>-80.76009367257285</c:v>
                </c:pt>
                <c:pt idx="538">
                  <c:v>-80.791122948871418</c:v>
                </c:pt>
                <c:pt idx="539">
                  <c:v>-80.821974936997208</c:v>
                </c:pt>
                <c:pt idx="540">
                  <c:v>-80.852651207362044</c:v>
                </c:pt>
                <c:pt idx="541">
                  <c:v>-80.883153311712476</c:v>
                </c:pt>
                <c:pt idx="542">
                  <c:v>-80.913482783405811</c:v>
                </c:pt>
                <c:pt idx="543">
                  <c:v>-80.943641137681425</c:v>
                </c:pt>
                <c:pt idx="544">
                  <c:v>-80.973629871926903</c:v>
                </c:pt>
                <c:pt idx="545">
                  <c:v>-81.003450465940148</c:v>
                </c:pt>
                <c:pt idx="546">
                  <c:v>-81.033104382186252</c:v>
                </c:pt>
                <c:pt idx="547">
                  <c:v>-81.062593066049999</c:v>
                </c:pt>
                <c:pt idx="548">
                  <c:v>-81.09191794608455</c:v>
                </c:pt>
                <c:pt idx="549">
                  <c:v>-81.12108043425502</c:v>
                </c:pt>
                <c:pt idx="550">
                  <c:v>-81.150081926178302</c:v>
                </c:pt>
                <c:pt idx="551">
                  <c:v>-81.178923801358678</c:v>
                </c:pt>
                <c:pt idx="552">
                  <c:v>-81.207607423419233</c:v>
                </c:pt>
                <c:pt idx="553">
                  <c:v>-81.236134140329511</c:v>
                </c:pt>
                <c:pt idx="554">
                  <c:v>-81.264505284629081</c:v>
                </c:pt>
                <c:pt idx="555">
                  <c:v>-81.292722173647348</c:v>
                </c:pt>
                <c:pt idx="556">
                  <c:v>-81.320786109719847</c:v>
                </c:pt>
                <c:pt idx="557">
                  <c:v>-81.348698380400265</c:v>
                </c:pt>
                <c:pt idx="558">
                  <c:v>-81.376460258669624</c:v>
                </c:pt>
                <c:pt idx="559">
                  <c:v>-81.404073003141434</c:v>
                </c:pt>
                <c:pt idx="560">
                  <c:v>-81.431537858263482</c:v>
                </c:pt>
                <c:pt idx="561">
                  <c:v>-81.458856054516446</c:v>
                </c:pt>
                <c:pt idx="562">
                  <c:v>-81.486028808608864</c:v>
                </c:pt>
                <c:pt idx="563">
                  <c:v>-81.513057323668932</c:v>
                </c:pt>
                <c:pt idx="564">
                  <c:v>-81.539942789433553</c:v>
                </c:pt>
                <c:pt idx="565">
                  <c:v>-81.566686382433375</c:v>
                </c:pt>
                <c:pt idx="566">
                  <c:v>-81.593289266175816</c:v>
                </c:pt>
                <c:pt idx="567">
                  <c:v>-81.619752591324072</c:v>
                </c:pt>
                <c:pt idx="568">
                  <c:v>-81.646077495873726</c:v>
                </c:pt>
                <c:pt idx="569">
                  <c:v>-81.672265105326687</c:v>
                </c:pt>
                <c:pt idx="570">
                  <c:v>-81.698316532861327</c:v>
                </c:pt>
                <c:pt idx="571">
                  <c:v>-81.724232879501074</c:v>
                </c:pt>
                <c:pt idx="572">
                  <c:v>-81.750015234279203</c:v>
                </c:pt>
                <c:pt idx="573">
                  <c:v>-81.77566467440181</c:v>
                </c:pt>
                <c:pt idx="574">
                  <c:v>-81.801182265407249</c:v>
                </c:pt>
                <c:pt idx="575">
                  <c:v>-81.826569061323823</c:v>
                </c:pt>
                <c:pt idx="576">
                  <c:v>-81.851826104824568</c:v>
                </c:pt>
                <c:pt idx="577">
                  <c:v>-81.876954427379303</c:v>
                </c:pt>
                <c:pt idx="578">
                  <c:v>-81.901955049404762</c:v>
                </c:pt>
                <c:pt idx="579">
                  <c:v>-81.926828980411983</c:v>
                </c:pt>
                <c:pt idx="580">
                  <c:v>-81.951577219151488</c:v>
                </c:pt>
                <c:pt idx="581">
                  <c:v>-81.976200753755961</c:v>
                </c:pt>
                <c:pt idx="582">
                  <c:v>-82.000700561880819</c:v>
                </c:pt>
                <c:pt idx="583">
                  <c:v>-82.025077610842743</c:v>
                </c:pt>
                <c:pt idx="584">
                  <c:v>-82.049332857755587</c:v>
                </c:pt>
                <c:pt idx="585">
                  <c:v>-82.073467249664589</c:v>
                </c:pt>
                <c:pt idx="586">
                  <c:v>-82.097481723677902</c:v>
                </c:pt>
                <c:pt idx="587">
                  <c:v>-82.121377207096998</c:v>
                </c:pt>
                <c:pt idx="588">
                  <c:v>-82.145154617543938</c:v>
                </c:pt>
                <c:pt idx="589">
                  <c:v>-82.168814863087505</c:v>
                </c:pt>
                <c:pt idx="590">
                  <c:v>-82.192358842366957</c:v>
                </c:pt>
                <c:pt idx="591">
                  <c:v>-82.21578744471401</c:v>
                </c:pt>
                <c:pt idx="592">
                  <c:v>-82.239101550272665</c:v>
                </c:pt>
                <c:pt idx="593">
                  <c:v>-82.262302030118065</c:v>
                </c:pt>
                <c:pt idx="594">
                  <c:v>-82.285389746372005</c:v>
                </c:pt>
                <c:pt idx="595">
                  <c:v>-82.308365552318094</c:v>
                </c:pt>
                <c:pt idx="596">
                  <c:v>-82.331230292514647</c:v>
                </c:pt>
                <c:pt idx="597">
                  <c:v>-82.353984802905529</c:v>
                </c:pt>
                <c:pt idx="598">
                  <c:v>-82.376629910929694</c:v>
                </c:pt>
                <c:pt idx="599">
                  <c:v>-82.399166435629013</c:v>
                </c:pt>
                <c:pt idx="600">
                  <c:v>-82.421595187754519</c:v>
                </c:pt>
                <c:pt idx="601">
                  <c:v>-82.4439169698706</c:v>
                </c:pt>
                <c:pt idx="602">
                  <c:v>-82.466132576458335</c:v>
                </c:pt>
                <c:pt idx="603">
                  <c:v>-82.488242794016742</c:v>
                </c:pt>
                <c:pt idx="604">
                  <c:v>-82.510248401162698</c:v>
                </c:pt>
                <c:pt idx="605">
                  <c:v>-82.532150168729345</c:v>
                </c:pt>
                <c:pt idx="606">
                  <c:v>-83.509872486269956</c:v>
                </c:pt>
                <c:pt idx="607">
                  <c:v>-84.303028331909786</c:v>
                </c:pt>
                <c:pt idx="608">
                  <c:v>-84.960710349306851</c:v>
                </c:pt>
                <c:pt idx="609">
                  <c:v>-85.515656762513913</c:v>
                </c:pt>
                <c:pt idx="610">
                  <c:v>-85.990552802884906</c:v>
                </c:pt>
                <c:pt idx="611">
                  <c:v>-86.401632458777101</c:v>
                </c:pt>
                <c:pt idx="612">
                  <c:v>-86.760838691720949</c:v>
                </c:pt>
                <c:pt idx="613">
                  <c:v>-87.077172093673653</c:v>
                </c:pt>
                <c:pt idx="614">
                  <c:v>-87.357561906464866</c:v>
                </c:pt>
                <c:pt idx="615">
                  <c:v>-87.607445119581996</c:v>
                </c:pt>
                <c:pt idx="616">
                  <c:v>-87.831161276783689</c:v>
                </c:pt>
                <c:pt idx="617">
                  <c:v>-88.032227630079774</c:v>
                </c:pt>
                <c:pt idx="618">
                  <c:v>-88.161874252420603</c:v>
                </c:pt>
                <c:pt idx="619">
                  <c:v>-88.286665054667822</c:v>
                </c:pt>
                <c:pt idx="620">
                  <c:v>-88.406854403922409</c:v>
                </c:pt>
                <c:pt idx="621">
                  <c:v>-88.522678592914644</c:v>
                </c:pt>
                <c:pt idx="622">
                  <c:v>-88.634357481080372</c:v>
                </c:pt>
                <c:pt idx="623">
                  <c:v>-88.742095957708273</c:v>
                </c:pt>
                <c:pt idx="624">
                  <c:v>-88.846085249169789</c:v>
                </c:pt>
                <c:pt idx="625">
                  <c:v>-88.946504089203813</c:v>
                </c:pt>
                <c:pt idx="626">
                  <c:v>-89.043519768658825</c:v>
                </c:pt>
                <c:pt idx="627">
                  <c:v>-89.137289078899926</c:v>
                </c:pt>
                <c:pt idx="628">
                  <c:v>-89.227959161226579</c:v>
                </c:pt>
                <c:pt idx="629">
                  <c:v>-89.315668273044423</c:v>
                </c:pt>
                <c:pt idx="630">
                  <c:v>-89.400546480167122</c:v>
                </c:pt>
                <c:pt idx="631">
                  <c:v>-89.482716283447871</c:v>
                </c:pt>
                <c:pt idx="632">
                  <c:v>-89.562293186920897</c:v>
                </c:pt>
                <c:pt idx="633">
                  <c:v>-89.639386213761441</c:v>
                </c:pt>
                <c:pt idx="634">
                  <c:v>-89.714098375609183</c:v>
                </c:pt>
                <c:pt idx="635">
                  <c:v>-89.78652710014444</c:v>
                </c:pt>
                <c:pt idx="636">
                  <c:v>-89.856764621232401</c:v>
                </c:pt>
                <c:pt idx="637">
                  <c:v>-89.924898335450905</c:v>
                </c:pt>
                <c:pt idx="638">
                  <c:v>-89.991011128382752</c:v>
                </c:pt>
                <c:pt idx="639">
                  <c:v>-90.055181673671939</c:v>
                </c:pt>
                <c:pt idx="640">
                  <c:v>-90.117484707509504</c:v>
                </c:pt>
                <c:pt idx="641">
                  <c:v>-90.177991280920651</c:v>
                </c:pt>
                <c:pt idx="642">
                  <c:v>-90.236768991968006</c:v>
                </c:pt>
                <c:pt idx="643">
                  <c:v>-90.293882199759537</c:v>
                </c:pt>
                <c:pt idx="644">
                  <c:v>-90.349392221947255</c:v>
                </c:pt>
                <c:pt idx="645">
                  <c:v>-90.403357517227505</c:v>
                </c:pt>
                <c:pt idx="646">
                  <c:v>-90.455833854197522</c:v>
                </c:pt>
                <c:pt idx="647">
                  <c:v>-90.506874467783177</c:v>
                </c:pt>
                <c:pt idx="648">
                  <c:v>-90.556530204329647</c:v>
                </c:pt>
                <c:pt idx="649">
                  <c:v>-90.60484965633907</c:v>
                </c:pt>
                <c:pt idx="650">
                  <c:v>-90.651879287739689</c:v>
                </c:pt>
                <c:pt idx="651">
                  <c:v>-90.697663550486652</c:v>
                </c:pt>
                <c:pt idx="652">
                  <c:v>-90.742244993215024</c:v>
                </c:pt>
                <c:pt idx="653">
                  <c:v>-90.785664362599221</c:v>
                </c:pt>
                <c:pt idx="654">
                  <c:v>-90.827960698008383</c:v>
                </c:pt>
                <c:pt idx="655">
                  <c:v>-90.869171419994188</c:v>
                </c:pt>
                <c:pt idx="656">
                  <c:v>-90.909332413097729</c:v>
                </c:pt>
                <c:pt idx="657">
                  <c:v>-90.948478103416733</c:v>
                </c:pt>
                <c:pt idx="658">
                  <c:v>-90.986641531334669</c:v>
                </c:pt>
                <c:pt idx="659">
                  <c:v>-91.023854419779298</c:v>
                </c:pt>
                <c:pt idx="660">
                  <c:v>-91.060147238342211</c:v>
                </c:pt>
                <c:pt idx="661">
                  <c:v>-91.095549263566568</c:v>
                </c:pt>
                <c:pt idx="662">
                  <c:v>-91.130088635678817</c:v>
                </c:pt>
                <c:pt idx="663">
                  <c:v>-91.163792412020882</c:v>
                </c:pt>
                <c:pt idx="664">
                  <c:v>-91.196686617415423</c:v>
                </c:pt>
                <c:pt idx="665">
                  <c:v>-91.22879629167744</c:v>
                </c:pt>
                <c:pt idx="666">
                  <c:v>-91.260145534469643</c:v>
                </c:pt>
                <c:pt idx="667">
                  <c:v>-91.290757547680471</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54.308560912198672</c:v>
                </c:pt>
                <c:pt idx="1">
                  <c:v>52.483635705997258</c:v>
                </c:pt>
                <c:pt idx="2">
                  <c:v>50.519628855102169</c:v>
                </c:pt>
                <c:pt idx="3">
                  <c:v>48.731850118783235</c:v>
                </c:pt>
                <c:pt idx="4">
                  <c:v>47.166791669086024</c:v>
                </c:pt>
                <c:pt idx="5">
                  <c:v>45.800156718555513</c:v>
                </c:pt>
                <c:pt idx="6">
                  <c:v>44.597500395496859</c:v>
                </c:pt>
                <c:pt idx="7">
                  <c:v>43.528458793726664</c:v>
                </c:pt>
                <c:pt idx="8">
                  <c:v>42.56877588132879</c:v>
                </c:pt>
                <c:pt idx="9">
                  <c:v>41.699528414055742</c:v>
                </c:pt>
                <c:pt idx="10">
                  <c:v>35.829107608621001</c:v>
                </c:pt>
                <c:pt idx="11">
                  <c:v>32.335802322516983</c:v>
                </c:pt>
                <c:pt idx="12">
                  <c:v>29.847207776419772</c:v>
                </c:pt>
                <c:pt idx="13">
                  <c:v>27.913896502909672</c:v>
                </c:pt>
                <c:pt idx="14">
                  <c:v>26.333108949518426</c:v>
                </c:pt>
                <c:pt idx="15">
                  <c:v>24.996071777954011</c:v>
                </c:pt>
                <c:pt idx="16">
                  <c:v>23.837658194886323</c:v>
                </c:pt>
                <c:pt idx="17">
                  <c:v>22.815782385246738</c:v>
                </c:pt>
                <c:pt idx="18">
                  <c:v>21.901673765088375</c:v>
                </c:pt>
                <c:pt idx="19">
                  <c:v>15.891426797679511</c:v>
                </c:pt>
                <c:pt idx="20">
                  <c:v>12.384547765749243</c:v>
                </c:pt>
                <c:pt idx="21">
                  <c:v>9.9063548771378809</c:v>
                </c:pt>
                <c:pt idx="22">
                  <c:v>7.9944623687499137</c:v>
                </c:pt>
                <c:pt idx="23">
                  <c:v>6.4428502609530325</c:v>
                </c:pt>
                <c:pt idx="24">
                  <c:v>5.1415789259529587</c:v>
                </c:pt>
                <c:pt idx="25">
                  <c:v>4.0249854708950972</c:v>
                </c:pt>
                <c:pt idx="26">
                  <c:v>3.0506782841201692</c:v>
                </c:pt>
                <c:pt idx="27">
                  <c:v>2.1896755708700724</c:v>
                </c:pt>
                <c:pt idx="28">
                  <c:v>-0.98426456470242063</c:v>
                </c:pt>
                <c:pt idx="29">
                  <c:v>-3.0186750813859149</c:v>
                </c:pt>
                <c:pt idx="30">
                  <c:v>-4.3946754187373989</c:v>
                </c:pt>
                <c:pt idx="31">
                  <c:v>-5.3378181511827592</c:v>
                </c:pt>
                <c:pt idx="32">
                  <c:v>-5.9767697809583717</c:v>
                </c:pt>
                <c:pt idx="33">
                  <c:v>-6.3940322595176262</c:v>
                </c:pt>
                <c:pt idx="34">
                  <c:v>-6.6464057184861245</c:v>
                </c:pt>
                <c:pt idx="35">
                  <c:v>-6.774723272567357</c:v>
                </c:pt>
                <c:pt idx="36">
                  <c:v>-6.8091274029101614</c:v>
                </c:pt>
                <c:pt idx="37">
                  <c:v>-6.7722422903218842</c:v>
                </c:pt>
                <c:pt idx="38">
                  <c:v>-6.6812357287240376</c:v>
                </c:pt>
                <c:pt idx="39">
                  <c:v>-6.5492346889860107</c:v>
                </c:pt>
                <c:pt idx="40">
                  <c:v>-6.3863332891440239</c:v>
                </c:pt>
                <c:pt idx="41">
                  <c:v>-6.2003278471746803</c:v>
                </c:pt>
                <c:pt idx="42">
                  <c:v>-5.9972614052458741</c:v>
                </c:pt>
                <c:pt idx="43">
                  <c:v>-5.7818314951093122</c:v>
                </c:pt>
                <c:pt idx="44">
                  <c:v>-5.5576979271374931</c:v>
                </c:pt>
                <c:pt idx="45">
                  <c:v>-5.3277165859303786</c:v>
                </c:pt>
                <c:pt idx="46">
                  <c:v>-5.0941179806379244</c:v>
                </c:pt>
                <c:pt idx="47">
                  <c:v>-4.858644269929143</c:v>
                </c:pt>
                <c:pt idx="48">
                  <c:v>-4.6226548999006658</c:v>
                </c:pt>
                <c:pt idx="49">
                  <c:v>-4.3872084003333693</c:v>
                </c:pt>
                <c:pt idx="50">
                  <c:v>-4.1531259870925892</c:v>
                </c:pt>
                <c:pt idx="51">
                  <c:v>-3.921041218965355</c:v>
                </c:pt>
                <c:pt idx="52">
                  <c:v>-3.6914389190003942</c:v>
                </c:pt>
                <c:pt idx="53">
                  <c:v>-3.4646857964262567</c:v>
                </c:pt>
                <c:pt idx="54">
                  <c:v>-3.2410546256845918</c:v>
                </c:pt>
                <c:pt idx="55">
                  <c:v>-3.020743403375385</c:v>
                </c:pt>
                <c:pt idx="56">
                  <c:v>-2.8038905749600578</c:v>
                </c:pt>
                <c:pt idx="57">
                  <c:v>-2.5905871737367092</c:v>
                </c:pt>
                <c:pt idx="58">
                  <c:v>-2.3808865248579467</c:v>
                </c:pt>
                <c:pt idx="59">
                  <c:v>-2.1748120221835565</c:v>
                </c:pt>
                <c:pt idx="60">
                  <c:v>-1.9723633745417499</c:v>
                </c:pt>
                <c:pt idx="61">
                  <c:v>-1.7735216323108833</c:v>
                </c:pt>
                <c:pt idx="62">
                  <c:v>-1.5782532389941097</c:v>
                </c:pt>
                <c:pt idx="63">
                  <c:v>-1.3865133010381112</c:v>
                </c:pt>
                <c:pt idx="64">
                  <c:v>-1.1982482290743806</c:v>
                </c:pt>
                <c:pt idx="65">
                  <c:v>-1.0133978724152661</c:v>
                </c:pt>
                <c:pt idx="66">
                  <c:v>-0.83189724402513587</c:v>
                </c:pt>
                <c:pt idx="67">
                  <c:v>-0.65367791379349605</c:v>
                </c:pt>
                <c:pt idx="68">
                  <c:v>-0.47866913260108201</c:v>
                </c:pt>
                <c:pt idx="69">
                  <c:v>-0.30679873750139691</c:v>
                </c:pt>
                <c:pt idx="70">
                  <c:v>-0.13799387865305882</c:v>
                </c:pt>
                <c:pt idx="71">
                  <c:v>2.7818399098701315E-2</c:v>
                </c:pt>
                <c:pt idx="72">
                  <c:v>0.19071069329104262</c:v>
                </c:pt>
                <c:pt idx="73">
                  <c:v>0.35075487784298498</c:v>
                </c:pt>
                <c:pt idx="74">
                  <c:v>0.50802181627856202</c:v>
                </c:pt>
                <c:pt idx="75">
                  <c:v>0.66258113970976384</c:v>
                </c:pt>
                <c:pt idx="76">
                  <c:v>0.81450107774250546</c:v>
                </c:pt>
                <c:pt idx="77">
                  <c:v>0.9638483326028513</c:v>
                </c:pt>
                <c:pt idx="78">
                  <c:v>1.1106879885180907</c:v>
                </c:pt>
                <c:pt idx="79">
                  <c:v>1.2550834498046994</c:v>
                </c:pt>
                <c:pt idx="80">
                  <c:v>1.3970964022749186</c:v>
                </c:pt>
                <c:pt idx="81">
                  <c:v>1.5367867935235482</c:v>
                </c:pt>
                <c:pt idx="82">
                  <c:v>1.6742128284364386</c:v>
                </c:pt>
                <c:pt idx="83">
                  <c:v>1.8094309769040817</c:v>
                </c:pt>
                <c:pt idx="84">
                  <c:v>1.9424959912518105</c:v>
                </c:pt>
                <c:pt idx="85">
                  <c:v>2.0734609313345889</c:v>
                </c:pt>
                <c:pt idx="86">
                  <c:v>2.2023771956045008</c:v>
                </c:pt>
                <c:pt idx="87">
                  <c:v>2.3292945567573557</c:v>
                </c:pt>
                <c:pt idx="88">
                  <c:v>2.4542612008115392</c:v>
                </c:pt>
                <c:pt idx="89">
                  <c:v>2.5773237686772079</c:v>
                </c:pt>
                <c:pt idx="90">
                  <c:v>2.6985273994434618</c:v>
                </c:pt>
                <c:pt idx="91">
                  <c:v>2.8179157747524366</c:v>
                </c:pt>
                <c:pt idx="92">
                  <c:v>2.935531163746155</c:v>
                </c:pt>
                <c:pt idx="93">
                  <c:v>3.0514144681693773</c:v>
                </c:pt>
                <c:pt idx="94">
                  <c:v>3.1656052672924972</c:v>
                </c:pt>
                <c:pt idx="95">
                  <c:v>3.2781418623856897</c:v>
                </c:pt>
                <c:pt idx="96">
                  <c:v>3.3890613205312348</c:v>
                </c:pt>
                <c:pt idx="97">
                  <c:v>3.4983995176072473</c:v>
                </c:pt>
                <c:pt idx="98">
                  <c:v>3.6061911803142914</c:v>
                </c:pt>
                <c:pt idx="99">
                  <c:v>3.7124699271480877</c:v>
                </c:pt>
                <c:pt idx="100">
                  <c:v>3.8172683082478116</c:v>
                </c:pt>
                <c:pt idx="101">
                  <c:v>3.9206178440708603</c:v>
                </c:pt>
                <c:pt idx="102">
                  <c:v>4.0225490628628888</c:v>
                </c:pt>
                <c:pt idx="103">
                  <c:v>4.1230915369062027</c:v>
                </c:pt>
                <c:pt idx="104">
                  <c:v>4.2222739175416271</c:v>
                </c:pt>
                <c:pt idx="105">
                  <c:v>4.3201239689682893</c:v>
                </c:pt>
                <c:pt idx="106">
                  <c:v>4.4166686008335851</c:v>
                </c:pt>
                <c:pt idx="107">
                  <c:v>4.5119338996316358</c:v>
                </c:pt>
                <c:pt idx="108">
                  <c:v>4.6059451589332898</c:v>
                </c:pt>
                <c:pt idx="109">
                  <c:v>4.6987269084745469</c:v>
                </c:pt>
                <c:pt idx="110">
                  <c:v>4.7903029421329686</c:v>
                </c:pt>
                <c:pt idx="111">
                  <c:v>4.8806963448237415</c:v>
                </c:pt>
                <c:pt idx="112">
                  <c:v>4.9699295183485033</c:v>
                </c:pt>
                <c:pt idx="113">
                  <c:v>5.0580242062308498</c:v>
                </c:pt>
                <c:pt idx="114">
                  <c:v>5.1450015175731769</c:v>
                </c:pt>
                <c:pt idx="115">
                  <c:v>5.2308819499693628</c:v>
                </c:pt>
                <c:pt idx="116">
                  <c:v>5.3156854115078991</c:v>
                </c:pt>
                <c:pt idx="117">
                  <c:v>5.3994312418997028</c:v>
                </c:pt>
                <c:pt idx="118">
                  <c:v>5.4821382327641386</c:v>
                </c:pt>
                <c:pt idx="119">
                  <c:v>5.5638246471064443</c:v>
                </c:pt>
                <c:pt idx="120">
                  <c:v>5.6445082380185401</c:v>
                </c:pt>
                <c:pt idx="121">
                  <c:v>5.7242062666348472</c:v>
                </c:pt>
                <c:pt idx="122">
                  <c:v>5.8029355193733299</c:v>
                </c:pt>
                <c:pt idx="123">
                  <c:v>5.8807123244914301</c:v>
                </c:pt>
                <c:pt idx="124">
                  <c:v>5.9575525679852612</c:v>
                </c:pt>
                <c:pt idx="125">
                  <c:v>6.0334717088596044</c:v>
                </c:pt>
                <c:pt idx="126">
                  <c:v>6.1084847937952444</c:v>
                </c:pt>
                <c:pt idx="127">
                  <c:v>6.182606471239005</c:v>
                </c:pt>
                <c:pt idx="128">
                  <c:v>6.2558510049410634</c:v>
                </c:pt>
                <c:pt idx="129">
                  <c:v>6.3282322869630789</c:v>
                </c:pt>
                <c:pt idx="130">
                  <c:v>6.3997638501795153</c:v>
                </c:pt>
                <c:pt idx="131">
                  <c:v>6.4704588802939931</c:v>
                </c:pt>
                <c:pt idx="132">
                  <c:v>6.540330227391177</c:v>
                </c:pt>
                <c:pt idx="133">
                  <c:v>6.6093904170441391</c:v>
                </c:pt>
                <c:pt idx="134">
                  <c:v>6.6776516609960721</c:v>
                </c:pt>
                <c:pt idx="135">
                  <c:v>6.745125867434588</c:v>
                </c:pt>
                <c:pt idx="136">
                  <c:v>6.8118246508757672</c:v>
                </c:pt>
                <c:pt idx="137">
                  <c:v>6.8777593416747589</c:v>
                </c:pt>
                <c:pt idx="138">
                  <c:v>6.9429409951785388</c:v>
                </c:pt>
                <c:pt idx="139">
                  <c:v>7.0073804005361229</c:v>
                </c:pt>
                <c:pt idx="140">
                  <c:v>7.0710880891805949</c:v>
                </c:pt>
                <c:pt idx="141">
                  <c:v>7.1340743429967315</c:v>
                </c:pt>
                <c:pt idx="142">
                  <c:v>7.1963492021875295</c:v>
                </c:pt>
                <c:pt idx="143">
                  <c:v>7.2579224728520249</c:v>
                </c:pt>
                <c:pt idx="144">
                  <c:v>7.3188037342866021</c:v>
                </c:pt>
                <c:pt idx="145">
                  <c:v>7.3790023460211485</c:v>
                </c:pt>
                <c:pt idx="146">
                  <c:v>7.4385274546010471</c:v>
                </c:pt>
                <c:pt idx="147">
                  <c:v>7.4973880001255013</c:v>
                </c:pt>
                <c:pt idx="148">
                  <c:v>7.5555927225520625</c:v>
                </c:pt>
                <c:pt idx="149">
                  <c:v>7.6131501677770608</c:v>
                </c:pt>
                <c:pt idx="150">
                  <c:v>7.6700686935009266</c:v>
                </c:pt>
                <c:pt idx="151">
                  <c:v>7.7263564748870976</c:v>
                </c:pt>
                <c:pt idx="152">
                  <c:v>7.7820215100229317</c:v>
                </c:pt>
                <c:pt idx="153">
                  <c:v>7.8370716251903865</c:v>
                </c:pt>
                <c:pt idx="154">
                  <c:v>7.8915144799542603</c:v>
                </c:pt>
                <c:pt idx="155">
                  <c:v>7.9453575720750003</c:v>
                </c:pt>
                <c:pt idx="156">
                  <c:v>7.9986082422531926</c:v>
                </c:pt>
                <c:pt idx="157">
                  <c:v>8.0512736787122492</c:v>
                </c:pt>
                <c:pt idx="158">
                  <c:v>8.1033609216256366</c:v>
                </c:pt>
                <c:pt idx="159">
                  <c:v>8.1548768673947123</c:v>
                </c:pt>
                <c:pt idx="160">
                  <c:v>8.205828272782874</c:v>
                </c:pt>
                <c:pt idx="161">
                  <c:v>8.2562217589116571</c:v>
                </c:pt>
                <c:pt idx="162">
                  <c:v>8.3060638151239488</c:v>
                </c:pt>
                <c:pt idx="163">
                  <c:v>8.355360802719499</c:v>
                </c:pt>
                <c:pt idx="164">
                  <c:v>8.404118958567409</c:v>
                </c:pt>
                <c:pt idx="165">
                  <c:v>8.452344398600415</c:v>
                </c:pt>
                <c:pt idx="166">
                  <c:v>8.5000431211951852</c:v>
                </c:pt>
                <c:pt idx="167">
                  <c:v>8.5472210104430921</c:v>
                </c:pt>
                <c:pt idx="168">
                  <c:v>8.5938838393153034</c:v>
                </c:pt>
                <c:pt idx="169">
                  <c:v>8.6400372727262518</c:v>
                </c:pt>
                <c:pt idx="170">
                  <c:v>8.685686870499131</c:v>
                </c:pt>
                <c:pt idx="171">
                  <c:v>8.7308380902369453</c:v>
                </c:pt>
                <c:pt idx="172">
                  <c:v>8.7754962901026694</c:v>
                </c:pt>
                <c:pt idx="173">
                  <c:v>8.8196667315116049</c:v>
                </c:pt>
                <c:pt idx="174">
                  <c:v>8.863354581739241</c:v>
                </c:pt>
                <c:pt idx="175">
                  <c:v>8.9065649164475484</c:v>
                </c:pt>
                <c:pt idx="176">
                  <c:v>8.9493027221325878</c:v>
                </c:pt>
                <c:pt idx="177">
                  <c:v>8.9915728984962531</c:v>
                </c:pt>
                <c:pt idx="178">
                  <c:v>9.0333802607447673</c:v>
                </c:pt>
                <c:pt idx="179">
                  <c:v>9.0747295418164562</c:v>
                </c:pt>
                <c:pt idx="180">
                  <c:v>9.115625394541345</c:v>
                </c:pt>
                <c:pt idx="181">
                  <c:v>9.1560723937348136</c:v>
                </c:pt>
                <c:pt idx="182">
                  <c:v>9.1960750382276224</c:v>
                </c:pt>
                <c:pt idx="183">
                  <c:v>9.2356377528344904</c:v>
                </c:pt>
                <c:pt idx="184">
                  <c:v>9.2747648902632598</c:v>
                </c:pt>
                <c:pt idx="185">
                  <c:v>9.3134607329666927</c:v>
                </c:pt>
                <c:pt idx="186">
                  <c:v>9.351729494938759</c:v>
                </c:pt>
                <c:pt idx="187">
                  <c:v>9.3895753234573736</c:v>
                </c:pt>
                <c:pt idx="188">
                  <c:v>9.4270023007752037</c:v>
                </c:pt>
                <c:pt idx="189">
                  <c:v>9.4640144457604034</c:v>
                </c:pt>
                <c:pt idx="190">
                  <c:v>9.5006157154888236</c:v>
                </c:pt>
                <c:pt idx="191">
                  <c:v>9.5368100067892936</c:v>
                </c:pt>
                <c:pt idx="192">
                  <c:v>9.5726011577435717</c:v>
                </c:pt>
                <c:pt idx="193">
                  <c:v>9.6079929491422558</c:v>
                </c:pt>
                <c:pt idx="194">
                  <c:v>9.6429891058982786</c:v>
                </c:pt>
                <c:pt idx="195">
                  <c:v>9.6775932984191808</c:v>
                </c:pt>
                <c:pt idx="196">
                  <c:v>9.7118091439395275</c:v>
                </c:pt>
                <c:pt idx="197">
                  <c:v>9.7456402078147324</c:v>
                </c:pt>
                <c:pt idx="198">
                  <c:v>9.7790900047775224</c:v>
                </c:pt>
                <c:pt idx="199">
                  <c:v>9.8121620001581142</c:v>
                </c:pt>
                <c:pt idx="200">
                  <c:v>9.8448596110693689</c:v>
                </c:pt>
                <c:pt idx="201">
                  <c:v>9.8771862075579264</c:v>
                </c:pt>
                <c:pt idx="202">
                  <c:v>9.9091451137223494</c:v>
                </c:pt>
                <c:pt idx="203">
                  <c:v>9.940739608799344</c:v>
                </c:pt>
                <c:pt idx="204">
                  <c:v>9.9719729282190475</c:v>
                </c:pt>
                <c:pt idx="205">
                  <c:v>10.002848264630204</c:v>
                </c:pt>
                <c:pt idx="206">
                  <c:v>10.033368768896294</c:v>
                </c:pt>
                <c:pt idx="207">
                  <c:v>10.063537551063392</c:v>
                </c:pt>
                <c:pt idx="208">
                  <c:v>10.093357681300635</c:v>
                </c:pt>
                <c:pt idx="209">
                  <c:v>10.122832190814094</c:v>
                </c:pt>
                <c:pt idx="210">
                  <c:v>10.151964072734902</c:v>
                </c:pt>
                <c:pt idx="211">
                  <c:v>10.180756282982305</c:v>
                </c:pt>
                <c:pt idx="212">
                  <c:v>10.209211741102484</c:v>
                </c:pt>
                <c:pt idx="213">
                  <c:v>10.237333331083773</c:v>
                </c:pt>
                <c:pt idx="214">
                  <c:v>10.265123902149005</c:v>
                </c:pt>
                <c:pt idx="215">
                  <c:v>10.292586269525648</c:v>
                </c:pt>
                <c:pt idx="216">
                  <c:v>10.319723215194397</c:v>
                </c:pt>
                <c:pt idx="217">
                  <c:v>10.346537488616789</c:v>
                </c:pt>
                <c:pt idx="218">
                  <c:v>10.373031807442501</c:v>
                </c:pt>
                <c:pt idx="219">
                  <c:v>10.399208858196927</c:v>
                </c:pt>
                <c:pt idx="220">
                  <c:v>10.425071296949522</c:v>
                </c:pt>
                <c:pt idx="221">
                  <c:v>10.450621749963556</c:v>
                </c:pt>
                <c:pt idx="222">
                  <c:v>10.475862814327744</c:v>
                </c:pt>
                <c:pt idx="223">
                  <c:v>10.500797058570299</c:v>
                </c:pt>
                <c:pt idx="224">
                  <c:v>10.525427023255906</c:v>
                </c:pt>
                <c:pt idx="225">
                  <c:v>10.549755221566102</c:v>
                </c:pt>
                <c:pt idx="226">
                  <c:v>10.776974458998936</c:v>
                </c:pt>
                <c:pt idx="227">
                  <c:v>10.976598086562522</c:v>
                </c:pt>
                <c:pt idx="228">
                  <c:v>11.15076274340273</c:v>
                </c:pt>
                <c:pt idx="229">
                  <c:v>11.301423659618548</c:v>
                </c:pt>
                <c:pt idx="230">
                  <c:v>11.430381884285985</c:v>
                </c:pt>
                <c:pt idx="231">
                  <c:v>11.539304869977776</c:v>
                </c:pt>
                <c:pt idx="232">
                  <c:v>11.629742085849283</c:v>
                </c:pt>
                <c:pt idx="233">
                  <c:v>11.703136944809936</c:v>
                </c:pt>
                <c:pt idx="234">
                  <c:v>11.760836032705001</c:v>
                </c:pt>
                <c:pt idx="235">
                  <c:v>11.804096394623604</c:v>
                </c:pt>
                <c:pt idx="236">
                  <c:v>11.83409144956479</c:v>
                </c:pt>
                <c:pt idx="237">
                  <c:v>11.851915959019994</c:v>
                </c:pt>
                <c:pt idx="238">
                  <c:v>11.858590360003989</c:v>
                </c:pt>
                <c:pt idx="239">
                  <c:v>11.855064683043853</c:v>
                </c:pt>
                <c:pt idx="240">
                  <c:v>11.842222206159985</c:v>
                </c:pt>
                <c:pt idx="241">
                  <c:v>11.820882943257798</c:v>
                </c:pt>
                <c:pt idx="242">
                  <c:v>11.791807026451487</c:v>
                </c:pt>
                <c:pt idx="243">
                  <c:v>11.755698013953884</c:v>
                </c:pt>
                <c:pt idx="244">
                  <c:v>11.713206135957044</c:v>
                </c:pt>
                <c:pt idx="245">
                  <c:v>11.664931478410757</c:v>
                </c:pt>
                <c:pt idx="246">
                  <c:v>11.611427097118865</c:v>
                </c:pt>
                <c:pt idx="247">
                  <c:v>11.553202050751333</c:v>
                </c:pt>
                <c:pt idx="248">
                  <c:v>11.490724340119522</c:v>
                </c:pt>
                <c:pt idx="249">
                  <c:v>11.424423741526891</c:v>
                </c:pt>
                <c:pt idx="250">
                  <c:v>11.354694523534413</c:v>
                </c:pt>
                <c:pt idx="251">
                  <c:v>11.281898038587588</c:v>
                </c:pt>
                <c:pt idx="252">
                  <c:v>11.206365183294999</c:v>
                </c:pt>
                <c:pt idx="253">
                  <c:v>11.128398723492205</c:v>
                </c:pt>
                <c:pt idx="254">
                  <c:v>11.048275482417136</c:v>
                </c:pt>
                <c:pt idx="255">
                  <c:v>10.966248392276036</c:v>
                </c:pt>
                <c:pt idx="256">
                  <c:v>10.882548411147795</c:v>
                </c:pt>
                <c:pt idx="257">
                  <c:v>10.797386308548234</c:v>
                </c:pt>
                <c:pt idx="258">
                  <c:v>10.710954324062318</c:v>
                </c:pt>
                <c:pt idx="259">
                  <c:v>10.623427704273997</c:v>
                </c:pt>
                <c:pt idx="260">
                  <c:v>10.534966123808886</c:v>
                </c:pt>
                <c:pt idx="261">
                  <c:v>10.445714996686286</c:v>
                </c:pt>
                <c:pt idx="262">
                  <c:v>10.355806684386259</c:v>
                </c:pt>
                <c:pt idx="263">
                  <c:v>10.265361607105309</c:v>
                </c:pt>
                <c:pt idx="264">
                  <c:v>10.174489264628335</c:v>
                </c:pt>
                <c:pt idx="265">
                  <c:v>10.083289173110373</c:v>
                </c:pt>
                <c:pt idx="266">
                  <c:v>9.9918517238598685</c:v>
                </c:pt>
                <c:pt idx="267">
                  <c:v>9.9002589699650851</c:v>
                </c:pt>
                <c:pt idx="268">
                  <c:v>9.8085853463212462</c:v>
                </c:pt>
                <c:pt idx="269">
                  <c:v>9.7168983283108155</c:v>
                </c:pt>
                <c:pt idx="270">
                  <c:v>9.6252590340733075</c:v>
                </c:pt>
                <c:pt idx="271">
                  <c:v>9.5337227749814062</c:v>
                </c:pt>
                <c:pt idx="272">
                  <c:v>9.442339558623857</c:v>
                </c:pt>
                <c:pt idx="273">
                  <c:v>9.3511545482865905</c:v>
                </c:pt>
                <c:pt idx="274">
                  <c:v>9.2602084826255044</c:v>
                </c:pt>
                <c:pt idx="275">
                  <c:v>9.1695380589396613</c:v>
                </c:pt>
                <c:pt idx="276">
                  <c:v>9.0791762831837062</c:v>
                </c:pt>
                <c:pt idx="277">
                  <c:v>8.9891527896041445</c:v>
                </c:pt>
                <c:pt idx="278">
                  <c:v>8.8994941326461134</c:v>
                </c:pt>
                <c:pt idx="279">
                  <c:v>8.8102240535553324</c:v>
                </c:pt>
                <c:pt idx="280">
                  <c:v>8.7213637238939832</c:v>
                </c:pt>
                <c:pt idx="281">
                  <c:v>8.6329319679985694</c:v>
                </c:pt>
                <c:pt idx="282">
                  <c:v>8.5449454662319653</c:v>
                </c:pt>
                <c:pt idx="283">
                  <c:v>8.4574189407198581</c:v>
                </c:pt>
                <c:pt idx="284">
                  <c:v>8.3703653251133865</c:v>
                </c:pt>
                <c:pt idx="285">
                  <c:v>8.2837959197830706</c:v>
                </c:pt>
                <c:pt idx="286">
                  <c:v>8.1977205337248407</c:v>
                </c:pt>
                <c:pt idx="287">
                  <c:v>8.1121476143445168</c:v>
                </c:pt>
                <c:pt idx="288">
                  <c:v>8.0270843661833311</c:v>
                </c:pt>
                <c:pt idx="289">
                  <c:v>7.9425368595517822</c:v>
                </c:pt>
                <c:pt idx="290">
                  <c:v>7.8585101299529247</c:v>
                </c:pt>
                <c:pt idx="291">
                  <c:v>7.7750082690969782</c:v>
                </c:pt>
                <c:pt idx="292">
                  <c:v>7.6920345082377004</c:v>
                </c:pt>
                <c:pt idx="293">
                  <c:v>7.6095912944954192</c:v>
                </c:pt>
                <c:pt idx="294">
                  <c:v>7.5276803607724494</c:v>
                </c:pt>
                <c:pt idx="295">
                  <c:v>7.4463027898123464</c:v>
                </c:pt>
                <c:pt idx="296">
                  <c:v>7.3654590729056686</c:v>
                </c:pt>
                <c:pt idx="297">
                  <c:v>7.2851491636999199</c:v>
                </c:pt>
                <c:pt idx="298">
                  <c:v>7.2053725275311127</c:v>
                </c:pt>
                <c:pt idx="299">
                  <c:v>7.1261281866572448</c:v>
                </c:pt>
                <c:pt idx="300">
                  <c:v>7.0474147617405567</c:v>
                </c:pt>
                <c:pt idx="301">
                  <c:v>6.9692305098950307</c:v>
                </c:pt>
                <c:pt idx="302">
                  <c:v>6.8915733595877153</c:v>
                </c:pt>
                <c:pt idx="303">
                  <c:v>6.814440942657372</c:v>
                </c:pt>
                <c:pt idx="304">
                  <c:v>6.7378306236909689</c:v>
                </c:pt>
                <c:pt idx="305">
                  <c:v>6.6617395269777591</c:v>
                </c:pt>
                <c:pt idx="306">
                  <c:v>6.5861645612415707</c:v>
                </c:pt>
                <c:pt idx="307">
                  <c:v>6.5111024423348232</c:v>
                </c:pt>
                <c:pt idx="308">
                  <c:v>6.4365497140619174</c:v>
                </c:pt>
                <c:pt idx="309">
                  <c:v>6.3625027672854637</c:v>
                </c:pt>
                <c:pt idx="310">
                  <c:v>6.2889578574556122</c:v>
                </c:pt>
                <c:pt idx="311">
                  <c:v>6.2159111206909845</c:v>
                </c:pt>
                <c:pt idx="312">
                  <c:v>6.1433585885288435</c:v>
                </c:pt>
                <c:pt idx="313">
                  <c:v>6.0712962014521334</c:v>
                </c:pt>
                <c:pt idx="314">
                  <c:v>5.9997198212922687</c:v>
                </c:pt>
                <c:pt idx="315">
                  <c:v>5.9286252425979704</c:v>
                </c:pt>
                <c:pt idx="316">
                  <c:v>5.8580082030532523</c:v>
                </c:pt>
                <c:pt idx="317">
                  <c:v>5.7878643930206319</c:v>
                </c:pt>
                <c:pt idx="318">
                  <c:v>5.7181894642793774</c:v>
                </c:pt>
                <c:pt idx="319">
                  <c:v>5.6489790380229623</c:v>
                </c:pt>
                <c:pt idx="320">
                  <c:v>5.5802287121745238</c:v>
                </c:pt>
                <c:pt idx="321">
                  <c:v>5.5119340680745115</c:v>
                </c:pt>
                <c:pt idx="322">
                  <c:v>5.4440906765901094</c:v>
                </c:pt>
                <c:pt idx="323">
                  <c:v>5.37669410369225</c:v>
                </c:pt>
                <c:pt idx="324">
                  <c:v>5.309739915542063</c:v>
                </c:pt>
                <c:pt idx="325">
                  <c:v>5.2432236831256107</c:v>
                </c:pt>
                <c:pt idx="326">
                  <c:v>5.1771409864722546</c:v>
                </c:pt>
                <c:pt idx="327">
                  <c:v>5.1114874184895456</c:v>
                </c:pt>
                <c:pt idx="328">
                  <c:v>5.0462585884447</c:v>
                </c:pt>
                <c:pt idx="329">
                  <c:v>4.9814501251204071</c:v>
                </c:pt>
                <c:pt idx="330">
                  <c:v>4.9170576796705863</c:v>
                </c:pt>
                <c:pt idx="331">
                  <c:v>4.8530769281995916</c:v>
                </c:pt>
                <c:pt idx="332">
                  <c:v>4.7895035740866536</c:v>
                </c:pt>
                <c:pt idx="333">
                  <c:v>4.7263333500755431</c:v>
                </c:pt>
                <c:pt idx="334">
                  <c:v>4.6635620201479009</c:v>
                </c:pt>
                <c:pt idx="335">
                  <c:v>4.6011853811973582</c:v>
                </c:pt>
                <c:pt idx="336">
                  <c:v>4.5391992645200547</c:v>
                </c:pt>
                <c:pt idx="337">
                  <c:v>4.4775995371361841</c:v>
                </c:pt>
                <c:pt idx="338">
                  <c:v>4.416382102955855</c:v>
                </c:pt>
                <c:pt idx="339">
                  <c:v>4.3555429038016946</c:v>
                </c:pt>
                <c:pt idx="340">
                  <c:v>4.2950779202996268</c:v>
                </c:pt>
                <c:pt idx="341">
                  <c:v>4.2349831726483043</c:v>
                </c:pt>
                <c:pt idx="342">
                  <c:v>4.1752547212770139</c:v>
                </c:pt>
                <c:pt idx="343">
                  <c:v>4.1158886674010366</c:v>
                </c:pt>
                <c:pt idx="344">
                  <c:v>4.0568811534827605</c:v>
                </c:pt>
                <c:pt idx="345">
                  <c:v>3.9982283636062594</c:v>
                </c:pt>
                <c:pt idx="346">
                  <c:v>3.9399265237724639</c:v>
                </c:pt>
                <c:pt idx="347">
                  <c:v>3.8819719021214452</c:v>
                </c:pt>
                <c:pt idx="348">
                  <c:v>3.8243608090879317</c:v>
                </c:pt>
                <c:pt idx="349">
                  <c:v>3.7670895974956862</c:v>
                </c:pt>
                <c:pt idx="350">
                  <c:v>3.7101546625958708</c:v>
                </c:pt>
                <c:pt idx="351">
                  <c:v>3.6535524420542926</c:v>
                </c:pt>
                <c:pt idx="352">
                  <c:v>3.5972794158918968</c:v>
                </c:pt>
                <c:pt idx="353">
                  <c:v>3.5413321063826633</c:v>
                </c:pt>
                <c:pt idx="354">
                  <c:v>3.4857070779126911</c:v>
                </c:pt>
                <c:pt idx="355">
                  <c:v>3.4304009368039705</c:v>
                </c:pt>
                <c:pt idx="356">
                  <c:v>3.3754103311061021</c:v>
                </c:pt>
                <c:pt idx="357">
                  <c:v>3.3207319503589923</c:v>
                </c:pt>
                <c:pt idx="358">
                  <c:v>3.2663625253292223</c:v>
                </c:pt>
                <c:pt idx="359">
                  <c:v>3.2122988277227633</c:v>
                </c:pt>
                <c:pt idx="360">
                  <c:v>3.1585376698763441</c:v>
                </c:pt>
                <c:pt idx="361">
                  <c:v>3.1050759044296354</c:v>
                </c:pt>
                <c:pt idx="362">
                  <c:v>3.0519104239804138</c:v>
                </c:pt>
                <c:pt idx="363">
                  <c:v>2.9990381607243526</c:v>
                </c:pt>
                <c:pt idx="364">
                  <c:v>2.94645608608141</c:v>
                </c:pt>
                <c:pt idx="365">
                  <c:v>2.8941612103102226</c:v>
                </c:pt>
                <c:pt idx="366">
                  <c:v>2.8421505821121027</c:v>
                </c:pt>
                <c:pt idx="367">
                  <c:v>2.7904212882258999</c:v>
                </c:pt>
                <c:pt idx="368">
                  <c:v>2.7389704530150523</c:v>
                </c:pt>
                <c:pt idx="369">
                  <c:v>2.6877952380479595</c:v>
                </c:pt>
                <c:pt idx="370">
                  <c:v>2.6368928416727169</c:v>
                </c:pt>
                <c:pt idx="371">
                  <c:v>2.5862604985872268</c:v>
                </c:pt>
                <c:pt idx="372">
                  <c:v>2.5358954794055748</c:v>
                </c:pt>
                <c:pt idx="373">
                  <c:v>2.48579509022148</c:v>
                </c:pt>
                <c:pt idx="374">
                  <c:v>2.435956672169636</c:v>
                </c:pt>
                <c:pt idx="375">
                  <c:v>2.3863776009855671</c:v>
                </c:pt>
                <c:pt idx="376">
                  <c:v>2.337055286564715</c:v>
                </c:pt>
                <c:pt idx="377">
                  <c:v>2.2879871725212837</c:v>
                </c:pt>
                <c:pt idx="378">
                  <c:v>2.2391707357474493</c:v>
                </c:pt>
                <c:pt idx="379">
                  <c:v>2.1906034859733223</c:v>
                </c:pt>
                <c:pt idx="380">
                  <c:v>2.1422829653282496</c:v>
                </c:pt>
                <c:pt idx="381">
                  <c:v>2.0942067479037374</c:v>
                </c:pt>
                <c:pt idx="382">
                  <c:v>2.0463724393184686</c:v>
                </c:pt>
                <c:pt idx="383">
                  <c:v>1.9987776762856742</c:v>
                </c:pt>
                <c:pt idx="384">
                  <c:v>1.9514201261832287</c:v>
                </c:pt>
                <c:pt idx="385">
                  <c:v>1.9042974866267146</c:v>
                </c:pt>
                <c:pt idx="386">
                  <c:v>1.8574074850457074</c:v>
                </c:pt>
                <c:pt idx="387">
                  <c:v>1.81074787826353</c:v>
                </c:pt>
                <c:pt idx="388">
                  <c:v>1.7643164520806658</c:v>
                </c:pt>
                <c:pt idx="389">
                  <c:v>1.7181110208619932</c:v>
                </c:pt>
                <c:pt idx="390">
                  <c:v>1.6721294271280398</c:v>
                </c:pt>
                <c:pt idx="391">
                  <c:v>1.6263695411503787</c:v>
                </c:pt>
                <c:pt idx="392">
                  <c:v>1.580829260551303</c:v>
                </c:pt>
                <c:pt idx="393">
                  <c:v>1.5355065099078422</c:v>
                </c:pt>
                <c:pt idx="394">
                  <c:v>1.4903992403603086</c:v>
                </c:pt>
                <c:pt idx="395">
                  <c:v>1.4455054292253935</c:v>
                </c:pt>
                <c:pt idx="396">
                  <c:v>1.4008230796138335</c:v>
                </c:pt>
                <c:pt idx="397">
                  <c:v>1.3563502200528692</c:v>
                </c:pt>
                <c:pt idx="398">
                  <c:v>1.3120849041133344</c:v>
                </c:pt>
                <c:pt idx="399">
                  <c:v>1.268025210041581</c:v>
                </c:pt>
                <c:pt idx="400">
                  <c:v>1.2241692403962106</c:v>
                </c:pt>
                <c:pt idx="401">
                  <c:v>1.1805151216895675</c:v>
                </c:pt>
                <c:pt idx="402">
                  <c:v>1.1370610040341409</c:v>
                </c:pt>
                <c:pt idx="403">
                  <c:v>1.0938050607937853</c:v>
                </c:pt>
                <c:pt idx="404">
                  <c:v>1.050745488239734</c:v>
                </c:pt>
                <c:pt idx="405">
                  <c:v>1.007880505211536</c:v>
                </c:pt>
                <c:pt idx="406">
                  <c:v>0.96520835278275652</c:v>
                </c:pt>
                <c:pt idx="407">
                  <c:v>0.92272729393147968</c:v>
                </c:pt>
                <c:pt idx="408">
                  <c:v>0.88043561321566555</c:v>
                </c:pt>
                <c:pt idx="409">
                  <c:v>0.838331616453176</c:v>
                </c:pt>
                <c:pt idx="410">
                  <c:v>0.79641363040660473</c:v>
                </c:pt>
                <c:pt idx="411">
                  <c:v>0.75468000247279465</c:v>
                </c:pt>
                <c:pt idx="412">
                  <c:v>0.71312910037699451</c:v>
                </c:pt>
                <c:pt idx="413">
                  <c:v>0.67175931187166038</c:v>
                </c:pt>
                <c:pt idx="414">
                  <c:v>0.63056904443987372</c:v>
                </c:pt>
                <c:pt idx="415">
                  <c:v>0.58955672500325274</c:v>
                </c:pt>
                <c:pt idx="416">
                  <c:v>0.54872079963438714</c:v>
                </c:pt>
                <c:pt idx="417">
                  <c:v>0.50805973327374532</c:v>
                </c:pt>
                <c:pt idx="418">
                  <c:v>0.46757200945098476</c:v>
                </c:pt>
                <c:pt idx="419">
                  <c:v>0.42725613001055041</c:v>
                </c:pt>
                <c:pt idx="420">
                  <c:v>0.38711061484172515</c:v>
                </c:pt>
                <c:pt idx="421">
                  <c:v>0.34713400161277996</c:v>
                </c:pt>
                <c:pt idx="422">
                  <c:v>0.30732484550942685</c:v>
                </c:pt>
                <c:pt idx="423">
                  <c:v>0.26768171897737048</c:v>
                </c:pt>
                <c:pt idx="424">
                  <c:v>0.22820321146901185</c:v>
                </c:pt>
                <c:pt idx="425">
                  <c:v>0.18888792919412337</c:v>
                </c:pt>
                <c:pt idx="426">
                  <c:v>0.14973449487458063</c:v>
                </c:pt>
                <c:pt idx="427">
                  <c:v>0.11074154750295837</c:v>
                </c:pt>
                <c:pt idx="428">
                  <c:v>7.1907742105076444E-2</c:v>
                </c:pt>
                <c:pt idx="429">
                  <c:v>3.3231749506307535E-2</c:v>
                </c:pt>
                <c:pt idx="430">
                  <c:v>-5.2877438983136597E-3</c:v>
                </c:pt>
                <c:pt idx="431">
                  <c:v>-4.3652036370282053E-2</c:v>
                </c:pt>
                <c:pt idx="432">
                  <c:v>-8.1862411050142747E-2</c:v>
                </c:pt>
                <c:pt idx="433">
                  <c:v>-0.11992013617644472</c:v>
                </c:pt>
                <c:pt idx="434">
                  <c:v>-0.15782646530109204</c:v>
                </c:pt>
                <c:pt idx="435">
                  <c:v>-0.19558263750126706</c:v>
                </c:pt>
                <c:pt idx="436">
                  <c:v>-0.23318987758783571</c:v>
                </c:pt>
                <c:pt idx="437">
                  <c:v>-0.2706493963104602</c:v>
                </c:pt>
                <c:pt idx="438">
                  <c:v>-0.30796239055931374</c:v>
                </c:pt>
                <c:pt idx="439">
                  <c:v>-0.34513004356351934</c:v>
                </c:pt>
                <c:pt idx="440">
                  <c:v>-0.38215352508639733</c:v>
                </c:pt>
                <c:pt idx="441">
                  <c:v>-0.41903399161752941</c:v>
                </c:pt>
                <c:pt idx="442">
                  <c:v>-0.45577258656166542</c:v>
                </c:pt>
                <c:pt idx="443">
                  <c:v>-0.49237044042459421</c:v>
                </c:pt>
                <c:pt idx="444">
                  <c:v>-0.5288286709959954</c:v>
                </c:pt>
                <c:pt idx="445">
                  <c:v>-0.56514838352929864</c:v>
                </c:pt>
                <c:pt idx="446">
                  <c:v>-0.60133067091862225</c:v>
                </c:pt>
                <c:pt idx="447">
                  <c:v>-0.63737661387284938</c:v>
                </c:pt>
                <c:pt idx="448">
                  <c:v>-0.67328728108690283</c:v>
                </c:pt>
                <c:pt idx="449">
                  <c:v>-0.70906372941015627</c:v>
                </c:pt>
                <c:pt idx="450">
                  <c:v>-0.74470700401223933</c:v>
                </c:pt>
                <c:pt idx="451">
                  <c:v>-0.78021813854604227</c:v>
                </c:pt>
                <c:pt idx="452">
                  <c:v>-0.81559815530814395</c:v>
                </c:pt>
                <c:pt idx="453">
                  <c:v>-0.85084806539665947</c:v>
                </c:pt>
                <c:pt idx="454">
                  <c:v>-0.88596886886645732</c:v>
                </c:pt>
                <c:pt idx="455">
                  <c:v>-0.92096155488197262</c:v>
                </c:pt>
                <c:pt idx="456">
                  <c:v>-0.95582710186747777</c:v>
                </c:pt>
                <c:pt idx="457">
                  <c:v>-0.99056647765496031</c:v>
                </c:pt>
                <c:pt idx="458">
                  <c:v>-1.0251806396296632</c:v>
                </c:pt>
                <c:pt idx="459">
                  <c:v>-1.0596705348731672</c:v>
                </c:pt>
                <c:pt idx="460">
                  <c:v>-1.0940371003043345</c:v>
                </c:pt>
                <c:pt idx="461">
                  <c:v>-1.1282812628178582</c:v>
                </c:pt>
                <c:pt idx="462">
                  <c:v>-1.1624039394206773</c:v>
                </c:pt>
                <c:pt idx="463">
                  <c:v>-1.1964060373661645</c:v>
                </c:pt>
                <c:pt idx="464">
                  <c:v>-1.2302884542861856</c:v>
                </c:pt>
                <c:pt idx="465">
                  <c:v>-1.264052078321066</c:v>
                </c:pt>
                <c:pt idx="466">
                  <c:v>-1.2976977882474734</c:v>
                </c:pt>
                <c:pt idx="467">
                  <c:v>-1.3312264536042571</c:v>
                </c:pt>
                <c:pt idx="468">
                  <c:v>-1.3646389348163246</c:v>
                </c:pt>
                <c:pt idx="469">
                  <c:v>-1.3979360833165182</c:v>
                </c:pt>
                <c:pt idx="470">
                  <c:v>-1.4311187416655782</c:v>
                </c:pt>
                <c:pt idx="471">
                  <c:v>-1.4641877436702182</c:v>
                </c:pt>
                <c:pt idx="472">
                  <c:v>-1.4971439144993286</c:v>
                </c:pt>
                <c:pt idx="473">
                  <c:v>-1.529988070798346</c:v>
                </c:pt>
                <c:pt idx="474">
                  <c:v>-1.5627210208018429</c:v>
                </c:pt>
                <c:pt idx="475">
                  <c:v>-1.5953435644443306</c:v>
                </c:pt>
                <c:pt idx="476">
                  <c:v>-1.6278564934693309</c:v>
                </c:pt>
                <c:pt idx="477">
                  <c:v>-1.6602605915367636</c:v>
                </c:pt>
                <c:pt idx="478">
                  <c:v>-1.6925566343286158</c:v>
                </c:pt>
                <c:pt idx="479">
                  <c:v>-1.7247453896530254</c:v>
                </c:pt>
                <c:pt idx="480">
                  <c:v>-1.7568276175466671</c:v>
                </c:pt>
                <c:pt idx="481">
                  <c:v>-1.7888040703756225</c:v>
                </c:pt>
                <c:pt idx="482">
                  <c:v>-1.8206754929346602</c:v>
                </c:pt>
                <c:pt idx="483">
                  <c:v>-1.8524426225449542</c:v>
                </c:pt>
                <c:pt idx="484">
                  <c:v>-1.8841061891503406</c:v>
                </c:pt>
                <c:pt idx="485">
                  <c:v>-1.9156669154120607</c:v>
                </c:pt>
                <c:pt idx="486">
                  <c:v>-1.947125516802052</c:v>
                </c:pt>
                <c:pt idx="487">
                  <c:v>-1.9784827016948234</c:v>
                </c:pt>
                <c:pt idx="488">
                  <c:v>-2.0097391714578965</c:v>
                </c:pt>
                <c:pt idx="489">
                  <c:v>-2.0408956205409066</c:v>
                </c:pt>
                <c:pt idx="490">
                  <c:v>-2.0719527365632882</c:v>
                </c:pt>
                <c:pt idx="491">
                  <c:v>-2.1029112004006807</c:v>
                </c:pt>
                <c:pt idx="492">
                  <c:v>-2.1337716862699758</c:v>
                </c:pt>
                <c:pt idx="493">
                  <c:v>-2.1645348618131268</c:v>
                </c:pt>
                <c:pt idx="494">
                  <c:v>-2.1952013881796337</c:v>
                </c:pt>
                <c:pt idx="495">
                  <c:v>-2.2257719201078321</c:v>
                </c:pt>
                <c:pt idx="496">
                  <c:v>-2.2562471060049161</c:v>
                </c:pt>
                <c:pt idx="497">
                  <c:v>-2.2866275880257918</c:v>
                </c:pt>
                <c:pt idx="498">
                  <c:v>-2.3169140021507477</c:v>
                </c:pt>
                <c:pt idx="499">
                  <c:v>-2.3471069782619045</c:v>
                </c:pt>
                <c:pt idx="500">
                  <c:v>-2.3772071402186281</c:v>
                </c:pt>
                <c:pt idx="501">
                  <c:v>-2.4072151059317144</c:v>
                </c:pt>
                <c:pt idx="502">
                  <c:v>-2.4371314874365306</c:v>
                </c:pt>
                <c:pt idx="503">
                  <c:v>-2.4669568909650614</c:v>
                </c:pt>
                <c:pt idx="504">
                  <c:v>-2.4966919170168698</c:v>
                </c:pt>
                <c:pt idx="505">
                  <c:v>-2.5263371604290388</c:v>
                </c:pt>
                <c:pt idx="506">
                  <c:v>-2.55589321044505</c:v>
                </c:pt>
                <c:pt idx="507">
                  <c:v>-2.5853606507826736</c:v>
                </c:pt>
                <c:pt idx="508">
                  <c:v>-2.6147400597008534</c:v>
                </c:pt>
                <c:pt idx="509">
                  <c:v>-2.6440320100656001</c:v>
                </c:pt>
                <c:pt idx="510">
                  <c:v>-2.673237069414955</c:v>
                </c:pt>
                <c:pt idx="511">
                  <c:v>-2.702355800022965</c:v>
                </c:pt>
                <c:pt idx="512">
                  <c:v>-2.7313887589627543</c:v>
                </c:pt>
                <c:pt idx="513">
                  <c:v>-2.7603364981686696</c:v>
                </c:pt>
                <c:pt idx="514">
                  <c:v>-2.7891995644975349</c:v>
                </c:pt>
                <c:pt idx="515">
                  <c:v>-2.8179784997890041</c:v>
                </c:pt>
                <c:pt idx="516">
                  <c:v>-2.8466738409250656</c:v>
                </c:pt>
                <c:pt idx="517">
                  <c:v>-2.8752861198886617</c:v>
                </c:pt>
                <c:pt idx="518">
                  <c:v>-2.9038158638215057</c:v>
                </c:pt>
                <c:pt idx="519">
                  <c:v>-2.9322635950810234</c:v>
                </c:pt>
                <c:pt idx="520">
                  <c:v>-2.9606298312965351</c:v>
                </c:pt>
                <c:pt idx="521">
                  <c:v>-2.9889150854245745</c:v>
                </c:pt>
                <c:pt idx="522">
                  <c:v>-3.0171198658034779</c:v>
                </c:pt>
                <c:pt idx="523">
                  <c:v>-3.0452446762071741</c:v>
                </c:pt>
                <c:pt idx="524">
                  <c:v>-3.0732900158981908</c:v>
                </c:pt>
                <c:pt idx="525">
                  <c:v>-3.1012563796799508</c:v>
                </c:pt>
                <c:pt idx="526">
                  <c:v>-3.1291442579483157</c:v>
                </c:pt>
                <c:pt idx="527">
                  <c:v>-3.1569541367423923</c:v>
                </c:pt>
                <c:pt idx="528">
                  <c:v>-3.1846864977946518</c:v>
                </c:pt>
                <c:pt idx="529">
                  <c:v>-3.2123418185802959</c:v>
                </c:pt>
                <c:pt idx="530">
                  <c:v>-3.2399205723660227</c:v>
                </c:pt>
                <c:pt idx="531">
                  <c:v>-3.2674232282580133</c:v>
                </c:pt>
                <c:pt idx="532">
                  <c:v>-3.2948502512493199</c:v>
                </c:pt>
                <c:pt idx="533">
                  <c:v>-3.32220210226656</c:v>
                </c:pt>
                <c:pt idx="534">
                  <c:v>-3.3494792382159848</c:v>
                </c:pt>
                <c:pt idx="535">
                  <c:v>-3.3766821120289165</c:v>
                </c:pt>
                <c:pt idx="536">
                  <c:v>-3.403811172706515</c:v>
                </c:pt>
                <c:pt idx="537">
                  <c:v>-3.4308668653639876</c:v>
                </c:pt>
                <c:pt idx="538">
                  <c:v>-3.4578496312741587</c:v>
                </c:pt>
                <c:pt idx="539">
                  <c:v>-3.4847599079104432</c:v>
                </c:pt>
                <c:pt idx="540">
                  <c:v>-3.5115981289892466</c:v>
                </c:pt>
                <c:pt idx="541">
                  <c:v>-3.5383647245117738</c:v>
                </c:pt>
                <c:pt idx="542">
                  <c:v>-3.5650601208052874</c:v>
                </c:pt>
                <c:pt idx="543">
                  <c:v>-3.5916847405637786</c:v>
                </c:pt>
                <c:pt idx="544">
                  <c:v>-3.6182390028881284</c:v>
                </c:pt>
                <c:pt idx="545">
                  <c:v>-3.6447233233256675</c:v>
                </c:pt>
                <c:pt idx="546">
                  <c:v>-3.6711381139092802</c:v>
                </c:pt>
                <c:pt idx="547">
                  <c:v>-3.6974837831958984</c:v>
                </c:pt>
                <c:pt idx="548">
                  <c:v>-3.7237607363045733</c:v>
                </c:pt>
                <c:pt idx="549">
                  <c:v>-3.749969374953916</c:v>
                </c:pt>
                <c:pt idx="550">
                  <c:v>-3.7761100974991817</c:v>
                </c:pt>
                <c:pt idx="551">
                  <c:v>-3.8021832989687399</c:v>
                </c:pt>
                <c:pt idx="552">
                  <c:v>-3.8281893711001249</c:v>
                </c:pt>
                <c:pt idx="553">
                  <c:v>-3.8541287023755877</c:v>
                </c:pt>
                <c:pt idx="554">
                  <c:v>-3.8800016780571784</c:v>
                </c:pt>
                <c:pt idx="555">
                  <c:v>-3.9058086802213685</c:v>
                </c:pt>
                <c:pt idx="556">
                  <c:v>-3.9315500877932257</c:v>
                </c:pt>
                <c:pt idx="557">
                  <c:v>-3.9572262765801201</c:v>
                </c:pt>
                <c:pt idx="558">
                  <c:v>-3.9828376193049908</c:v>
                </c:pt>
                <c:pt idx="559">
                  <c:v>-4.0083844856392119</c:v>
                </c:pt>
                <c:pt idx="560">
                  <c:v>-4.0338672422349866</c:v>
                </c:pt>
                <c:pt idx="561">
                  <c:v>-4.0592862527573361</c:v>
                </c:pt>
                <c:pt idx="562">
                  <c:v>-4.0846418779156828</c:v>
                </c:pt>
                <c:pt idx="563">
                  <c:v>-4.1099344754949936</c:v>
                </c:pt>
                <c:pt idx="564">
                  <c:v>-4.135164400386576</c:v>
                </c:pt>
                <c:pt idx="565">
                  <c:v>-4.1603320046184225</c:v>
                </c:pt>
                <c:pt idx="566">
                  <c:v>-4.1854376373851725</c:v>
                </c:pt>
                <c:pt idx="567">
                  <c:v>-4.2104816450777314</c:v>
                </c:pt>
                <c:pt idx="568">
                  <c:v>-4.2354643713124629</c:v>
                </c:pt>
                <c:pt idx="569">
                  <c:v>-4.260386156960017</c:v>
                </c:pt>
                <c:pt idx="570">
                  <c:v>-4.2852473401738251</c:v>
                </c:pt>
                <c:pt idx="571">
                  <c:v>-4.310048256418181</c:v>
                </c:pt>
                <c:pt idx="572">
                  <c:v>-4.3347892384960041</c:v>
                </c:pt>
                <c:pt idx="573">
                  <c:v>-4.3594706165762398</c:v>
                </c:pt>
                <c:pt idx="574">
                  <c:v>-4.3840927182209031</c:v>
                </c:pt>
                <c:pt idx="575">
                  <c:v>-4.4086558684117803</c:v>
                </c:pt>
                <c:pt idx="576">
                  <c:v>-4.4331603895768277</c:v>
                </c:pt>
                <c:pt idx="577">
                  <c:v>-4.4576066016162086</c:v>
                </c:pt>
                <c:pt idx="578">
                  <c:v>-4.4819948219279766</c:v>
                </c:pt>
                <c:pt idx="579">
                  <c:v>-4.5063253654335318</c:v>
                </c:pt>
                <c:pt idx="580">
                  <c:v>-4.5305985446026362</c:v>
                </c:pt>
                <c:pt idx="581">
                  <c:v>-4.5548146694782297</c:v>
                </c:pt>
                <c:pt idx="582">
                  <c:v>-4.5789740477008598</c:v>
                </c:pt>
                <c:pt idx="583">
                  <c:v>-4.6030769845328461</c:v>
                </c:pt>
                <c:pt idx="584">
                  <c:v>-4.6271237828821441</c:v>
                </c:pt>
                <c:pt idx="585">
                  <c:v>-4.6511147433258966</c:v>
                </c:pt>
                <c:pt idx="586">
                  <c:v>-4.6750501641337188</c:v>
                </c:pt>
                <c:pt idx="587">
                  <c:v>-4.6989303412906773</c:v>
                </c:pt>
                <c:pt idx="588">
                  <c:v>-4.7227555685199905</c:v>
                </c:pt>
                <c:pt idx="589">
                  <c:v>-4.7465261373054766</c:v>
                </c:pt>
                <c:pt idx="590">
                  <c:v>-4.770242336913693</c:v>
                </c:pt>
                <c:pt idx="591">
                  <c:v>-4.7939044544158049</c:v>
                </c:pt>
                <c:pt idx="592">
                  <c:v>-4.817512774709253</c:v>
                </c:pt>
                <c:pt idx="593">
                  <c:v>-4.8410675805390628</c:v>
                </c:pt>
                <c:pt idx="594">
                  <c:v>-4.8645691525189596</c:v>
                </c:pt>
                <c:pt idx="595">
                  <c:v>-4.8880177691522197</c:v>
                </c:pt>
                <c:pt idx="596">
                  <c:v>-4.9114137068522625</c:v>
                </c:pt>
                <c:pt idx="597">
                  <c:v>-4.9347572399629716</c:v>
                </c:pt>
                <c:pt idx="598">
                  <c:v>-4.9580486407788396</c:v>
                </c:pt>
                <c:pt idx="599">
                  <c:v>-4.9812881795648005</c:v>
                </c:pt>
                <c:pt idx="600">
                  <c:v>-5.0044761245758522</c:v>
                </c:pt>
                <c:pt idx="601">
                  <c:v>-5.0276127420764638</c:v>
                </c:pt>
                <c:pt idx="602">
                  <c:v>-5.0506982963597302</c:v>
                </c:pt>
                <c:pt idx="603">
                  <c:v>-5.0737330497662914</c:v>
                </c:pt>
                <c:pt idx="604">
                  <c:v>-5.0967172627030601</c:v>
                </c:pt>
                <c:pt idx="605">
                  <c:v>-5.1196511936617108</c:v>
                </c:pt>
                <c:pt idx="606">
                  <c:v>-6.2074427706879174</c:v>
                </c:pt>
                <c:pt idx="607">
                  <c:v>-7.1964429231268054</c:v>
                </c:pt>
                <c:pt idx="608">
                  <c:v>-8.1061487743999621</c:v>
                </c:pt>
                <c:pt idx="609">
                  <c:v>-8.9509340380406357</c:v>
                </c:pt>
                <c:pt idx="610">
                  <c:v>-9.7416601082722014</c:v>
                </c:pt>
                <c:pt idx="611">
                  <c:v>-10.486703872926643</c:v>
                </c:pt>
                <c:pt idx="612">
                  <c:v>-11.192638212890477</c:v>
                </c:pt>
                <c:pt idx="613">
                  <c:v>-11.864697006406406</c:v>
                </c:pt>
                <c:pt idx="614">
                  <c:v>-12.50710159775169</c:v>
                </c:pt>
                <c:pt idx="615">
                  <c:v>-13.123295413339012</c:v>
                </c:pt>
                <c:pt idx="616">
                  <c:v>-13.716116006560215</c:v>
                </c:pt>
                <c:pt idx="617">
                  <c:v>-14.287923448617612</c:v>
                </c:pt>
                <c:pt idx="618">
                  <c:v>-14.510237235766999</c:v>
                </c:pt>
                <c:pt idx="619">
                  <c:v>-14.729627646853498</c:v>
                </c:pt>
                <c:pt idx="620">
                  <c:v>-14.946201474534764</c:v>
                </c:pt>
                <c:pt idx="621">
                  <c:v>-15.160058726837313</c:v>
                </c:pt>
                <c:pt idx="622">
                  <c:v>-15.3712931721575</c:v>
                </c:pt>
                <c:pt idx="623">
                  <c:v>-15.579992833663333</c:v>
                </c:pt>
                <c:pt idx="624">
                  <c:v>-15.786240438482093</c:v>
                </c:pt>
                <c:pt idx="625">
                  <c:v>-15.990113826401291</c:v>
                </c:pt>
                <c:pt idx="626">
                  <c:v>-16.191686322244362</c:v>
                </c:pt>
                <c:pt idx="627">
                  <c:v>-16.391027075593108</c:v>
                </c:pt>
                <c:pt idx="628">
                  <c:v>-16.588201371105239</c:v>
                </c:pt>
                <c:pt idx="629">
                  <c:v>-16.783270912306833</c:v>
                </c:pt>
                <c:pt idx="630">
                  <c:v>-16.976294081418903</c:v>
                </c:pt>
                <c:pt idx="631">
                  <c:v>-17.167326177496744</c:v>
                </c:pt>
                <c:pt idx="632">
                  <c:v>-17.356419634915568</c:v>
                </c:pt>
                <c:pt idx="633">
                  <c:v>-17.54362422402021</c:v>
                </c:pt>
                <c:pt idx="634">
                  <c:v>-17.728987235567327</c:v>
                </c:pt>
                <c:pt idx="635">
                  <c:v>-17.912553650421248</c:v>
                </c:pt>
                <c:pt idx="636">
                  <c:v>-18.094366295816759</c:v>
                </c:pt>
                <c:pt idx="637">
                  <c:v>-18.274465989371393</c:v>
                </c:pt>
                <c:pt idx="638">
                  <c:v>-18.45289167191342</c:v>
                </c:pt>
                <c:pt idx="639">
                  <c:v>-18.629680530088546</c:v>
                </c:pt>
                <c:pt idx="640">
                  <c:v>-18.804868109616169</c:v>
                </c:pt>
                <c:pt idx="641">
                  <c:v>-18.978488419983858</c:v>
                </c:pt>
                <c:pt idx="642">
                  <c:v>-19.150574031295207</c:v>
                </c:pt>
                <c:pt idx="643">
                  <c:v>-19.321156163920381</c:v>
                </c:pt>
                <c:pt idx="644">
                  <c:v>-19.490264771539522</c:v>
                </c:pt>
                <c:pt idx="645">
                  <c:v>-19.657928618116102</c:v>
                </c:pt>
                <c:pt idx="646">
                  <c:v>-19.82417534928955</c:v>
                </c:pt>
                <c:pt idx="647">
                  <c:v>-19.989031558633165</c:v>
                </c:pt>
                <c:pt idx="648">
                  <c:v>-20.152522849184805</c:v>
                </c:pt>
                <c:pt idx="649">
                  <c:v>-20.314673890622235</c:v>
                </c:pt>
                <c:pt idx="650">
                  <c:v>-20.475508472423513</c:v>
                </c:pt>
                <c:pt idx="651">
                  <c:v>-20.635049553323817</c:v>
                </c:pt>
                <c:pt idx="652">
                  <c:v>-20.793319307353926</c:v>
                </c:pt>
                <c:pt idx="653">
                  <c:v>-20.950339166721861</c:v>
                </c:pt>
                <c:pt idx="654">
                  <c:v>-21.106129861777518</c:v>
                </c:pt>
                <c:pt idx="655">
                  <c:v>-21.260711458280547</c:v>
                </c:pt>
                <c:pt idx="656">
                  <c:v>-21.414103392173665</c:v>
                </c:pt>
                <c:pt idx="657">
                  <c:v>-21.56632450204739</c:v>
                </c:pt>
                <c:pt idx="658">
                  <c:v>-21.717393059467149</c:v>
                </c:pt>
                <c:pt idx="659">
                  <c:v>-21.867326797320178</c:v>
                </c:pt>
                <c:pt idx="660">
                  <c:v>-22.016142936327135</c:v>
                </c:pt>
                <c:pt idx="661">
                  <c:v>-22.163858209851849</c:v>
                </c:pt>
                <c:pt idx="662">
                  <c:v>-22.310488887132458</c:v>
                </c:pt>
                <c:pt idx="663">
                  <c:v>-22.456050795047172</c:v>
                </c:pt>
                <c:pt idx="664">
                  <c:v>-22.600559338519766</c:v>
                </c:pt>
                <c:pt idx="665">
                  <c:v>-22.744029519661069</c:v>
                </c:pt>
                <c:pt idx="666">
                  <c:v>-22.886475955736138</c:v>
                </c:pt>
                <c:pt idx="667">
                  <c:v>-23.027912896039361</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-204.64018572905746</c:v>
                </c:pt>
                <c:pt idx="1">
                  <c:v>-222.51830001583178</c:v>
                </c:pt>
                <c:pt idx="2">
                  <c:v>-233.95785708149543</c:v>
                </c:pt>
                <c:pt idx="3">
                  <c:v>-241.34894659966102</c:v>
                </c:pt>
                <c:pt idx="4">
                  <c:v>-246.3590250656103</c:v>
                </c:pt>
                <c:pt idx="5">
                  <c:v>-249.92577468730255</c:v>
                </c:pt>
                <c:pt idx="6">
                  <c:v>-252.57319870324091</c:v>
                </c:pt>
                <c:pt idx="7">
                  <c:v>-254.60635795503185</c:v>
                </c:pt>
                <c:pt idx="8">
                  <c:v>-256.21163792338609</c:v>
                </c:pt>
                <c:pt idx="9">
                  <c:v>-257.50818130614465</c:v>
                </c:pt>
                <c:pt idx="10">
                  <c:v>-263.37641943561863</c:v>
                </c:pt>
                <c:pt idx="11">
                  <c:v>-265.235007925513</c:v>
                </c:pt>
                <c:pt idx="12">
                  <c:v>-266.06663482704147</c:v>
                </c:pt>
                <c:pt idx="13">
                  <c:v>-266.48498799071666</c:v>
                </c:pt>
                <c:pt idx="14">
                  <c:v>-266.69619214902684</c:v>
                </c:pt>
                <c:pt idx="15">
                  <c:v>-266.7888778175984</c:v>
                </c:pt>
                <c:pt idx="16">
                  <c:v>-266.80743840151553</c:v>
                </c:pt>
                <c:pt idx="17">
                  <c:v>-266.77656337683476</c:v>
                </c:pt>
                <c:pt idx="18">
                  <c:v>-266.71107708141096</c:v>
                </c:pt>
                <c:pt idx="19">
                  <c:v>-265.29515959386606</c:v>
                </c:pt>
                <c:pt idx="20">
                  <c:v>-263.46627760301328</c:v>
                </c:pt>
                <c:pt idx="21">
                  <c:v>-261.53769726648659</c:v>
                </c:pt>
                <c:pt idx="22">
                  <c:v>-259.57320687222239</c:v>
                </c:pt>
                <c:pt idx="23">
                  <c:v>-257.59498126518201</c:v>
                </c:pt>
                <c:pt idx="24">
                  <c:v>-255.61328263095982</c:v>
                </c:pt>
                <c:pt idx="25">
                  <c:v>-253.63388271055385</c:v>
                </c:pt>
                <c:pt idx="26">
                  <c:v>-251.66053393826286</c:v>
                </c:pt>
                <c:pt idx="27">
                  <c:v>-249.6959554542895</c:v>
                </c:pt>
                <c:pt idx="28">
                  <c:v>-240.06859218035018</c:v>
                </c:pt>
                <c:pt idx="29">
                  <c:v>-230.88106811592607</c:v>
                </c:pt>
                <c:pt idx="30">
                  <c:v>-222.23635611202488</c:v>
                </c:pt>
                <c:pt idx="31">
                  <c:v>-214.19183681376373</c:v>
                </c:pt>
                <c:pt idx="32">
                  <c:v>-206.76978615978959</c:v>
                </c:pt>
                <c:pt idx="33">
                  <c:v>-199.96585083332545</c:v>
                </c:pt>
                <c:pt idx="34">
                  <c:v>-193.75699850527604</c:v>
                </c:pt>
                <c:pt idx="35">
                  <c:v>-188.10838178302976</c:v>
                </c:pt>
                <c:pt idx="36">
                  <c:v>-182.97874613351161</c:v>
                </c:pt>
                <c:pt idx="37">
                  <c:v>-178.32436608734622</c:v>
                </c:pt>
                <c:pt idx="38">
                  <c:v>-174.10170928193557</c:v>
                </c:pt>
                <c:pt idx="39">
                  <c:v>-170.26910531786589</c:v>
                </c:pt>
                <c:pt idx="40">
                  <c:v>-166.78768986995391</c:v>
                </c:pt>
                <c:pt idx="41">
                  <c:v>-163.62185048654294</c:v>
                </c:pt>
                <c:pt idx="42">
                  <c:v>-160.7393473996959</c:v>
                </c:pt>
                <c:pt idx="43">
                  <c:v>-158.11123420904823</c:v>
                </c:pt>
                <c:pt idx="44">
                  <c:v>-155.71166434948128</c:v>
                </c:pt>
                <c:pt idx="45">
                  <c:v>-153.51764017455403</c:v>
                </c:pt>
                <c:pt idx="46">
                  <c:v>-151.5087408264709</c:v>
                </c:pt>
                <c:pt idx="47">
                  <c:v>-149.66685090977535</c:v>
                </c:pt>
                <c:pt idx="48">
                  <c:v>-147.97590257747444</c:v>
                </c:pt>
                <c:pt idx="49">
                  <c:v>-146.42163755636517</c:v>
                </c:pt>
                <c:pt idx="50">
                  <c:v>-144.99139182208299</c:v>
                </c:pt>
                <c:pt idx="51">
                  <c:v>-143.67390332577472</c:v>
                </c:pt>
                <c:pt idx="52">
                  <c:v>-142.4591418481611</c:v>
                </c:pt>
                <c:pt idx="53">
                  <c:v>-141.33815935747452</c:v>
                </c:pt>
                <c:pt idx="54">
                  <c:v>-140.30295893882513</c:v>
                </c:pt>
                <c:pt idx="55">
                  <c:v>-139.34638028915325</c:v>
                </c:pt>
                <c:pt idx="56">
                  <c:v>-138.46199983429256</c:v>
                </c:pt>
                <c:pt idx="57">
                  <c:v>-137.64404365958779</c:v>
                </c:pt>
                <c:pt idx="58">
                  <c:v>-136.887311613756</c:v>
                </c:pt>
                <c:pt idx="59">
                  <c:v>-136.18711112360074</c:v>
                </c:pt>
                <c:pt idx="60">
                  <c:v>-135.53919943109062</c:v>
                </c:pt>
                <c:pt idx="61">
                  <c:v>-134.93973312680845</c:v>
                </c:pt>
                <c:pt idx="62">
                  <c:v>-134.38522400137782</c:v>
                </c:pt>
                <c:pt idx="63">
                  <c:v>-133.87250036803869</c:v>
                </c:pt>
                <c:pt idx="64">
                  <c:v>-133.39867312531317</c:v>
                </c:pt>
                <c:pt idx="65">
                  <c:v>-132.961105929653</c:v>
                </c:pt>
                <c:pt idx="66">
                  <c:v>-132.55738893542554</c:v>
                </c:pt>
                <c:pt idx="67">
                  <c:v>-132.18531563504769</c:v>
                </c:pt>
                <c:pt idx="68">
                  <c:v>-131.84286239696149</c:v>
                </c:pt>
                <c:pt idx="69">
                  <c:v>-131.52817035483389</c:v>
                </c:pt>
                <c:pt idx="70">
                  <c:v>-131.23952934910358</c:v>
                </c:pt>
                <c:pt idx="71">
                  <c:v>-130.97536366289881</c:v>
                </c:pt>
                <c:pt idx="72">
                  <c:v>-130.73421932939118</c:v>
                </c:pt>
                <c:pt idx="73">
                  <c:v>-130.51475281767483</c:v>
                </c:pt>
                <c:pt idx="74">
                  <c:v>-130.31572093000983</c:v>
                </c:pt>
                <c:pt idx="75">
                  <c:v>-130.13597176536078</c:v>
                </c:pt>
                <c:pt idx="76">
                  <c:v>-129.97443662314154</c:v>
                </c:pt>
                <c:pt idx="77">
                  <c:v>-129.83012273739897</c:v>
                </c:pt>
                <c:pt idx="78">
                  <c:v>-129.70210674572405</c:v>
                </c:pt>
                <c:pt idx="79">
                  <c:v>-129.58952880929709</c:v>
                </c:pt>
                <c:pt idx="80">
                  <c:v>-129.49158731093968</c:v>
                </c:pt>
                <c:pt idx="81">
                  <c:v>-129.40753406709439</c:v>
                </c:pt>
                <c:pt idx="82">
                  <c:v>-129.33666999749329</c:v>
                </c:pt>
                <c:pt idx="83">
                  <c:v>-129.27834120307233</c:v>
                </c:pt>
                <c:pt idx="84">
                  <c:v>-129.23193540859856</c:v>
                </c:pt>
                <c:pt idx="85">
                  <c:v>-129.19687873161394</c:v>
                </c:pt>
                <c:pt idx="86">
                  <c:v>-129.17263274378126</c:v>
                </c:pt>
                <c:pt idx="87">
                  <c:v>-129.15869179462592</c:v>
                </c:pt>
                <c:pt idx="88">
                  <c:v>-129.15458057108668</c:v>
                </c:pt>
                <c:pt idx="89">
                  <c:v>-129.15985186928168</c:v>
                </c:pt>
                <c:pt idx="90">
                  <c:v>-129.17408455752064</c:v>
                </c:pt>
                <c:pt idx="91">
                  <c:v>-129.19688171189955</c:v>
                </c:pt>
                <c:pt idx="92">
                  <c:v>-129.22786890784315</c:v>
                </c:pt>
                <c:pt idx="93">
                  <c:v>-129.26669265274614</c:v>
                </c:pt>
                <c:pt idx="94">
                  <c:v>-129.31301894644122</c:v>
                </c:pt>
                <c:pt idx="95">
                  <c:v>-129.36653195761403</c:v>
                </c:pt>
                <c:pt idx="96">
                  <c:v>-129.42693280551825</c:v>
                </c:pt>
                <c:pt idx="97">
                  <c:v>-129.49393843743536</c:v>
                </c:pt>
                <c:pt idx="98">
                  <c:v>-129.56728059329299</c:v>
                </c:pt>
                <c:pt idx="99">
                  <c:v>-129.64670484971595</c:v>
                </c:pt>
                <c:pt idx="100">
                  <c:v>-129.73196973655064</c:v>
                </c:pt>
                <c:pt idx="101">
                  <c:v>-129.82284591958583</c:v>
                </c:pt>
                <c:pt idx="102">
                  <c:v>-129.91911544380065</c:v>
                </c:pt>
                <c:pt idx="103">
                  <c:v>-130.02057103201517</c:v>
                </c:pt>
                <c:pt idx="104">
                  <c:v>-130.12701543430518</c:v>
                </c:pt>
                <c:pt idx="105">
                  <c:v>-130.23826082397699</c:v>
                </c:pt>
                <c:pt idx="106">
                  <c:v>-130.35412823628982</c:v>
                </c:pt>
                <c:pt idx="107">
                  <c:v>-130.47444704646264</c:v>
                </c:pt>
                <c:pt idx="108">
                  <c:v>-130.5990544838173</c:v>
                </c:pt>
                <c:pt idx="109">
                  <c:v>-130.72779517919315</c:v>
                </c:pt>
                <c:pt idx="110">
                  <c:v>-130.8605207430235</c:v>
                </c:pt>
                <c:pt idx="111">
                  <c:v>-130.99708937169333</c:v>
                </c:pt>
                <c:pt idx="112">
                  <c:v>-131.13736548000696</c:v>
                </c:pt>
                <c:pt idx="113">
                  <c:v>-131.28121935777935</c:v>
                </c:pt>
                <c:pt idx="114">
                  <c:v>-131.42852684873773</c:v>
                </c:pt>
                <c:pt idx="115">
                  <c:v>-131.57916905007016</c:v>
                </c:pt>
                <c:pt idx="116">
                  <c:v>-131.73303203109958</c:v>
                </c:pt>
                <c:pt idx="117">
                  <c:v>-131.89000656968761</c:v>
                </c:pt>
                <c:pt idx="118">
                  <c:v>-132.04998790508569</c:v>
                </c:pt>
                <c:pt idx="119">
                  <c:v>-132.21287550605697</c:v>
                </c:pt>
                <c:pt idx="120">
                  <c:v>-132.37857285318736</c:v>
                </c:pt>
                <c:pt idx="121">
                  <c:v>-132.54698723438858</c:v>
                </c:pt>
                <c:pt idx="122">
                  <c:v>-132.71802955267708</c:v>
                </c:pt>
                <c:pt idx="123">
                  <c:v>-132.89161414538333</c:v>
                </c:pt>
                <c:pt idx="124">
                  <c:v>-133.06765861401163</c:v>
                </c:pt>
                <c:pt idx="125">
                  <c:v>-133.24608366403106</c:v>
                </c:pt>
                <c:pt idx="126">
                  <c:v>-133.42681295393251</c:v>
                </c:pt>
                <c:pt idx="127">
                  <c:v>-133.60977295293708</c:v>
                </c:pt>
                <c:pt idx="128">
                  <c:v>-133.79489280678754</c:v>
                </c:pt>
                <c:pt idx="129">
                  <c:v>-133.98210421109616</c:v>
                </c:pt>
                <c:pt idx="130">
                  <c:v>-134.17134129176094</c:v>
                </c:pt>
                <c:pt idx="131">
                  <c:v>-134.36254049199863</c:v>
                </c:pt>
                <c:pt idx="132">
                  <c:v>-134.55564046557416</c:v>
                </c:pt>
                <c:pt idx="133">
                  <c:v>-134.7505819758378</c:v>
                </c:pt>
                <c:pt idx="134">
                  <c:v>-134.94730780020777</c:v>
                </c:pt>
                <c:pt idx="135">
                  <c:v>-135.1457626397617</c:v>
                </c:pt>
                <c:pt idx="136">
                  <c:v>-135.34589303362469</c:v>
                </c:pt>
                <c:pt idx="137">
                  <c:v>-135.54764727786204</c:v>
                </c:pt>
                <c:pt idx="138">
                  <c:v>-135.750975348606</c:v>
                </c:pt>
                <c:pt idx="139">
                  <c:v>-135.95582882916315</c:v>
                </c:pt>
                <c:pt idx="140">
                  <c:v>-136.16216084086722</c:v>
                </c:pt>
                <c:pt idx="141">
                  <c:v>-136.36992597745711</c:v>
                </c:pt>
                <c:pt idx="142">
                  <c:v>-136.57908024277489</c:v>
                </c:pt>
                <c:pt idx="143">
                  <c:v>-136.78958099159178</c:v>
                </c:pt>
                <c:pt idx="144">
                  <c:v>-137.00138687338318</c:v>
                </c:pt>
                <c:pt idx="145">
                  <c:v>-137.21445777888476</c:v>
                </c:pt>
                <c:pt idx="146">
                  <c:v>-137.42875478927297</c:v>
                </c:pt>
                <c:pt idx="147">
                  <c:v>-137.64424012782297</c:v>
                </c:pt>
                <c:pt idx="148">
                  <c:v>-137.86087711390638</c:v>
                </c:pt>
                <c:pt idx="149">
                  <c:v>-138.07863011920045</c:v>
                </c:pt>
                <c:pt idx="150">
                  <c:v>-138.29746452598667</c:v>
                </c:pt>
                <c:pt idx="151">
                  <c:v>-138.5173466874266</c:v>
                </c:pt>
                <c:pt idx="152">
                  <c:v>-138.73824388970772</c:v>
                </c:pt>
                <c:pt idx="153">
                  <c:v>-138.96012431595992</c:v>
                </c:pt>
                <c:pt idx="154">
                  <c:v>-139.18295701184766</c:v>
                </c:pt>
                <c:pt idx="155">
                  <c:v>-139.40671185275116</c:v>
                </c:pt>
                <c:pt idx="156">
                  <c:v>-139.63135951245184</c:v>
                </c:pt>
                <c:pt idx="157">
                  <c:v>-139.85687143324523</c:v>
                </c:pt>
                <c:pt idx="158">
                  <c:v>-140.08321979740722</c:v>
                </c:pt>
                <c:pt idx="159">
                  <c:v>-140.31037749994437</c:v>
                </c:pt>
                <c:pt idx="160">
                  <c:v>-140.53831812256317</c:v>
                </c:pt>
                <c:pt idx="161">
                  <c:v>-140.76701590879702</c:v>
                </c:pt>
                <c:pt idx="162">
                  <c:v>-140.99644574023222</c:v>
                </c:pt>
                <c:pt idx="163">
                  <c:v>-141.2265831137791</c:v>
                </c:pt>
                <c:pt idx="164">
                  <c:v>-141.45740411993603</c:v>
                </c:pt>
                <c:pt idx="165">
                  <c:v>-141.68888542199761</c:v>
                </c:pt>
                <c:pt idx="166">
                  <c:v>-141.92100423616185</c:v>
                </c:pt>
                <c:pt idx="167">
                  <c:v>-142.15373831249099</c:v>
                </c:pt>
                <c:pt idx="168">
                  <c:v>-142.38706591668682</c:v>
                </c:pt>
                <c:pt idx="169">
                  <c:v>-142.62096581264046</c:v>
                </c:pt>
                <c:pt idx="170">
                  <c:v>-142.85541724571962</c:v>
                </c:pt>
                <c:pt idx="171">
                  <c:v>-143.09039992675935</c:v>
                </c:pt>
                <c:pt idx="172">
                  <c:v>-143.32589401672249</c:v>
                </c:pt>
                <c:pt idx="173">
                  <c:v>-143.56188011199885</c:v>
                </c:pt>
                <c:pt idx="174">
                  <c:v>-143.79833923031367</c:v>
                </c:pt>
                <c:pt idx="175">
                  <c:v>-144.03525279721697</c:v>
                </c:pt>
                <c:pt idx="176">
                  <c:v>-144.27260263312689</c:v>
                </c:pt>
                <c:pt idx="177">
                  <c:v>-144.51037094090299</c:v>
                </c:pt>
                <c:pt idx="178">
                  <c:v>-144.74854029392378</c:v>
                </c:pt>
                <c:pt idx="179">
                  <c:v>-144.98709362464729</c:v>
                </c:pt>
                <c:pt idx="180">
                  <c:v>-145.22601421363157</c:v>
                </c:pt>
                <c:pt idx="181">
                  <c:v>-145.46528567899625</c:v>
                </c:pt>
                <c:pt idx="182">
                  <c:v>-145.70489196630407</c:v>
                </c:pt>
                <c:pt idx="183">
                  <c:v>-145.94481733884481</c:v>
                </c:pt>
                <c:pt idx="184">
                  <c:v>-146.18504636830355</c:v>
                </c:pt>
                <c:pt idx="185">
                  <c:v>-146.4255639257965</c:v>
                </c:pt>
                <c:pt idx="186">
                  <c:v>-146.66635517325867</c:v>
                </c:pt>
                <c:pt idx="187">
                  <c:v>-146.90740555516766</c:v>
                </c:pt>
                <c:pt idx="188">
                  <c:v>-147.1487007905898</c:v>
                </c:pt>
                <c:pt idx="189">
                  <c:v>-147.39022686553392</c:v>
                </c:pt>
                <c:pt idx="190">
                  <c:v>-147.63197002560045</c:v>
                </c:pt>
                <c:pt idx="191">
                  <c:v>-147.87391676891298</c:v>
                </c:pt>
                <c:pt idx="192">
                  <c:v>-148.11605383931999</c:v>
                </c:pt>
                <c:pt idx="193">
                  <c:v>-148.35836821985595</c:v>
                </c:pt>
                <c:pt idx="194">
                  <c:v>-148.60084712645042</c:v>
                </c:pt>
                <c:pt idx="195">
                  <c:v>-148.84347800187521</c:v>
                </c:pt>
                <c:pt idx="196">
                  <c:v>-149.0862485099191</c:v>
                </c:pt>
                <c:pt idx="197">
                  <c:v>-149.32914652978133</c:v>
                </c:pt>
                <c:pt idx="198">
                  <c:v>-149.57216015067428</c:v>
                </c:pt>
                <c:pt idx="199">
                  <c:v>-149.81527766662705</c:v>
                </c:pt>
                <c:pt idx="200">
                  <c:v>-150.05848757148132</c:v>
                </c:pt>
                <c:pt idx="201">
                  <c:v>-150.30177855407211</c:v>
                </c:pt>
                <c:pt idx="202">
                  <c:v>-150.54513949358551</c:v>
                </c:pt>
                <c:pt idx="203">
                  <c:v>-150.78855945508602</c:v>
                </c:pt>
                <c:pt idx="204">
                  <c:v>-151.03202768520737</c:v>
                </c:pt>
                <c:pt idx="205">
                  <c:v>-151.27553360799914</c:v>
                </c:pt>
                <c:pt idx="206">
                  <c:v>-151.51906682092368</c:v>
                </c:pt>
                <c:pt idx="207">
                  <c:v>-151.76261709099703</c:v>
                </c:pt>
                <c:pt idx="208">
                  <c:v>-152.00617435106781</c:v>
                </c:pt>
                <c:pt idx="209">
                  <c:v>-152.24972869622894</c:v>
                </c:pt>
                <c:pt idx="210">
                  <c:v>-152.49327038035659</c:v>
                </c:pt>
                <c:pt idx="211">
                  <c:v>-152.73678981277112</c:v>
                </c:pt>
                <c:pt idx="212">
                  <c:v>-152.9802775550157</c:v>
                </c:pt>
                <c:pt idx="213">
                  <c:v>-153.22372431774747</c:v>
                </c:pt>
                <c:pt idx="214">
                  <c:v>-153.46712095773637</c:v>
                </c:pt>
                <c:pt idx="215">
                  <c:v>-153.71045847496853</c:v>
                </c:pt>
                <c:pt idx="216">
                  <c:v>-153.95372800984902</c:v>
                </c:pt>
                <c:pt idx="217">
                  <c:v>-154.19692084050001</c:v>
                </c:pt>
                <c:pt idx="218">
                  <c:v>-154.44002838015152</c:v>
                </c:pt>
                <c:pt idx="219">
                  <c:v>-154.68304217462</c:v>
                </c:pt>
                <c:pt idx="220">
                  <c:v>-154.92595389987181</c:v>
                </c:pt>
                <c:pt idx="221">
                  <c:v>-155.16875535966813</c:v>
                </c:pt>
                <c:pt idx="222">
                  <c:v>-155.41143848328809</c:v>
                </c:pt>
                <c:pt idx="223">
                  <c:v>-155.65399532332702</c:v>
                </c:pt>
                <c:pt idx="224">
                  <c:v>-155.89641805356649</c:v>
                </c:pt>
                <c:pt idx="225">
                  <c:v>-156.13869896691421</c:v>
                </c:pt>
                <c:pt idx="226">
                  <c:v>-158.55209397759026</c:v>
                </c:pt>
                <c:pt idx="227">
                  <c:v>-160.9436446596284</c:v>
                </c:pt>
                <c:pt idx="228">
                  <c:v>-163.30734798796951</c:v>
                </c:pt>
                <c:pt idx="229">
                  <c:v>-165.63807276714195</c:v>
                </c:pt>
                <c:pt idx="230">
                  <c:v>-167.93146367600752</c:v>
                </c:pt>
                <c:pt idx="231">
                  <c:v>-170.18386365417206</c:v>
                </c:pt>
                <c:pt idx="232">
                  <c:v>-172.39224817000786</c:v>
                </c:pt>
                <c:pt idx="233">
                  <c:v>-174.55416715660184</c:v>
                </c:pt>
                <c:pt idx="234">
                  <c:v>-176.66769196381679</c:v>
                </c:pt>
                <c:pt idx="235">
                  <c:v>-178.73136575100304</c:v>
                </c:pt>
                <c:pt idx="236">
                  <c:v>-180.74415647117547</c:v>
                </c:pt>
                <c:pt idx="237">
                  <c:v>-182.70541206982062</c:v>
                </c:pt>
                <c:pt idx="238">
                  <c:v>-184.61481781058518</c:v>
                </c:pt>
                <c:pt idx="239">
                  <c:v>-186.47235579914533</c:v>
                </c:pt>
                <c:pt idx="240">
                  <c:v>-188.27826684601527</c:v>
                </c:pt>
                <c:pt idx="241">
                  <c:v>-190.0330148196345</c:v>
                </c:pt>
                <c:pt idx="242">
                  <c:v>-191.73725361570882</c:v>
                </c:pt>
                <c:pt idx="243">
                  <c:v>-193.39179682419288</c:v>
                </c:pt>
                <c:pt idx="244">
                  <c:v>-194.99759012322406</c:v>
                </c:pt>
                <c:pt idx="245">
                  <c:v>-196.55568637757068</c:v>
                </c:pt>
                <c:pt idx="246">
                  <c:v>-198.06722337256389</c:v>
                </c:pt>
                <c:pt idx="247">
                  <c:v>-199.53340407562814</c:v>
                </c:pt>
                <c:pt idx="248">
                  <c:v>-200.9554792874394</c:v>
                </c:pt>
                <c:pt idx="249">
                  <c:v>-202.33473252337222</c:v>
                </c:pt>
                <c:pt idx="250">
                  <c:v>-203.67246695254406</c:v>
                </c:pt>
                <c:pt idx="251">
                  <c:v>-204.9699942153733</c:v>
                </c:pt>
                <c:pt idx="252">
                  <c:v>-206.22862493991263</c:v>
                </c:pt>
                <c:pt idx="253">
                  <c:v>-207.44966078109383</c:v>
                </c:pt>
                <c:pt idx="254">
                  <c:v>-208.63438781428405</c:v>
                </c:pt>
                <c:pt idx="255">
                  <c:v>-209.78407112420689</c:v>
                </c:pt>
                <c:pt idx="256">
                  <c:v>-210.899950441474</c:v>
                </c:pt>
                <c:pt idx="257">
                  <c:v>-211.98323669101464</c:v>
                </c:pt>
                <c:pt idx="258">
                  <c:v>-213.03510932903276</c:v>
                </c:pt>
                <c:pt idx="259">
                  <c:v>-214.05671435735223</c:v>
                </c:pt>
                <c:pt idx="260">
                  <c:v>-215.04916291582748</c:v>
                </c:pt>
                <c:pt idx="261">
                  <c:v>-216.01353036468959</c:v>
                </c:pt>
                <c:pt idx="262">
                  <c:v>-216.95085577913616</c:v>
                </c:pt>
                <c:pt idx="263">
                  <c:v>-217.86214178808007</c:v>
                </c:pt>
                <c:pt idx="264">
                  <c:v>-218.74835469771986</c:v>
                </c:pt>
                <c:pt idx="265">
                  <c:v>-219.61042484848645</c:v>
                </c:pt>
                <c:pt idx="266">
                  <c:v>-220.44924716098487</c:v>
                </c:pt>
                <c:pt idx="267">
                  <c:v>-221.26568183282868</c:v>
                </c:pt>
                <c:pt idx="268">
                  <c:v>-222.06055515381146</c:v>
                </c:pt>
                <c:pt idx="269">
                  <c:v>-222.8346604117358</c:v>
                </c:pt>
                <c:pt idx="270">
                  <c:v>-223.58875886548145</c:v>
                </c:pt>
                <c:pt idx="271">
                  <c:v>-224.32358076560527</c:v>
                </c:pt>
                <c:pt idx="272">
                  <c:v>-225.03982640598255</c:v>
                </c:pt>
                <c:pt idx="273">
                  <c:v>-225.7381671927763</c:v>
                </c:pt>
                <c:pt idx="274">
                  <c:v>-226.4192467194122</c:v>
                </c:pt>
                <c:pt idx="275">
                  <c:v>-227.08368183828395</c:v>
                </c:pt>
                <c:pt idx="276">
                  <c:v>-227.73206372166629</c:v>
                </c:pt>
                <c:pt idx="277">
                  <c:v>-228.36495890580073</c:v>
                </c:pt>
                <c:pt idx="278">
                  <c:v>-228.98291031338408</c:v>
                </c:pt>
                <c:pt idx="279">
                  <c:v>-229.58643825075779</c:v>
                </c:pt>
                <c:pt idx="280">
                  <c:v>-230.1760413769945</c:v>
                </c:pt>
                <c:pt idx="281">
                  <c:v>-230.75219764283185</c:v>
                </c:pt>
                <c:pt idx="282">
                  <c:v>-231.31536519803217</c:v>
                </c:pt>
                <c:pt idx="283">
                  <c:v>-231.86598326626793</c:v>
                </c:pt>
                <c:pt idx="284">
                  <c:v>-232.40447298706317</c:v>
                </c:pt>
                <c:pt idx="285">
                  <c:v>-232.93123822467365</c:v>
                </c:pt>
                <c:pt idx="286">
                  <c:v>-233.44666634407409</c:v>
                </c:pt>
                <c:pt idx="287">
                  <c:v>-233.95112895445203</c:v>
                </c:pt>
                <c:pt idx="288">
                  <c:v>-234.44498262079043</c:v>
                </c:pt>
                <c:pt idx="289">
                  <c:v>-234.92856954426367</c:v>
                </c:pt>
                <c:pt idx="290">
                  <c:v>-235.402218212283</c:v>
                </c:pt>
                <c:pt idx="291">
                  <c:v>-235.86624401910706</c:v>
                </c:pt>
                <c:pt idx="292">
                  <c:v>-236.32094985799336</c:v>
                </c:pt>
                <c:pt idx="293">
                  <c:v>-236.76662668590475</c:v>
                </c:pt>
                <c:pt idx="294">
                  <c:v>-237.20355406180846</c:v>
                </c:pt>
                <c:pt idx="295">
                  <c:v>-237.63200065961556</c:v>
                </c:pt>
                <c:pt idx="296">
                  <c:v>-238.05222475680745</c:v>
                </c:pt>
                <c:pt idx="297">
                  <c:v>-238.46447469978844</c:v>
                </c:pt>
                <c:pt idx="298">
                  <c:v>-238.86898934698553</c:v>
                </c:pt>
                <c:pt idx="299">
                  <c:v>-239.26599849069763</c:v>
                </c:pt>
                <c:pt idx="300">
                  <c:v>-239.65572325866864</c:v>
                </c:pt>
                <c:pt idx="301">
                  <c:v>-240.03837649633255</c:v>
                </c:pt>
                <c:pt idx="302">
                  <c:v>-240.41416313064548</c:v>
                </c:pt>
                <c:pt idx="303">
                  <c:v>-240.78328051639011</c:v>
                </c:pt>
                <c:pt idx="304">
                  <c:v>-241.14591876580121</c:v>
                </c:pt>
                <c:pt idx="305">
                  <c:v>-241.50226106233012</c:v>
                </c:pt>
                <c:pt idx="306">
                  <c:v>-241.85248395932982</c:v>
                </c:pt>
                <c:pt idx="307">
                  <c:v>-242.19675766440955</c:v>
                </c:pt>
                <c:pt idx="308">
                  <c:v>-242.53524631017407</c:v>
                </c:pt>
                <c:pt idx="309">
                  <c:v>-242.86810821203002</c:v>
                </c:pt>
                <c:pt idx="310">
                  <c:v>-243.19549611370917</c:v>
                </c:pt>
                <c:pt idx="311">
                  <c:v>-243.51755742112903</c:v>
                </c:pt>
                <c:pt idx="312">
                  <c:v>-243.8344344251787</c:v>
                </c:pt>
                <c:pt idx="313">
                  <c:v>-244.14626451399096</c:v>
                </c:pt>
                <c:pt idx="314">
                  <c:v>-244.45318037523242</c:v>
                </c:pt>
                <c:pt idx="315">
                  <c:v>-244.75531018891689</c:v>
                </c:pt>
                <c:pt idx="316">
                  <c:v>-245.0527778112224</c:v>
                </c:pt>
                <c:pt idx="317">
                  <c:v>-245.34570294976567</c:v>
                </c:pt>
                <c:pt idx="318">
                  <c:v>-245.63420133076676</c:v>
                </c:pt>
                <c:pt idx="319">
                  <c:v>-245.91838485851252</c:v>
                </c:pt>
                <c:pt idx="320">
                  <c:v>-246.19836176750664</c:v>
                </c:pt>
                <c:pt idx="321">
                  <c:v>-246.4742367676742</c:v>
                </c:pt>
                <c:pt idx="322">
                  <c:v>-246.74611118296889</c:v>
                </c:pt>
                <c:pt idx="323">
                  <c:v>-247.01408308371288</c:v>
                </c:pt>
                <c:pt idx="324">
                  <c:v>-247.27824741298213</c:v>
                </c:pt>
                <c:pt idx="325">
                  <c:v>-247.53869610733304</c:v>
                </c:pt>
                <c:pt idx="326">
                  <c:v>-247.79551821215153</c:v>
                </c:pt>
                <c:pt idx="327">
                  <c:v>-248.04879999188955</c:v>
                </c:pt>
                <c:pt idx="328">
                  <c:v>-248.29862503544183</c:v>
                </c:pt>
                <c:pt idx="329">
                  <c:v>-248.54507435690005</c:v>
                </c:pt>
                <c:pt idx="330">
                  <c:v>-248.7882264919117</c:v>
                </c:pt>
                <c:pt idx="331">
                  <c:v>-249.02815758985696</c:v>
                </c:pt>
                <c:pt idx="332">
                  <c:v>-249.26494150204633</c:v>
                </c:pt>
                <c:pt idx="333">
                  <c:v>-249.49864986613207</c:v>
                </c:pt>
                <c:pt idx="334">
                  <c:v>-249.72935218691435</c:v>
                </c:pt>
                <c:pt idx="335">
                  <c:v>-249.95711591371617</c:v>
                </c:pt>
                <c:pt idx="336">
                  <c:v>-250.18200651448956</c:v>
                </c:pt>
                <c:pt idx="337">
                  <c:v>-250.40408754680897</c:v>
                </c:pt>
                <c:pt idx="338">
                  <c:v>-250.6234207258986</c:v>
                </c:pt>
                <c:pt idx="339">
                  <c:v>-250.84006598983382</c:v>
                </c:pt>
                <c:pt idx="340">
                  <c:v>-251.05408156204822</c:v>
                </c:pt>
                <c:pt idx="341">
                  <c:v>-251.26552401127239</c:v>
                </c:pt>
                <c:pt idx="342">
                  <c:v>-251.47444830902396</c:v>
                </c:pt>
                <c:pt idx="343">
                  <c:v>-251.68090788476104</c:v>
                </c:pt>
                <c:pt idx="344">
                  <c:v>-251.88495467880756</c:v>
                </c:pt>
                <c:pt idx="345">
                  <c:v>-252.08663919315146</c:v>
                </c:pt>
                <c:pt idx="346">
                  <c:v>-252.28601054021317</c:v>
                </c:pt>
                <c:pt idx="347">
                  <c:v>-252.48311648967626</c:v>
                </c:pt>
                <c:pt idx="348">
                  <c:v>-252.67800351346722</c:v>
                </c:pt>
                <c:pt idx="349">
                  <c:v>-252.87071682896777</c:v>
                </c:pt>
                <c:pt idx="350">
                  <c:v>-253.0613004405389</c:v>
                </c:pt>
                <c:pt idx="351">
                  <c:v>-253.24979717943029</c:v>
                </c:pt>
                <c:pt idx="352">
                  <c:v>-253.43624874214839</c:v>
                </c:pt>
                <c:pt idx="353">
                  <c:v>-253.62069572734913</c:v>
                </c:pt>
                <c:pt idx="354">
                  <c:v>-253.80317767132107</c:v>
                </c:pt>
                <c:pt idx="355">
                  <c:v>-253.9837330821197</c:v>
                </c:pt>
                <c:pt idx="356">
                  <c:v>-254.16239947241141</c:v>
                </c:pt>
                <c:pt idx="357">
                  <c:v>-254.33921339108292</c:v>
                </c:pt>
                <c:pt idx="358">
                  <c:v>-254.51421045366905</c:v>
                </c:pt>
                <c:pt idx="359">
                  <c:v>-254.68742537164889</c:v>
                </c:pt>
                <c:pt idx="360">
                  <c:v>-254.85889198065902</c:v>
                </c:pt>
                <c:pt idx="361">
                  <c:v>-255.02864326766905</c:v>
                </c:pt>
                <c:pt idx="362">
                  <c:v>-255.19671139716309</c:v>
                </c:pt>
                <c:pt idx="363">
                  <c:v>-255.36312773636888</c:v>
                </c:pt>
                <c:pt idx="364">
                  <c:v>-255.52792287957448</c:v>
                </c:pt>
                <c:pt idx="365">
                  <c:v>-255.69112667156921</c:v>
                </c:pt>
                <c:pt idx="366">
                  <c:v>-255.8527682302464</c:v>
                </c:pt>
                <c:pt idx="367">
                  <c:v>-256.01287596840098</c:v>
                </c:pt>
                <c:pt idx="368">
                  <c:v>-256.17147761475559</c:v>
                </c:pt>
                <c:pt idx="369">
                  <c:v>-256.32860023424576</c:v>
                </c:pt>
                <c:pt idx="370">
                  <c:v>-256.48427024759496</c:v>
                </c:pt>
                <c:pt idx="371">
                  <c:v>-256.63851345020731</c:v>
                </c:pt>
                <c:pt idx="372">
                  <c:v>-256.79135503040533</c:v>
                </c:pt>
                <c:pt idx="373">
                  <c:v>-256.94281958703897</c:v>
                </c:pt>
                <c:pt idx="374">
                  <c:v>-257.0929311464908</c:v>
                </c:pt>
                <c:pt idx="375">
                  <c:v>-257.24171317910088</c:v>
                </c:pt>
                <c:pt idx="376">
                  <c:v>-257.38918861503407</c:v>
                </c:pt>
                <c:pt idx="377">
                  <c:v>-257.53537985961202</c:v>
                </c:pt>
                <c:pt idx="378">
                  <c:v>-257.68030880812961</c:v>
                </c:pt>
                <c:pt idx="379">
                  <c:v>-257.82399686017663</c:v>
                </c:pt>
                <c:pt idx="380">
                  <c:v>-257.96646493348339</c:v>
                </c:pt>
                <c:pt idx="381">
                  <c:v>-258.10773347730833</c:v>
                </c:pt>
                <c:pt idx="382">
                  <c:v>-258.24782248538514</c:v>
                </c:pt>
                <c:pt idx="383">
                  <c:v>-258.38675150844585</c:v>
                </c:pt>
                <c:pt idx="384">
                  <c:v>-258.52453966633658</c:v>
                </c:pt>
                <c:pt idx="385">
                  <c:v>-258.66120565973995</c:v>
                </c:pt>
                <c:pt idx="386">
                  <c:v>-258.7967677815202</c:v>
                </c:pt>
                <c:pt idx="387">
                  <c:v>-258.9312439277038</c:v>
                </c:pt>
                <c:pt idx="388">
                  <c:v>-259.06465160811024</c:v>
                </c:pt>
                <c:pt idx="389">
                  <c:v>-259.19700795664414</c:v>
                </c:pt>
                <c:pt idx="390">
                  <c:v>-259.3283297412633</c:v>
                </c:pt>
                <c:pt idx="391">
                  <c:v>-259.45863337363232</c:v>
                </c:pt>
                <c:pt idx="392">
                  <c:v>-259.58793491847484</c:v>
                </c:pt>
                <c:pt idx="393">
                  <c:v>-259.71625010263392</c:v>
                </c:pt>
                <c:pt idx="394">
                  <c:v>-259.84359432385196</c:v>
                </c:pt>
                <c:pt idx="395">
                  <c:v>-259.9699826592805</c:v>
                </c:pt>
                <c:pt idx="396">
                  <c:v>-260.09542987372743</c:v>
                </c:pt>
                <c:pt idx="397">
                  <c:v>-260.219950427654</c:v>
                </c:pt>
                <c:pt idx="398">
                  <c:v>-260.3435584849276</c:v>
                </c:pt>
                <c:pt idx="399">
                  <c:v>-260.46626792034056</c:v>
                </c:pt>
                <c:pt idx="400">
                  <c:v>-260.58809232690271</c:v>
                </c:pt>
                <c:pt idx="401">
                  <c:v>-260.70904502291495</c:v>
                </c:pt>
                <c:pt idx="402">
                  <c:v>-260.82913905883277</c:v>
                </c:pt>
                <c:pt idx="403">
                  <c:v>-260.94838722392518</c:v>
                </c:pt>
                <c:pt idx="404">
                  <c:v>-261.06680205273778</c:v>
                </c:pt>
                <c:pt idx="405">
                  <c:v>-261.18439583136524</c:v>
                </c:pt>
                <c:pt idx="406">
                  <c:v>-261.3011806035405</c:v>
                </c:pt>
                <c:pt idx="407">
                  <c:v>-261.41716817654662</c:v>
                </c:pt>
                <c:pt idx="408">
                  <c:v>-261.5323701269574</c:v>
                </c:pt>
                <c:pt idx="409">
                  <c:v>-261.64679780621208</c:v>
                </c:pt>
                <c:pt idx="410">
                  <c:v>-261.76046234603001</c:v>
                </c:pt>
                <c:pt idx="411">
                  <c:v>-261.87337466367069</c:v>
                </c:pt>
                <c:pt idx="412">
                  <c:v>-261.98554546704383</c:v>
                </c:pt>
                <c:pt idx="413">
                  <c:v>-262.09698525967508</c:v>
                </c:pt>
                <c:pt idx="414">
                  <c:v>-262.207704345531</c:v>
                </c:pt>
                <c:pt idx="415">
                  <c:v>-262.31771283370938</c:v>
                </c:pt>
                <c:pt idx="416">
                  <c:v>-262.42702064299777</c:v>
                </c:pt>
                <c:pt idx="417">
                  <c:v>-262.53563750630582</c:v>
                </c:pt>
                <c:pt idx="418">
                  <c:v>-262.64357297497418</c:v>
                </c:pt>
                <c:pt idx="419">
                  <c:v>-262.75083642296522</c:v>
                </c:pt>
                <c:pt idx="420">
                  <c:v>-262.85743705093796</c:v>
                </c:pt>
                <c:pt idx="421">
                  <c:v>-262.96338389021241</c:v>
                </c:pt>
                <c:pt idx="422">
                  <c:v>-263.06868580662569</c:v>
                </c:pt>
                <c:pt idx="423">
                  <c:v>-263.17335150428318</c:v>
                </c:pt>
                <c:pt idx="424">
                  <c:v>-263.27738952920924</c:v>
                </c:pt>
                <c:pt idx="425">
                  <c:v>-263.38080827289969</c:v>
                </c:pt>
                <c:pt idx="426">
                  <c:v>-263.48361597577872</c:v>
                </c:pt>
                <c:pt idx="427">
                  <c:v>-263.58582073056448</c:v>
                </c:pt>
                <c:pt idx="428">
                  <c:v>-263.68743048554506</c:v>
                </c:pt>
                <c:pt idx="429">
                  <c:v>-263.78845304776792</c:v>
                </c:pt>
                <c:pt idx="430">
                  <c:v>-263.88889608614573</c:v>
                </c:pt>
                <c:pt idx="431">
                  <c:v>-263.98876713448084</c:v>
                </c:pt>
                <c:pt idx="432">
                  <c:v>-264.08807359441045</c:v>
                </c:pt>
                <c:pt idx="433">
                  <c:v>-264.18682273827613</c:v>
                </c:pt>
                <c:pt idx="434">
                  <c:v>-264.2850217119186</c:v>
                </c:pt>
                <c:pt idx="435">
                  <c:v>-264.38267753740075</c:v>
                </c:pt>
                <c:pt idx="436">
                  <c:v>-264.47979711566074</c:v>
                </c:pt>
                <c:pt idx="437">
                  <c:v>-264.57638722909758</c:v>
                </c:pt>
                <c:pt idx="438">
                  <c:v>-264.67245454409073</c:v>
                </c:pt>
                <c:pt idx="439">
                  <c:v>-264.76800561345635</c:v>
                </c:pt>
                <c:pt idx="440">
                  <c:v>-264.86304687884103</c:v>
                </c:pt>
                <c:pt idx="441">
                  <c:v>-264.95758467305581</c:v>
                </c:pt>
                <c:pt idx="442">
                  <c:v>-265.0516252223515</c:v>
                </c:pt>
                <c:pt idx="443">
                  <c:v>-265.14517464863803</c:v>
                </c:pt>
                <c:pt idx="444">
                  <c:v>-265.23823897164789</c:v>
                </c:pt>
                <c:pt idx="445">
                  <c:v>-265.33082411104658</c:v>
                </c:pt>
                <c:pt idx="446">
                  <c:v>-265.42293588849094</c:v>
                </c:pt>
                <c:pt idx="447">
                  <c:v>-265.5145800296375</c:v>
                </c:pt>
                <c:pt idx="448">
                  <c:v>-265.60576216610104</c:v>
                </c:pt>
                <c:pt idx="449">
                  <c:v>-265.69648783736596</c:v>
                </c:pt>
                <c:pt idx="450">
                  <c:v>-265.78676249265175</c:v>
                </c:pt>
                <c:pt idx="451">
                  <c:v>-265.87659149273236</c:v>
                </c:pt>
                <c:pt idx="452">
                  <c:v>-265.96598011171318</c:v>
                </c:pt>
                <c:pt idx="453">
                  <c:v>-266.05493353876437</c:v>
                </c:pt>
                <c:pt idx="454">
                  <c:v>-266.14345687981358</c:v>
                </c:pt>
                <c:pt idx="455">
                  <c:v>-266.23155515919814</c:v>
                </c:pt>
                <c:pt idx="456">
                  <c:v>-266.31923332127815</c:v>
                </c:pt>
                <c:pt idx="457">
                  <c:v>-266.40649623201182</c:v>
                </c:pt>
                <c:pt idx="458">
                  <c:v>-266.49334868049363</c:v>
                </c:pt>
                <c:pt idx="459">
                  <c:v>-266.57979538045629</c:v>
                </c:pt>
                <c:pt idx="460">
                  <c:v>-266.66584097173836</c:v>
                </c:pt>
                <c:pt idx="461">
                  <c:v>-266.75149002171713</c:v>
                </c:pt>
                <c:pt idx="462">
                  <c:v>-266.83674702670868</c:v>
                </c:pt>
                <c:pt idx="463">
                  <c:v>-266.92161641333587</c:v>
                </c:pt>
                <c:pt idx="464">
                  <c:v>-267.0061025398644</c:v>
                </c:pt>
                <c:pt idx="465">
                  <c:v>-267.09020969750901</c:v>
                </c:pt>
                <c:pt idx="466">
                  <c:v>-267.17394211170927</c:v>
                </c:pt>
                <c:pt idx="467">
                  <c:v>-267.25730394337705</c:v>
                </c:pt>
                <c:pt idx="468">
                  <c:v>-267.34029929011513</c:v>
                </c:pt>
                <c:pt idx="469">
                  <c:v>-267.42293218740895</c:v>
                </c:pt>
                <c:pt idx="470">
                  <c:v>-267.50520660979134</c:v>
                </c:pt>
                <c:pt idx="471">
                  <c:v>-267.58712647198109</c:v>
                </c:pt>
                <c:pt idx="472">
                  <c:v>-267.66869562999659</c:v>
                </c:pt>
                <c:pt idx="473">
                  <c:v>-267.74991788224401</c:v>
                </c:pt>
                <c:pt idx="474">
                  <c:v>-267.83079697058247</c:v>
                </c:pt>
                <c:pt idx="475">
                  <c:v>-267.91133658136459</c:v>
                </c:pt>
                <c:pt idx="476">
                  <c:v>-267.99154034645517</c:v>
                </c:pt>
                <c:pt idx="477">
                  <c:v>-268.07141184422676</c:v>
                </c:pt>
                <c:pt idx="478">
                  <c:v>-268.15095460053448</c:v>
                </c:pt>
                <c:pt idx="479">
                  <c:v>-268.23017208966849</c:v>
                </c:pt>
                <c:pt idx="480">
                  <c:v>-268.30906773528687</c:v>
                </c:pt>
                <c:pt idx="481">
                  <c:v>-268.38764491132804</c:v>
                </c:pt>
                <c:pt idx="482">
                  <c:v>-268.46590694290308</c:v>
                </c:pt>
                <c:pt idx="483">
                  <c:v>-268.54385710716991</c:v>
                </c:pt>
                <c:pt idx="484">
                  <c:v>-268.62149863418801</c:v>
                </c:pt>
                <c:pt idx="485">
                  <c:v>-268.69883470775522</c:v>
                </c:pt>
                <c:pt idx="486">
                  <c:v>-268.77586846622683</c:v>
                </c:pt>
                <c:pt idx="487">
                  <c:v>-268.85260300331754</c:v>
                </c:pt>
                <c:pt idx="488">
                  <c:v>-268.92904136888615</c:v>
                </c:pt>
                <c:pt idx="489">
                  <c:v>-269.00518656970416</c:v>
                </c:pt>
                <c:pt idx="490">
                  <c:v>-269.08104157020819</c:v>
                </c:pt>
                <c:pt idx="491">
                  <c:v>-269.15660929323644</c:v>
                </c:pt>
                <c:pt idx="492">
                  <c:v>-269.23189262075061</c:v>
                </c:pt>
                <c:pt idx="493">
                  <c:v>-269.30689439454193</c:v>
                </c:pt>
                <c:pt idx="494">
                  <c:v>-269.38161741692323</c:v>
                </c:pt>
                <c:pt idx="495">
                  <c:v>-269.45606445140703</c:v>
                </c:pt>
                <c:pt idx="496">
                  <c:v>-269.53023822336877</c:v>
                </c:pt>
                <c:pt idx="497">
                  <c:v>-269.60414142069772</c:v>
                </c:pt>
                <c:pt idx="498">
                  <c:v>-269.67777669443353</c:v>
                </c:pt>
                <c:pt idx="499">
                  <c:v>-269.75114665939083</c:v>
                </c:pt>
                <c:pt idx="500">
                  <c:v>-269.82425389477055</c:v>
                </c:pt>
                <c:pt idx="501">
                  <c:v>-269.89710094475913</c:v>
                </c:pt>
                <c:pt idx="502">
                  <c:v>-269.96969031911595</c:v>
                </c:pt>
                <c:pt idx="503">
                  <c:v>-270.0420244937485</c:v>
                </c:pt>
                <c:pt idx="504">
                  <c:v>-270.11410591127668</c:v>
                </c:pt>
                <c:pt idx="505">
                  <c:v>-270.1859369815852</c:v>
                </c:pt>
                <c:pt idx="506">
                  <c:v>-270.25752008236589</c:v>
                </c:pt>
                <c:pt idx="507">
                  <c:v>-270.32885755964844</c:v>
                </c:pt>
                <c:pt idx="508">
                  <c:v>-270.3999517283213</c:v>
                </c:pt>
                <c:pt idx="509">
                  <c:v>-270.47080487264208</c:v>
                </c:pt>
                <c:pt idx="510">
                  <c:v>-270.54141924673792</c:v>
                </c:pt>
                <c:pt idx="511">
                  <c:v>-270.61179707509655</c:v>
                </c:pt>
                <c:pt idx="512">
                  <c:v>-270.68194055304718</c:v>
                </c:pt>
                <c:pt idx="513">
                  <c:v>-270.75185184723256</c:v>
                </c:pt>
                <c:pt idx="514">
                  <c:v>-270.82153309607156</c:v>
                </c:pt>
                <c:pt idx="515">
                  <c:v>-270.89098641021337</c:v>
                </c:pt>
                <c:pt idx="516">
                  <c:v>-270.96021387298231</c:v>
                </c:pt>
                <c:pt idx="517">
                  <c:v>-271.02921754081478</c:v>
                </c:pt>
                <c:pt idx="518">
                  <c:v>-271.09799944368734</c:v>
                </c:pt>
                <c:pt idx="519">
                  <c:v>-271.16656158553712</c:v>
                </c:pt>
                <c:pt idx="520">
                  <c:v>-271.23490594467387</c:v>
                </c:pt>
                <c:pt idx="521">
                  <c:v>-271.30303447418459</c:v>
                </c:pt>
                <c:pt idx="522">
                  <c:v>-271.37094910233026</c:v>
                </c:pt>
                <c:pt idx="523">
                  <c:v>-271.43865173293523</c:v>
                </c:pt>
                <c:pt idx="524">
                  <c:v>-271.50614424576929</c:v>
                </c:pt>
                <c:pt idx="525">
                  <c:v>-271.57342849692276</c:v>
                </c:pt>
                <c:pt idx="526">
                  <c:v>-271.64050631917456</c:v>
                </c:pt>
                <c:pt idx="527">
                  <c:v>-271.70737952235311</c:v>
                </c:pt>
                <c:pt idx="528">
                  <c:v>-271.77404989369114</c:v>
                </c:pt>
                <c:pt idx="529">
                  <c:v>-271.84051919817358</c:v>
                </c:pt>
                <c:pt idx="530">
                  <c:v>-271.90678917887897</c:v>
                </c:pt>
                <c:pt idx="531">
                  <c:v>-271.9728615573153</c:v>
                </c:pt>
                <c:pt idx="532">
                  <c:v>-272.03873803374847</c:v>
                </c:pt>
                <c:pt idx="533">
                  <c:v>-272.10442028752624</c:v>
                </c:pt>
                <c:pt idx="534">
                  <c:v>-272.16990997739526</c:v>
                </c:pt>
                <c:pt idx="535">
                  <c:v>-272.23520874181258</c:v>
                </c:pt>
                <c:pt idx="536">
                  <c:v>-272.30031819925205</c:v>
                </c:pt>
                <c:pt idx="537">
                  <c:v>-272.36523994850421</c:v>
                </c:pt>
                <c:pt idx="538">
                  <c:v>-272.42997556897205</c:v>
                </c:pt>
                <c:pt idx="539">
                  <c:v>-272.49452662096041</c:v>
                </c:pt>
                <c:pt idx="540">
                  <c:v>-272.55889464596083</c:v>
                </c:pt>
                <c:pt idx="541">
                  <c:v>-272.62308116693106</c:v>
                </c:pt>
                <c:pt idx="542">
                  <c:v>-272.6870876885697</c:v>
                </c:pt>
                <c:pt idx="543">
                  <c:v>-272.75091569758632</c:v>
                </c:pt>
                <c:pt idx="544">
                  <c:v>-272.81456666296594</c:v>
                </c:pt>
                <c:pt idx="545">
                  <c:v>-272.87804203622989</c:v>
                </c:pt>
                <c:pt idx="546">
                  <c:v>-272.94134325169153</c:v>
                </c:pt>
                <c:pt idx="547">
                  <c:v>-273.00447172670744</c:v>
                </c:pt>
                <c:pt idx="548">
                  <c:v>-273.06742886192467</c:v>
                </c:pt>
                <c:pt idx="549">
                  <c:v>-273.13021604152317</c:v>
                </c:pt>
                <c:pt idx="550">
                  <c:v>-273.19283463345459</c:v>
                </c:pt>
                <c:pt idx="551">
                  <c:v>-273.25528598967634</c:v>
                </c:pt>
                <c:pt idx="552">
                  <c:v>-273.31757144638215</c:v>
                </c:pt>
                <c:pt idx="553">
                  <c:v>-273.37969232422847</c:v>
                </c:pt>
                <c:pt idx="554">
                  <c:v>-273.44164992855679</c:v>
                </c:pt>
                <c:pt idx="555">
                  <c:v>-273.50344554961259</c:v>
                </c:pt>
                <c:pt idx="556">
                  <c:v>-273.56508046276019</c:v>
                </c:pt>
                <c:pt idx="557">
                  <c:v>-273.62655592869413</c:v>
                </c:pt>
                <c:pt idx="558">
                  <c:v>-273.68787319364691</c:v>
                </c:pt>
                <c:pt idx="559">
                  <c:v>-273.74903348959339</c:v>
                </c:pt>
                <c:pt idx="560">
                  <c:v>-273.8100380344514</c:v>
                </c:pt>
                <c:pt idx="561">
                  <c:v>-273.87088803227937</c:v>
                </c:pt>
                <c:pt idx="562">
                  <c:v>-273.93158467347047</c:v>
                </c:pt>
                <c:pt idx="563">
                  <c:v>-273.9921291349433</c:v>
                </c:pt>
                <c:pt idx="564">
                  <c:v>-274.05252258032999</c:v>
                </c:pt>
                <c:pt idx="565">
                  <c:v>-274.11276616016039</c:v>
                </c:pt>
                <c:pt idx="566">
                  <c:v>-274.17286101204411</c:v>
                </c:pt>
                <c:pt idx="567">
                  <c:v>-274.23280826084857</c:v>
                </c:pt>
                <c:pt idx="568">
                  <c:v>-274.292609018875</c:v>
                </c:pt>
                <c:pt idx="569">
                  <c:v>-274.35226438603104</c:v>
                </c:pt>
                <c:pt idx="570">
                  <c:v>-274.41177545000068</c:v>
                </c:pt>
                <c:pt idx="571">
                  <c:v>-274.47114328641135</c:v>
                </c:pt>
                <c:pt idx="572">
                  <c:v>-274.53036895899822</c:v>
                </c:pt>
                <c:pt idx="573">
                  <c:v>-274.58945351976644</c:v>
                </c:pt>
                <c:pt idx="574">
                  <c:v>-274.64839800914956</c:v>
                </c:pt>
                <c:pt idx="575">
                  <c:v>-274.70720345616655</c:v>
                </c:pt>
                <c:pt idx="576">
                  <c:v>-274.76587087857575</c:v>
                </c:pt>
                <c:pt idx="577">
                  <c:v>-274.8244012830263</c:v>
                </c:pt>
                <c:pt idx="578">
                  <c:v>-274.88279566520748</c:v>
                </c:pt>
                <c:pt idx="579">
                  <c:v>-274.94105500999524</c:v>
                </c:pt>
                <c:pt idx="580">
                  <c:v>-274.99918029159664</c:v>
                </c:pt>
                <c:pt idx="581">
                  <c:v>-275.05717247369205</c:v>
                </c:pt>
                <c:pt idx="582">
                  <c:v>-275.11503250957497</c:v>
                </c:pt>
                <c:pt idx="583">
                  <c:v>-275.17276134228968</c:v>
                </c:pt>
                <c:pt idx="584">
                  <c:v>-275.23035990476666</c:v>
                </c:pt>
                <c:pt idx="585">
                  <c:v>-275.28782911995586</c:v>
                </c:pt>
                <c:pt idx="586">
                  <c:v>-275.34516990095835</c:v>
                </c:pt>
                <c:pt idx="587">
                  <c:v>-275.40238315115482</c:v>
                </c:pt>
                <c:pt idx="588">
                  <c:v>-275.45946976433345</c:v>
                </c:pt>
                <c:pt idx="589">
                  <c:v>-275.51643062481463</c:v>
                </c:pt>
                <c:pt idx="590">
                  <c:v>-275.57326660757451</c:v>
                </c:pt>
                <c:pt idx="591">
                  <c:v>-275.62997857836604</c:v>
                </c:pt>
                <c:pt idx="592">
                  <c:v>-275.6865673938388</c:v>
                </c:pt>
                <c:pt idx="593">
                  <c:v>-275.74303390165636</c:v>
                </c:pt>
                <c:pt idx="594">
                  <c:v>-275.79937894061214</c:v>
                </c:pt>
                <c:pt idx="595">
                  <c:v>-275.85560334074353</c:v>
                </c:pt>
                <c:pt idx="596">
                  <c:v>-275.91170792344417</c:v>
                </c:pt>
                <c:pt idx="597">
                  <c:v>-275.96769350157444</c:v>
                </c:pt>
                <c:pt idx="598">
                  <c:v>-276.02356087957048</c:v>
                </c:pt>
                <c:pt idx="599">
                  <c:v>-276.07931085355131</c:v>
                </c:pt>
                <c:pt idx="600">
                  <c:v>-276.13494421142462</c:v>
                </c:pt>
                <c:pt idx="601">
                  <c:v>-276.1904617329908</c:v>
                </c:pt>
                <c:pt idx="602">
                  <c:v>-276.24586419004504</c:v>
                </c:pt>
                <c:pt idx="603">
                  <c:v>-276.30115234647883</c:v>
                </c:pt>
                <c:pt idx="604">
                  <c:v>-276.35632695837882</c:v>
                </c:pt>
                <c:pt idx="605">
                  <c:v>-276.41138877412516</c:v>
                </c:pt>
                <c:pt idx="606">
                  <c:v>-279.03521889274043</c:v>
                </c:pt>
                <c:pt idx="607">
                  <c:v>-281.44949188326996</c:v>
                </c:pt>
                <c:pt idx="608">
                  <c:v>-283.70109919817844</c:v>
                </c:pt>
                <c:pt idx="609">
                  <c:v>-285.82090299610257</c:v>
                </c:pt>
                <c:pt idx="610">
                  <c:v>-287.83000474084673</c:v>
                </c:pt>
                <c:pt idx="611">
                  <c:v>-289.74332443342013</c:v>
                </c:pt>
                <c:pt idx="612">
                  <c:v>-291.57174250112774</c:v>
                </c:pt>
                <c:pt idx="613">
                  <c:v>-293.32343155688545</c:v>
                </c:pt>
                <c:pt idx="614">
                  <c:v>-295.00471076195311</c:v>
                </c:pt>
                <c:pt idx="615">
                  <c:v>-296.62060808848514</c:v>
                </c:pt>
                <c:pt idx="616">
                  <c:v>-298.17523807111513</c:v>
                </c:pt>
                <c:pt idx="617">
                  <c:v>-299.67205982373434</c:v>
                </c:pt>
                <c:pt idx="618">
                  <c:v>-300.31018014078052</c:v>
                </c:pt>
                <c:pt idx="619">
                  <c:v>-300.93784453179364</c:v>
                </c:pt>
                <c:pt idx="620">
                  <c:v>-301.55532266235315</c:v>
                </c:pt>
                <c:pt idx="621">
                  <c:v>-302.16286920014875</c:v>
                </c:pt>
                <c:pt idx="622">
                  <c:v>-302.76072529452665</c:v>
                </c:pt>
                <c:pt idx="623">
                  <c:v>-303.3491198812884</c:v>
                </c:pt>
                <c:pt idx="624">
                  <c:v>-303.92827083498543</c:v>
                </c:pt>
                <c:pt idx="625">
                  <c:v>-304.49838598789006</c:v>
                </c:pt>
                <c:pt idx="626">
                  <c:v>-305.0596640322255</c:v>
                </c:pt>
                <c:pt idx="627">
                  <c:v>-305.61229532001812</c:v>
                </c:pt>
                <c:pt idx="628">
                  <c:v>-306.15646257304712</c:v>
                </c:pt>
                <c:pt idx="629">
                  <c:v>-306.69234151374349</c:v>
                </c:pt>
                <c:pt idx="630">
                  <c:v>-307.22010142649657</c:v>
                </c:pt>
                <c:pt idx="631">
                  <c:v>-307.73990565763097</c:v>
                </c:pt>
                <c:pt idx="632">
                  <c:v>-308.2519120612771</c:v>
                </c:pt>
                <c:pt idx="633">
                  <c:v>-308.756273397467</c:v>
                </c:pt>
                <c:pt idx="634">
                  <c:v>-309.25313768800697</c:v>
                </c:pt>
                <c:pt idx="635">
                  <c:v>-309.74264853500711</c:v>
                </c:pt>
                <c:pt idx="636">
                  <c:v>-310.22494540635785</c:v>
                </c:pt>
                <c:pt idx="637">
                  <c:v>-310.70016389193222</c:v>
                </c:pt>
                <c:pt idx="638">
                  <c:v>-311.16843593384499</c:v>
                </c:pt>
                <c:pt idx="639">
                  <c:v>-311.62989003370831</c:v>
                </c:pt>
                <c:pt idx="640">
                  <c:v>-312.08465143947797</c:v>
                </c:pt>
                <c:pt idx="641">
                  <c:v>-312.53284231418627</c:v>
                </c:pt>
                <c:pt idx="642">
                  <c:v>-312.97458188858866</c:v>
                </c:pt>
                <c:pt idx="643">
                  <c:v>-313.40998659952209</c:v>
                </c:pt>
                <c:pt idx="644">
                  <c:v>-313.83917021556283</c:v>
                </c:pt>
                <c:pt idx="645">
                  <c:v>-314.26224395139468</c:v>
                </c:pt>
                <c:pt idx="646">
                  <c:v>-314.67931657213569</c:v>
                </c:pt>
                <c:pt idx="647">
                  <c:v>-315.0904944887302</c:v>
                </c:pt>
                <c:pt idx="648">
                  <c:v>-315.49588184538868</c:v>
                </c:pt>
                <c:pt idx="649">
                  <c:v>-315.89558059994704</c:v>
                </c:pt>
                <c:pt idx="650">
                  <c:v>-316.28969059791768</c:v>
                </c:pt>
                <c:pt idx="651">
                  <c:v>-316.67830964091911</c:v>
                </c:pt>
                <c:pt idx="652">
                  <c:v>-317.0615335500928</c:v>
                </c:pt>
                <c:pt idx="653">
                  <c:v>-317.43945622504725</c:v>
                </c:pt>
                <c:pt idx="654">
                  <c:v>-317.81216969881007</c:v>
                </c:pt>
                <c:pt idx="655">
                  <c:v>-318.17976418921279</c:v>
                </c:pt>
                <c:pt idx="656">
                  <c:v>-318.54232814708644</c:v>
                </c:pt>
                <c:pt idx="657">
                  <c:v>-318.89994830160333</c:v>
                </c:pt>
                <c:pt idx="658">
                  <c:v>-319.25270970306201</c:v>
                </c:pt>
                <c:pt idx="659">
                  <c:v>-319.60069576337958</c:v>
                </c:pt>
                <c:pt idx="660">
                  <c:v>-319.94398829452444</c:v>
                </c:pt>
                <c:pt idx="661">
                  <c:v>-320.28266754509787</c:v>
                </c:pt>
                <c:pt idx="662">
                  <c:v>-320.61681223524675</c:v>
                </c:pt>
                <c:pt idx="663">
                  <c:v>-320.94649959007143</c:v>
                </c:pt>
                <c:pt idx="664">
                  <c:v>-321.27180537167158</c:v>
                </c:pt>
                <c:pt idx="665">
                  <c:v>-321.59280390995877</c:v>
                </c:pt>
                <c:pt idx="666">
                  <c:v>-321.90956813234754</c:v>
                </c:pt>
                <c:pt idx="667">
                  <c:v>-322.22216959242576</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23.516912725554931</c:v>
                </c:pt>
                <c:pt idx="1">
                  <c:v>23.516913204847725</c:v>
                </c:pt>
                <c:pt idx="2">
                  <c:v>23.516914003669108</c:v>
                </c:pt>
                <c:pt idx="3">
                  <c:v>23.516915122019167</c:v>
                </c:pt>
                <c:pt idx="4">
                  <c:v>23.516916559898014</c:v>
                </c:pt>
                <c:pt idx="5">
                  <c:v>23.516918317305805</c:v>
                </c:pt>
                <c:pt idx="6">
                  <c:v>23.516920394242717</c:v>
                </c:pt>
                <c:pt idx="7">
                  <c:v>23.516922790708982</c:v>
                </c:pt>
                <c:pt idx="8">
                  <c:v>23.516925506704844</c:v>
                </c:pt>
                <c:pt idx="9">
                  <c:v>23.516928542230595</c:v>
                </c:pt>
                <c:pt idx="10">
                  <c:v>23.516976471719119</c:v>
                </c:pt>
                <c:pt idx="11">
                  <c:v>23.517056354762467</c:v>
                </c:pt>
                <c:pt idx="12">
                  <c:v>23.517168192204402</c:v>
                </c:pt>
                <c:pt idx="13">
                  <c:v>23.517311985226197</c:v>
                </c:pt>
                <c:pt idx="14">
                  <c:v>23.517487735346727</c:v>
                </c:pt>
                <c:pt idx="15">
                  <c:v>23.517695444422468</c:v>
                </c:pt>
                <c:pt idx="16">
                  <c:v>23.517935114647621</c:v>
                </c:pt>
                <c:pt idx="17">
                  <c:v>23.518206748554125</c:v>
                </c:pt>
                <c:pt idx="18">
                  <c:v>23.518510349011773</c:v>
                </c:pt>
                <c:pt idx="19">
                  <c:v>23.523305387045717</c:v>
                </c:pt>
                <c:pt idx="20">
                  <c:v>23.531302750663947</c:v>
                </c:pt>
                <c:pt idx="21">
                  <c:v>23.542510910054855</c:v>
                </c:pt>
                <c:pt idx="22">
                  <c:v>23.556941763309126</c:v>
                </c:pt>
                <c:pt idx="23">
                  <c:v>23.574610676563246</c:v>
                </c:pt>
                <c:pt idx="24">
                  <c:v>23.595536536068536</c:v>
                </c:pt>
                <c:pt idx="25">
                  <c:v>23.619741812534176</c:v>
                </c:pt>
                <c:pt idx="26">
                  <c:v>23.647252638177456</c:v>
                </c:pt>
                <c:pt idx="27">
                  <c:v>23.678098897003682</c:v>
                </c:pt>
                <c:pt idx="28">
                  <c:v>23.883684628615075</c:v>
                </c:pt>
                <c:pt idx="29">
                  <c:v>24.179522739838788</c:v>
                </c:pt>
                <c:pt idx="30">
                  <c:v>24.574504054150058</c:v>
                </c:pt>
                <c:pt idx="31">
                  <c:v>25.081484645949704</c:v>
                </c:pt>
                <c:pt idx="32">
                  <c:v>25.718719668438602</c:v>
                </c:pt>
                <c:pt idx="33">
                  <c:v>26.512141117860118</c:v>
                </c:pt>
                <c:pt idx="34">
                  <c:v>27.498971962537389</c:v>
                </c:pt>
                <c:pt idx="35">
                  <c:v>28.733286150855832</c:v>
                </c:pt>
                <c:pt idx="36">
                  <c:v>30.293123554515326</c:v>
                </c:pt>
                <c:pt idx="37">
                  <c:v>32.279442251181777</c:v>
                </c:pt>
                <c:pt idx="38">
                  <c:v>34.73066923952041</c:v>
                </c:pt>
                <c:pt idx="39">
                  <c:v>37.019388937535396</c:v>
                </c:pt>
                <c:pt idx="40">
                  <c:v>36.778556451706471</c:v>
                </c:pt>
                <c:pt idx="41">
                  <c:v>33.929883847849688</c:v>
                </c:pt>
                <c:pt idx="42">
                  <c:v>30.86711166144017</c:v>
                </c:pt>
                <c:pt idx="43">
                  <c:v>28.262051058272483</c:v>
                </c:pt>
                <c:pt idx="44">
                  <c:v>26.081759310591632</c:v>
                </c:pt>
                <c:pt idx="45">
                  <c:v>24.223438994015666</c:v>
                </c:pt>
                <c:pt idx="46">
                  <c:v>22.606506459394677</c:v>
                </c:pt>
                <c:pt idx="47">
                  <c:v>21.174428346459287</c:v>
                </c:pt>
                <c:pt idx="48">
                  <c:v>19.887579397129652</c:v>
                </c:pt>
                <c:pt idx="49">
                  <c:v>18.717570747774289</c:v>
                </c:pt>
                <c:pt idx="50">
                  <c:v>17.643531120330856</c:v>
                </c:pt>
                <c:pt idx="51">
                  <c:v>16.649731559941074</c:v>
                </c:pt>
                <c:pt idx="52">
                  <c:v>15.724050493902965</c:v>
                </c:pt>
                <c:pt idx="53">
                  <c:v>14.856959572559262</c:v>
                </c:pt>
                <c:pt idx="54">
                  <c:v>14.040837056434929</c:v>
                </c:pt>
                <c:pt idx="55">
                  <c:v>13.269491792171909</c:v>
                </c:pt>
                <c:pt idx="56">
                  <c:v>12.537825803877894</c:v>
                </c:pt>
                <c:pt idx="57">
                  <c:v>11.84159024069678</c:v>
                </c:pt>
                <c:pt idx="58">
                  <c:v>11.177205567949819</c:v>
                </c:pt>
                <c:pt idx="59">
                  <c:v>10.541626857219891</c:v>
                </c:pt>
                <c:pt idx="60">
                  <c:v>9.932241320275109</c:v>
                </c:pt>
                <c:pt idx="61">
                  <c:v>9.3467892854983461</c:v>
                </c:pt>
                <c:pt idx="62">
                  <c:v>8.7833024815083398</c:v>
                </c:pt>
                <c:pt idx="63">
                  <c:v>8.2400552794737063</c:v>
                </c:pt>
                <c:pt idx="64">
                  <c:v>7.7155257644576931</c:v>
                </c:pt>
                <c:pt idx="65">
                  <c:v>7.2083643512478588</c:v>
                </c:pt>
                <c:pt idx="66">
                  <c:v>6.7173682550773552</c:v>
                </c:pt>
                <c:pt idx="67">
                  <c:v>6.241460552431529</c:v>
                </c:pt>
                <c:pt idx="68">
                  <c:v>5.7796728744247261</c:v>
                </c:pt>
                <c:pt idx="69">
                  <c:v>5.3311310002541905</c:v>
                </c:pt>
                <c:pt idx="70">
                  <c:v>4.8950427848996156</c:v>
                </c:pt>
                <c:pt idx="71">
                  <c:v>4.4706879799908865</c:v>
                </c:pt>
                <c:pt idx="72">
                  <c:v>4.0574096010823117</c:v>
                </c:pt>
                <c:pt idx="73">
                  <c:v>3.6546065665417116</c:v>
                </c:pt>
                <c:pt idx="74">
                  <c:v>3.2617273886626736</c:v>
                </c:pt>
                <c:pt idx="75">
                  <c:v>2.8782647406046125</c:v>
                </c:pt>
                <c:pt idx="76">
                  <c:v>2.5037507563935808</c:v>
                </c:pt>
                <c:pt idx="77">
                  <c:v>2.1377529477109043</c:v>
                </c:pt>
                <c:pt idx="78">
                  <c:v>1.7798706422138162</c:v>
                </c:pt>
                <c:pt idx="79">
                  <c:v>1.4297318649138684</c:v>
                </c:pt>
                <c:pt idx="80">
                  <c:v>1.0869905976212983</c:v>
                </c:pt>
                <c:pt idx="81">
                  <c:v>0.75132436235872468</c:v>
                </c:pt>
                <c:pt idx="82">
                  <c:v>0.42243208350141426</c:v>
                </c:pt>
                <c:pt idx="83">
                  <c:v>0.10003219063397745</c:v>
                </c:pt>
                <c:pt idx="84">
                  <c:v>-0.2161390699481146</c:v>
                </c:pt>
                <c:pt idx="85">
                  <c:v>-0.52632914226486771</c:v>
                </c:pt>
                <c:pt idx="86">
                  <c:v>-0.83077050931837726</c:v>
                </c:pt>
                <c:pt idx="87">
                  <c:v>-1.1296819031326613</c:v>
                </c:pt>
                <c:pt idx="88">
                  <c:v>-1.4232693930745617</c:v>
                </c:pt>
                <c:pt idx="89">
                  <c:v>-1.7117273669930932</c:v>
                </c:pt>
                <c:pt idx="90">
                  <c:v>-1.9952394177172594</c:v>
                </c:pt>
                <c:pt idx="91">
                  <c:v>-2.273979145763811</c:v>
                </c:pt>
                <c:pt idx="92">
                  <c:v>-2.54811088767367</c:v>
                </c:pt>
                <c:pt idx="93">
                  <c:v>-2.81779037817578</c:v>
                </c:pt>
                <c:pt idx="94">
                  <c:v>-3.0831653533352386</c:v>
                </c:pt>
                <c:pt idx="95">
                  <c:v>-3.3443761009499307</c:v>
                </c:pt>
                <c:pt idx="96">
                  <c:v>-3.6015559636925381</c:v>
                </c:pt>
                <c:pt idx="97">
                  <c:v>-3.8548317998336348</c:v>
                </c:pt>
                <c:pt idx="98">
                  <c:v>-4.1043244058101553</c:v>
                </c:pt>
                <c:pt idx="99">
                  <c:v>-4.3501489044081136</c:v>
                </c:pt>
                <c:pt idx="100">
                  <c:v>-4.592415101898303</c:v>
                </c:pt>
                <c:pt idx="101">
                  <c:v>-4.8312278170887755</c:v>
                </c:pt>
                <c:pt idx="102">
                  <c:v>-5.0666871849307746</c:v>
                </c:pt>
                <c:pt idx="103">
                  <c:v>-5.298888937028198</c:v>
                </c:pt>
                <c:pt idx="104">
                  <c:v>-5.5279246611496866</c:v>
                </c:pt>
                <c:pt idx="105">
                  <c:v>-5.7538820416213623</c:v>
                </c:pt>
                <c:pt idx="106">
                  <c:v>-5.9768450822838126</c:v>
                </c:pt>
                <c:pt idx="107">
                  <c:v>-6.1968943135251777</c:v>
                </c:pt>
                <c:pt idx="108">
                  <c:v>-6.4141069847502239</c:v>
                </c:pt>
                <c:pt idx="109">
                  <c:v>-6.6285572435107802</c:v>
                </c:pt>
                <c:pt idx="110">
                  <c:v>-6.8403163024032301</c:v>
                </c:pt>
                <c:pt idx="111">
                  <c:v>-7.0494525947327027</c:v>
                </c:pt>
                <c:pt idx="112">
                  <c:v>-7.256031919848553</c:v>
                </c:pt>
                <c:pt idx="113">
                  <c:v>-7.4601175789715137</c:v>
                </c:pt>
                <c:pt idx="114">
                  <c:v>-7.6617705022570357</c:v>
                </c:pt>
                <c:pt idx="115">
                  <c:v>-7.8610493677718551</c:v>
                </c:pt>
                <c:pt idx="116">
                  <c:v>-8.0580107129999927</c:v>
                </c:pt>
                <c:pt idx="117">
                  <c:v>-8.2527090394399334</c:v>
                </c:pt>
                <c:pt idx="118">
                  <c:v>-8.4451969108056453</c:v>
                </c:pt>
                <c:pt idx="119">
                  <c:v>-8.6355250452999499</c:v>
                </c:pt>
                <c:pt idx="120">
                  <c:v>-8.8237424023888522</c:v>
                </c:pt>
                <c:pt idx="121">
                  <c:v>-9.0098962644694627</c:v>
                </c:pt>
                <c:pt idx="122">
                  <c:v>-9.1940323137915403</c:v>
                </c:pt>
                <c:pt idx="123">
                  <c:v>-9.3761947049632148</c:v>
                </c:pt>
                <c:pt idx="124">
                  <c:v>-9.5564261333446439</c:v>
                </c:pt>
                <c:pt idx="125">
                  <c:v>-9.7347678996091496</c:v>
                </c:pt>
                <c:pt idx="126">
                  <c:v>-9.9112599707291693</c:v>
                </c:pt>
                <c:pt idx="127">
                  <c:v>-10.085941037624382</c:v>
                </c:pt>
                <c:pt idx="128">
                  <c:v>-10.258848569690969</c:v>
                </c:pt>
                <c:pt idx="129">
                  <c:v>-10.430018866414287</c:v>
                </c:pt>
                <c:pt idx="130">
                  <c:v>-10.59948710625198</c:v>
                </c:pt>
                <c:pt idx="131">
                  <c:v>-10.76728739296059</c:v>
                </c:pt>
                <c:pt idx="132">
                  <c:v>-10.933452799525977</c:v>
                </c:pt>
                <c:pt idx="133">
                  <c:v>-11.098015409846152</c:v>
                </c:pt>
                <c:pt idx="134">
                  <c:v>-11.261006358304408</c:v>
                </c:pt>
                <c:pt idx="135">
                  <c:v>-11.422455867360789</c:v>
                </c:pt>
                <c:pt idx="136">
                  <c:v>-11.582393283280886</c:v>
                </c:pt>
                <c:pt idx="137">
                  <c:v>-11.740847110112668</c:v>
                </c:pt>
                <c:pt idx="138">
                  <c:v>-11.897845042014355</c:v>
                </c:pt>
                <c:pt idx="139">
                  <c:v>-12.053413994029283</c:v>
                </c:pt>
                <c:pt idx="140">
                  <c:v>-12.2075801313973</c:v>
                </c:pt>
                <c:pt idx="141">
                  <c:v>-12.360368897486094</c:v>
                </c:pt>
                <c:pt idx="142">
                  <c:v>-12.511805040420425</c:v>
                </c:pt>
                <c:pt idx="143">
                  <c:v>-12.661912638482058</c:v>
                </c:pt>
                <c:pt idx="144">
                  <c:v>-12.810715124348441</c:v>
                </c:pt>
                <c:pt idx="145">
                  <c:v>-12.958235308233837</c:v>
                </c:pt>
                <c:pt idx="146">
                  <c:v>-13.104495399992512</c:v>
                </c:pt>
                <c:pt idx="147">
                  <c:v>-13.249517030239797</c:v>
                </c:pt>
                <c:pt idx="148">
                  <c:v>-13.393321270543403</c:v>
                </c:pt>
                <c:pt idx="149">
                  <c:v>-13.535928652734064</c:v>
                </c:pt>
                <c:pt idx="150">
                  <c:v>-13.677359187381571</c:v>
                </c:pt>
                <c:pt idx="151">
                  <c:v>-13.817632381479495</c:v>
                </c:pt>
                <c:pt idx="152">
                  <c:v>-13.956767255379232</c:v>
                </c:pt>
                <c:pt idx="153">
                  <c:v>-14.094782359011598</c:v>
                </c:pt>
                <c:pt idx="154">
                  <c:v>-14.231695787431917</c:v>
                </c:pt>
                <c:pt idx="155">
                  <c:v>-14.367525195722475</c:v>
                </c:pt>
                <c:pt idx="156">
                  <c:v>-14.502287813284177</c:v>
                </c:pt>
                <c:pt idx="157">
                  <c:v>-14.636000457547457</c:v>
                </c:pt>
                <c:pt idx="158">
                  <c:v>-14.768679547130731</c:v>
                </c:pt>
                <c:pt idx="159">
                  <c:v>-14.900341114473118</c:v>
                </c:pt>
                <c:pt idx="160">
                  <c:v>-15.0310008179666</c:v>
                </c:pt>
                <c:pt idx="161">
                  <c:v>-15.160673953611445</c:v>
                </c:pt>
                <c:pt idx="162">
                  <c:v>-15.289375466217329</c:v>
                </c:pt>
                <c:pt idx="163">
                  <c:v>-15.417119960171416</c:v>
                </c:pt>
                <c:pt idx="164">
                  <c:v>-15.543921709793487</c:v>
                </c:pt>
                <c:pt idx="165">
                  <c:v>-15.669794669297108</c:v>
                </c:pt>
                <c:pt idx="166">
                  <c:v>-15.794752482374808</c:v>
                </c:pt>
                <c:pt idx="167">
                  <c:v>-15.918808491424272</c:v>
                </c:pt>
                <c:pt idx="168">
                  <c:v>-16.041975746431753</c:v>
                </c:pt>
                <c:pt idx="169">
                  <c:v>-16.164267013527876</c:v>
                </c:pt>
                <c:pt idx="170">
                  <c:v>-16.285694783230408</c:v>
                </c:pt>
                <c:pt idx="171">
                  <c:v>-16.406271278387681</c:v>
                </c:pt>
                <c:pt idx="172">
                  <c:v>-16.526008461835733</c:v>
                </c:pt>
                <c:pt idx="173">
                  <c:v>-16.644918043781555</c:v>
                </c:pt>
                <c:pt idx="174">
                  <c:v>-16.763011488924143</c:v>
                </c:pt>
                <c:pt idx="175">
                  <c:v>-16.880300023324605</c:v>
                </c:pt>
                <c:pt idx="176">
                  <c:v>-16.996794641035812</c:v>
                </c:pt>
                <c:pt idx="177">
                  <c:v>-17.112506110501865</c:v>
                </c:pt>
                <c:pt idx="178">
                  <c:v>-17.227444980736738</c:v>
                </c:pt>
                <c:pt idx="179">
                  <c:v>-17.341621587291442</c:v>
                </c:pt>
                <c:pt idx="180">
                  <c:v>-17.455046058018297</c:v>
                </c:pt>
                <c:pt idx="181">
                  <c:v>-17.567728318640548</c:v>
                </c:pt>
                <c:pt idx="182">
                  <c:v>-17.679678098135298</c:v>
                </c:pt>
                <c:pt idx="183">
                  <c:v>-17.790904933937213</c:v>
                </c:pt>
                <c:pt idx="184">
                  <c:v>-17.901418176970186</c:v>
                </c:pt>
                <c:pt idx="185">
                  <c:v>-18.011226996513699</c:v>
                </c:pt>
                <c:pt idx="186">
                  <c:v>-18.120340384910534</c:v>
                </c:pt>
                <c:pt idx="187">
                  <c:v>-18.228767162121919</c:v>
                </c:pt>
                <c:pt idx="188">
                  <c:v>-18.336515980136063</c:v>
                </c:pt>
                <c:pt idx="189">
                  <c:v>-18.44359532723583</c:v>
                </c:pt>
                <c:pt idx="190">
                  <c:v>-18.550013532130791</c:v>
                </c:pt>
                <c:pt idx="191">
                  <c:v>-18.65577876795896</c:v>
                </c:pt>
                <c:pt idx="192">
                  <c:v>-18.760899056163083</c:v>
                </c:pt>
                <c:pt idx="193">
                  <c:v>-18.865382270246208</c:v>
                </c:pt>
                <c:pt idx="194">
                  <c:v>-18.969236139411013</c:v>
                </c:pt>
                <c:pt idx="195">
                  <c:v>-19.072468252087297</c:v>
                </c:pt>
                <c:pt idx="196">
                  <c:v>-19.175086059351617</c:v>
                </c:pt>
                <c:pt idx="197">
                  <c:v>-19.277096878243174</c:v>
                </c:pt>
                <c:pt idx="198">
                  <c:v>-19.378507894979609</c:v>
                </c:pt>
                <c:pt idx="199">
                  <c:v>-19.479326168076376</c:v>
                </c:pt>
                <c:pt idx="200">
                  <c:v>-19.579558631373207</c:v>
                </c:pt>
                <c:pt idx="201">
                  <c:v>-19.679212096970851</c:v>
                </c:pt>
                <c:pt idx="202">
                  <c:v>-19.778293258081455</c:v>
                </c:pt>
                <c:pt idx="203">
                  <c:v>-19.8768086917955</c:v>
                </c:pt>
                <c:pt idx="204">
                  <c:v>-19.974764861768236</c:v>
                </c:pt>
                <c:pt idx="205">
                  <c:v>-20.072168120828522</c:v>
                </c:pt>
                <c:pt idx="206">
                  <c:v>-20.16902471351262</c:v>
                </c:pt>
                <c:pt idx="207">
                  <c:v>-20.265340778525648</c:v>
                </c:pt>
                <c:pt idx="208">
                  <c:v>-20.361122351133083</c:v>
                </c:pt>
                <c:pt idx="209">
                  <c:v>-20.456375365484789</c:v>
                </c:pt>
                <c:pt idx="210">
                  <c:v>-20.551105656873716</c:v>
                </c:pt>
                <c:pt idx="211">
                  <c:v>-20.645318963931661</c:v>
                </c:pt>
                <c:pt idx="212">
                  <c:v>-20.739020930763985</c:v>
                </c:pt>
                <c:pt idx="213">
                  <c:v>-20.8322171090255</c:v>
                </c:pt>
                <c:pt idx="214">
                  <c:v>-20.924912959939363</c:v>
                </c:pt>
                <c:pt idx="215">
                  <c:v>-21.017113856260877</c:v>
                </c:pt>
                <c:pt idx="216">
                  <c:v>-21.108825084188023</c:v>
                </c:pt>
                <c:pt idx="217">
                  <c:v>-21.200051845220457</c:v>
                </c:pt>
                <c:pt idx="218">
                  <c:v>-21.290799257968583</c:v>
                </c:pt>
                <c:pt idx="219">
                  <c:v>-21.381072359914377</c:v>
                </c:pt>
                <c:pt idx="220">
                  <c:v>-21.470876109125495</c:v>
                </c:pt>
                <c:pt idx="221">
                  <c:v>-21.560215385924081</c:v>
                </c:pt>
                <c:pt idx="222">
                  <c:v>-21.64909499451182</c:v>
                </c:pt>
                <c:pt idx="223">
                  <c:v>-21.737519664552515</c:v>
                </c:pt>
                <c:pt idx="224">
                  <c:v>-21.825494052713598</c:v>
                </c:pt>
                <c:pt idx="225">
                  <c:v>-21.913022744167748</c:v>
                </c:pt>
                <c:pt idx="226">
                  <c:v>-22.764756779652338</c:v>
                </c:pt>
                <c:pt idx="227">
                  <c:v>-23.576485865691545</c:v>
                </c:pt>
                <c:pt idx="228">
                  <c:v>-24.351813718436439</c:v>
                </c:pt>
                <c:pt idx="229">
                  <c:v>-25.093876291081031</c:v>
                </c:pt>
                <c:pt idx="230">
                  <c:v>-25.805419634586141</c:v>
                </c:pt>
                <c:pt idx="231">
                  <c:v>-26.488862158157175</c:v>
                </c:pt>
                <c:pt idx="232">
                  <c:v>-27.146344905548631</c:v>
                </c:pt>
                <c:pt idx="233">
                  <c:v>-27.779772519479021</c:v>
                </c:pt>
                <c:pt idx="234">
                  <c:v>-28.390846894632151</c:v>
                </c:pt>
                <c:pt idx="235">
                  <c:v>-28.981095034620402</c:v>
                </c:pt>
                <c:pt idx="236">
                  <c:v>-29.551892273373987</c:v>
                </c:pt>
                <c:pt idx="237">
                  <c:v>-30.104481758599455</c:v>
                </c:pt>
                <c:pt idx="238">
                  <c:v>-30.639990898140461</c:v>
                </c:pt>
                <c:pt idx="239">
                  <c:v>-31.159445321160575</c:v>
                </c:pt>
                <c:pt idx="240">
                  <c:v>-31.663780792306788</c:v>
                </c:pt>
                <c:pt idx="241">
                  <c:v>-32.153853429321437</c:v>
                </c:pt>
                <c:pt idx="242">
                  <c:v>-32.630448506408037</c:v>
                </c:pt>
                <c:pt idx="243">
                  <c:v>-33.094288072254621</c:v>
                </c:pt>
                <c:pt idx="244">
                  <c:v>-33.546037569472787</c:v>
                </c:pt>
                <c:pt idx="245">
                  <c:v>-33.98631160871691</c:v>
                </c:pt>
                <c:pt idx="246">
                  <c:v>-34.415679023955484</c:v>
                </c:pt>
                <c:pt idx="247">
                  <c:v>-34.834667313802854</c:v>
                </c:pt>
                <c:pt idx="248">
                  <c:v>-35.243766556362033</c:v>
                </c:pt>
                <c:pt idx="249">
                  <c:v>-35.643432870818181</c:v>
                </c:pt>
                <c:pt idx="250">
                  <c:v>-36.034091487393567</c:v>
                </c:pt>
                <c:pt idx="251">
                  <c:v>-36.416139477710828</c:v>
                </c:pt>
                <c:pt idx="252">
                  <c:v>-36.789948189709385</c:v>
                </c:pt>
                <c:pt idx="253">
                  <c:v>-37.155865424700757</c:v>
                </c:pt>
                <c:pt idx="254">
                  <c:v>-37.514217388681146</c:v>
                </c:pt>
                <c:pt idx="255">
                  <c:v>-37.865310445443335</c:v>
                </c:pt>
                <c:pt idx="256">
                  <c:v>-38.209432695184574</c:v>
                </c:pt>
                <c:pt idx="257">
                  <c:v>-38.546855399064043</c:v>
                </c:pt>
                <c:pt idx="258">
                  <c:v>-38.87783426741769</c:v>
                </c:pt>
                <c:pt idx="259">
                  <c:v>-39.202610627006841</c:v>
                </c:pt>
                <c:pt idx="260">
                  <c:v>-39.521412480689555</c:v>
                </c:pt>
                <c:pt idx="261">
                  <c:v>-39.834455471204919</c:v>
                </c:pt>
                <c:pt idx="262">
                  <c:v>-40.141943759304084</c:v>
                </c:pt>
                <c:pt idx="263">
                  <c:v>-40.44407082520857</c:v>
                </c:pt>
                <c:pt idx="264">
                  <c:v>-40.741020201296635</c:v>
                </c:pt>
                <c:pt idx="265">
                  <c:v>-41.032966142983568</c:v>
                </c:pt>
                <c:pt idx="266">
                  <c:v>-41.320074243952348</c:v>
                </c:pt>
                <c:pt idx="267">
                  <c:v>-41.602502001186572</c:v>
                </c:pt>
                <c:pt idx="268">
                  <c:v>-41.880399334644125</c:v>
                </c:pt>
                <c:pt idx="269">
                  <c:v>-42.153909065874672</c:v>
                </c:pt>
                <c:pt idx="270">
                  <c:v>-42.423167359414478</c:v>
                </c:pt>
                <c:pt idx="271">
                  <c:v>-42.688304130380892</c:v>
                </c:pt>
                <c:pt idx="272">
                  <c:v>-42.949443421327196</c:v>
                </c:pt>
                <c:pt idx="273">
                  <c:v>-43.206703751099582</c:v>
                </c:pt>
                <c:pt idx="274">
                  <c:v>-43.460198438156993</c:v>
                </c:pt>
                <c:pt idx="275">
                  <c:v>-43.710035900565714</c:v>
                </c:pt>
                <c:pt idx="276">
                  <c:v>-43.956319934659973</c:v>
                </c:pt>
                <c:pt idx="277">
                  <c:v>-44.199149974164619</c:v>
                </c:pt>
                <c:pt idx="278">
                  <c:v>-44.438621331401428</c:v>
                </c:pt>
                <c:pt idx="279">
                  <c:v>-44.674825422046005</c:v>
                </c:pt>
                <c:pt idx="280">
                  <c:v>-44.907849974763835</c:v>
                </c:pt>
                <c:pt idx="281">
                  <c:v>-45.137779226930334</c:v>
                </c:pt>
                <c:pt idx="282">
                  <c:v>-45.364694107529445</c:v>
                </c:pt>
                <c:pt idx="283">
                  <c:v>-45.588672408225975</c:v>
                </c:pt>
                <c:pt idx="284">
                  <c:v>-45.809788943517766</c:v>
                </c:pt>
                <c:pt idx="285">
                  <c:v>-46.028115700794139</c:v>
                </c:pt>
                <c:pt idx="286">
                  <c:v>-46.243721981054556</c:v>
                </c:pt>
                <c:pt idx="287">
                  <c:v>-46.456674530976898</c:v>
                </c:pt>
                <c:pt idx="288">
                  <c:v>-46.667037666965726</c:v>
                </c:pt>
                <c:pt idx="289">
                  <c:v>-46.874873391758392</c:v>
                </c:pt>
                <c:pt idx="290">
                  <c:v>-47.080241504118277</c:v>
                </c:pt>
                <c:pt idx="291">
                  <c:v>-47.283199702101577</c:v>
                </c:pt>
                <c:pt idx="292">
                  <c:v>-47.483803680344174</c:v>
                </c:pt>
                <c:pt idx="293">
                  <c:v>-47.682107221779589</c:v>
                </c:pt>
                <c:pt idx="294">
                  <c:v>-47.878162284166251</c:v>
                </c:pt>
                <c:pt idx="295">
                  <c:v>-48.072019081772794</c:v>
                </c:pt>
                <c:pt idx="296">
                  <c:v>-48.263726162542902</c:v>
                </c:pt>
                <c:pt idx="297">
                  <c:v>-48.453330481036957</c:v>
                </c:pt>
                <c:pt idx="298">
                  <c:v>-48.640877467424481</c:v>
                </c:pt>
                <c:pt idx="299">
                  <c:v>-48.826411092781761</c:v>
                </c:pt>
                <c:pt idx="300">
                  <c:v>-49.009973930929213</c:v>
                </c:pt>
                <c:pt idx="301">
                  <c:v>-49.191607217026544</c:v>
                </c:pt>
                <c:pt idx="302">
                  <c:v>-49.371350903127542</c:v>
                </c:pt>
                <c:pt idx="303">
                  <c:v>-49.549243710881832</c:v>
                </c:pt>
                <c:pt idx="304">
                  <c:v>-49.725323181557869</c:v>
                </c:pt>
                <c:pt idx="305">
                  <c:v>-49.899625723548695</c:v>
                </c:pt>
                <c:pt idx="306">
                  <c:v>-50.072186657511168</c:v>
                </c:pt>
                <c:pt idx="307">
                  <c:v>-50.243040259278672</c:v>
                </c:pt>
                <c:pt idx="308">
                  <c:v>-50.412219800677967</c:v>
                </c:pt>
                <c:pt idx="309">
                  <c:v>-50.579757588371635</c:v>
                </c:pt>
                <c:pt idx="310">
                  <c:v>-50.745685000839785</c:v>
                </c:pt>
                <c:pt idx="311">
                  <c:v>-50.9100325236071</c:v>
                </c:pt>
                <c:pt idx="312">
                  <c:v>-51.072829782813898</c:v>
                </c:pt>
                <c:pt idx="313">
                  <c:v>-51.234105577224113</c:v>
                </c:pt>
                <c:pt idx="314">
                  <c:v>-51.39388790875649</c:v>
                </c:pt>
                <c:pt idx="315">
                  <c:v>-51.552204011620177</c:v>
                </c:pt>
                <c:pt idx="316">
                  <c:v>-51.709080380130445</c:v>
                </c:pt>
                <c:pt idx="317">
                  <c:v>-51.864542795275838</c:v>
                </c:pt>
                <c:pt idx="318">
                  <c:v>-52.018616350103237</c:v>
                </c:pt>
                <c:pt idx="319">
                  <c:v>-52.171325473983494</c:v>
                </c:pt>
                <c:pt idx="320">
                  <c:v>-52.322693955816426</c:v>
                </c:pt>
                <c:pt idx="321">
                  <c:v>-52.472744966230152</c:v>
                </c:pt>
                <c:pt idx="322">
                  <c:v>-52.62150107882686</c:v>
                </c:pt>
                <c:pt idx="323">
                  <c:v>-52.768984290523477</c:v>
                </c:pt>
                <c:pt idx="324">
                  <c:v>-52.915216041033453</c:v>
                </c:pt>
                <c:pt idx="325">
                  <c:v>-53.060217231532491</c:v>
                </c:pt>
                <c:pt idx="326">
                  <c:v>-53.204008242549122</c:v>
                </c:pt>
                <c:pt idx="327">
                  <c:v>-53.346608951118441</c:v>
                </c:pt>
                <c:pt idx="328">
                  <c:v>-53.488038747234874</c:v>
                </c:pt>
                <c:pt idx="329">
                  <c:v>-53.628316549638569</c:v>
                </c:pt>
                <c:pt idx="330">
                  <c:v>-53.767460820966917</c:v>
                </c:pt>
                <c:pt idx="331">
                  <c:v>-53.905489582302188</c:v>
                </c:pt>
                <c:pt idx="332">
                  <c:v>-54.042420427143504</c:v>
                </c:pt>
                <c:pt idx="333">
                  <c:v>-54.178270534830553</c:v>
                </c:pt>
                <c:pt idx="334">
                  <c:v>-54.313056683444536</c:v>
                </c:pt>
                <c:pt idx="335">
                  <c:v>-54.446795262210543</c:v>
                </c:pt>
                <c:pt idx="336">
                  <c:v>-54.579502283424475</c:v>
                </c:pt>
                <c:pt idx="337">
                  <c:v>-54.711193393926074</c:v>
                </c:pt>
                <c:pt idx="338">
                  <c:v>-54.841883886138646</c:v>
                </c:pt>
                <c:pt idx="339">
                  <c:v>-54.971588708695066</c:v>
                </c:pt>
                <c:pt idx="340">
                  <c:v>-55.100322476668495</c:v>
                </c:pt>
                <c:pt idx="341">
                  <c:v>-55.228099481425161</c:v>
                </c:pt>
                <c:pt idx="342">
                  <c:v>-55.354933700116149</c:v>
                </c:pt>
                <c:pt idx="343">
                  <c:v>-55.480838804823719</c:v>
                </c:pt>
                <c:pt idx="344">
                  <c:v>-55.605828171377148</c:v>
                </c:pt>
                <c:pt idx="345">
                  <c:v>-55.729914887852523</c:v>
                </c:pt>
                <c:pt idx="346">
                  <c:v>-55.853111762769657</c:v>
                </c:pt>
                <c:pt idx="347">
                  <c:v>-55.975431332999328</c:v>
                </c:pt>
                <c:pt idx="348">
                  <c:v>-56.09688587139285</c:v>
                </c:pt>
                <c:pt idx="349">
                  <c:v>-56.21748739414555</c:v>
                </c:pt>
                <c:pt idx="350">
                  <c:v>-56.337247667905416</c:v>
                </c:pt>
                <c:pt idx="351">
                  <c:v>-56.456178216637205</c:v>
                </c:pt>
                <c:pt idx="352">
                  <c:v>-56.574290328252239</c:v>
                </c:pt>
                <c:pt idx="353">
                  <c:v>-56.691595061013189</c:v>
                </c:pt>
                <c:pt idx="354">
                  <c:v>-56.80810324972321</c:v>
                </c:pt>
                <c:pt idx="355">
                  <c:v>-56.923825511707939</c:v>
                </c:pt>
                <c:pt idx="356">
                  <c:v>-57.038772252598491</c:v>
                </c:pt>
                <c:pt idx="357">
                  <c:v>-57.15295367192374</c:v>
                </c:pt>
                <c:pt idx="358">
                  <c:v>-57.266379768518895</c:v>
                </c:pt>
                <c:pt idx="359">
                  <c:v>-57.379060345757999</c:v>
                </c:pt>
                <c:pt idx="360">
                  <c:v>-57.491005016616839</c:v>
                </c:pt>
                <c:pt idx="361">
                  <c:v>-57.602223208573079</c:v>
                </c:pt>
                <c:pt idx="362">
                  <c:v>-57.712724168349709</c:v>
                </c:pt>
                <c:pt idx="363">
                  <c:v>-57.822516966507855</c:v>
                </c:pt>
                <c:pt idx="364">
                  <c:v>-57.931610501894568</c:v>
                </c:pt>
                <c:pt idx="365">
                  <c:v>-58.040013505951215</c:v>
                </c:pt>
                <c:pt idx="366">
                  <c:v>-58.147734546887449</c:v>
                </c:pt>
                <c:pt idx="367">
                  <c:v>-58.254782033726052</c:v>
                </c:pt>
                <c:pt idx="368">
                  <c:v>-58.361164220223067</c:v>
                </c:pt>
                <c:pt idx="369">
                  <c:v>-58.466889208668171</c:v>
                </c:pt>
                <c:pt idx="370">
                  <c:v>-58.571964953569363</c:v>
                </c:pt>
                <c:pt idx="371">
                  <c:v>-58.676399265226294</c:v>
                </c:pt>
                <c:pt idx="372">
                  <c:v>-58.780199813196333</c:v>
                </c:pt>
                <c:pt idx="373">
                  <c:v>-58.883374129656929</c:v>
                </c:pt>
                <c:pt idx="374">
                  <c:v>-58.985929612668357</c:v>
                </c:pt>
                <c:pt idx="375">
                  <c:v>-59.087873529340051</c:v>
                </c:pt>
                <c:pt idx="376">
                  <c:v>-59.18921301890407</c:v>
                </c:pt>
                <c:pt idx="377">
                  <c:v>-59.289955095698943</c:v>
                </c:pt>
                <c:pt idx="378">
                  <c:v>-59.390106652066919</c:v>
                </c:pt>
                <c:pt idx="379">
                  <c:v>-59.489674461167787</c:v>
                </c:pt>
                <c:pt idx="380">
                  <c:v>-59.588665179711946</c:v>
                </c:pt>
                <c:pt idx="381">
                  <c:v>-59.687085350615604</c:v>
                </c:pt>
                <c:pt idx="382">
                  <c:v>-59.784941405580781</c:v>
                </c:pt>
                <c:pt idx="383">
                  <c:v>-59.882239667602484</c:v>
                </c:pt>
                <c:pt idx="384">
                  <c:v>-59.978986353405759</c:v>
                </c:pt>
                <c:pt idx="385">
                  <c:v>-60.075187575814731</c:v>
                </c:pt>
                <c:pt idx="386">
                  <c:v>-60.170849346056066</c:v>
                </c:pt>
                <c:pt idx="387">
                  <c:v>-60.265977575998875</c:v>
                </c:pt>
                <c:pt idx="388">
                  <c:v>-60.360578080333283</c:v>
                </c:pt>
                <c:pt idx="389">
                  <c:v>-60.454656578689601</c:v>
                </c:pt>
                <c:pt idx="390">
                  <c:v>-60.548218697700051</c:v>
                </c:pt>
                <c:pt idx="391">
                  <c:v>-60.641269973004846</c:v>
                </c:pt>
                <c:pt idx="392">
                  <c:v>-60.733815851204554</c:v>
                </c:pt>
                <c:pt idx="393">
                  <c:v>-60.825861691760295</c:v>
                </c:pt>
                <c:pt idx="394">
                  <c:v>-60.917412768843597</c:v>
                </c:pt>
                <c:pt idx="395">
                  <c:v>-61.008474273137338</c:v>
                </c:pt>
                <c:pt idx="396">
                  <c:v>-61.099051313589456</c:v>
                </c:pt>
                <c:pt idx="397">
                  <c:v>-61.189148919120868</c:v>
                </c:pt>
                <c:pt idx="398">
                  <c:v>-61.27877204028897</c:v>
                </c:pt>
                <c:pt idx="399">
                  <c:v>-61.367925550908126</c:v>
                </c:pt>
                <c:pt idx="400">
                  <c:v>-61.456614249628558</c:v>
                </c:pt>
                <c:pt idx="401">
                  <c:v>-61.544842861474777</c:v>
                </c:pt>
                <c:pt idx="402">
                  <c:v>-61.63261603934486</c:v>
                </c:pt>
                <c:pt idx="403">
                  <c:v>-61.719938365471776</c:v>
                </c:pt>
                <c:pt idx="404">
                  <c:v>-61.806814352847901</c:v>
                </c:pt>
                <c:pt idx="405">
                  <c:v>-61.893248446613775</c:v>
                </c:pt>
                <c:pt idx="406">
                  <c:v>-61.979245025412261</c:v>
                </c:pt>
                <c:pt idx="407">
                  <c:v>-62.064808402709055</c:v>
                </c:pt>
                <c:pt idx="408">
                  <c:v>-62.149942828080604</c:v>
                </c:pt>
                <c:pt idx="409">
                  <c:v>-62.234652488470402</c:v>
                </c:pt>
                <c:pt idx="410">
                  <c:v>-62.318941509414415</c:v>
                </c:pt>
                <c:pt idx="411">
                  <c:v>-62.402813956236905</c:v>
                </c:pt>
                <c:pt idx="412">
                  <c:v>-62.486273835217105</c:v>
                </c:pt>
                <c:pt idx="413">
                  <c:v>-62.569325094727844</c:v>
                </c:pt>
                <c:pt idx="414">
                  <c:v>-62.651971626346857</c:v>
                </c:pt>
                <c:pt idx="415">
                  <c:v>-62.734217265941581</c:v>
                </c:pt>
                <c:pt idx="416">
                  <c:v>-62.816065794728104</c:v>
                </c:pt>
                <c:pt idx="417">
                  <c:v>-62.897520940305185</c:v>
                </c:pt>
                <c:pt idx="418">
                  <c:v>-62.978586377663817</c:v>
                </c:pt>
                <c:pt idx="419">
                  <c:v>-63.059265730173237</c:v>
                </c:pt>
                <c:pt idx="420">
                  <c:v>-63.139562570543873</c:v>
                </c:pt>
                <c:pt idx="421">
                  <c:v>-63.219480421768026</c:v>
                </c:pt>
                <c:pt idx="422">
                  <c:v>-63.299022758038689</c:v>
                </c:pt>
                <c:pt idx="423">
                  <c:v>-63.37819300564739</c:v>
                </c:pt>
                <c:pt idx="424">
                  <c:v>-63.456994543861384</c:v>
                </c:pt>
                <c:pt idx="425">
                  <c:v>-63.535430705780854</c:v>
                </c:pt>
                <c:pt idx="426">
                  <c:v>-63.613504779176786</c:v>
                </c:pt>
                <c:pt idx="427">
                  <c:v>-63.691220007309717</c:v>
                </c:pt>
                <c:pt idx="428">
                  <c:v>-63.768579589730322</c:v>
                </c:pt>
                <c:pt idx="429">
                  <c:v>-63.845586683061875</c:v>
                </c:pt>
                <c:pt idx="430">
                  <c:v>-63.922244401765397</c:v>
                </c:pt>
                <c:pt idx="431">
                  <c:v>-63.998555818887837</c:v>
                </c:pt>
                <c:pt idx="432">
                  <c:v>-64.074523966793635</c:v>
                </c:pt>
                <c:pt idx="433">
                  <c:v>-64.150151837880344</c:v>
                </c:pt>
                <c:pt idx="434">
                  <c:v>-64.225442385278427</c:v>
                </c:pt>
                <c:pt idx="435">
                  <c:v>-64.300398523535975</c:v>
                </c:pt>
                <c:pt idx="436">
                  <c:v>-64.375023129288394</c:v>
                </c:pt>
                <c:pt idx="437">
                  <c:v>-64.449319041913768</c:v>
                </c:pt>
                <c:pt idx="438">
                  <c:v>-64.523289064174094</c:v>
                </c:pt>
                <c:pt idx="439">
                  <c:v>-64.596935962842693</c:v>
                </c:pt>
                <c:pt idx="440">
                  <c:v>-64.670262469318303</c:v>
                </c:pt>
                <c:pt idx="441">
                  <c:v>-64.74327128022621</c:v>
                </c:pt>
                <c:pt idx="442">
                  <c:v>-64.815965058006498</c:v>
                </c:pt>
                <c:pt idx="443">
                  <c:v>-64.888346431490035</c:v>
                </c:pt>
                <c:pt idx="444">
                  <c:v>-64.960417996462411</c:v>
                </c:pt>
                <c:pt idx="445">
                  <c:v>-65.032182316215895</c:v>
                </c:pt>
                <c:pt idx="446">
                  <c:v>-65.103641922090191</c:v>
                </c:pt>
                <c:pt idx="447">
                  <c:v>-65.174799314001788</c:v>
                </c:pt>
                <c:pt idx="448">
                  <c:v>-65.245656960962492</c:v>
                </c:pt>
                <c:pt idx="449">
                  <c:v>-65.316217301587272</c:v>
                </c:pt>
                <c:pt idx="450">
                  <c:v>-65.386482744591689</c:v>
                </c:pt>
                <c:pt idx="451">
                  <c:v>-65.456455669279322</c:v>
                </c:pt>
                <c:pt idx="452">
                  <c:v>-65.526138426019088</c:v>
                </c:pt>
                <c:pt idx="453">
                  <c:v>-65.595533336713174</c:v>
                </c:pt>
                <c:pt idx="454">
                  <c:v>-65.66464269525531</c:v>
                </c:pt>
                <c:pt idx="455">
                  <c:v>-65.73346876798</c:v>
                </c:pt>
                <c:pt idx="456">
                  <c:v>-65.802013794102763</c:v>
                </c:pt>
                <c:pt idx="457">
                  <c:v>-65.870279986151616</c:v>
                </c:pt>
                <c:pt idx="458">
                  <c:v>-65.938269530389931</c:v>
                </c:pt>
                <c:pt idx="459">
                  <c:v>-66.005984587231112</c:v>
                </c:pt>
                <c:pt idx="460">
                  <c:v>-66.073427291644933</c:v>
                </c:pt>
                <c:pt idx="461">
                  <c:v>-66.140599753556103</c:v>
                </c:pt>
                <c:pt idx="462">
                  <c:v>-66.207504058234946</c:v>
                </c:pt>
                <c:pt idx="463">
                  <c:v>-66.274142266680485</c:v>
                </c:pt>
                <c:pt idx="464">
                  <c:v>-66.340516415996177</c:v>
                </c:pt>
                <c:pt idx="465">
                  <c:v>-66.406628519758442</c:v>
                </c:pt>
                <c:pt idx="466">
                  <c:v>-66.472480568377946</c:v>
                </c:pt>
                <c:pt idx="467">
                  <c:v>-66.538074529454178</c:v>
                </c:pt>
                <c:pt idx="468">
                  <c:v>-66.603412348123129</c:v>
                </c:pt>
                <c:pt idx="469">
                  <c:v>-66.668495947398441</c:v>
                </c:pt>
                <c:pt idx="470">
                  <c:v>-66.73332722850607</c:v>
                </c:pt>
                <c:pt idx="471">
                  <c:v>-66.797908071212689</c:v>
                </c:pt>
                <c:pt idx="472">
                  <c:v>-66.862240334147884</c:v>
                </c:pt>
                <c:pt idx="473">
                  <c:v>-66.926325855120325</c:v>
                </c:pt>
                <c:pt idx="474">
                  <c:v>-66.990166451428109</c:v>
                </c:pt>
                <c:pt idx="475">
                  <c:v>-67.053763920163263</c:v>
                </c:pt>
                <c:pt idx="476">
                  <c:v>-67.117120038510691</c:v>
                </c:pt>
                <c:pt idx="477">
                  <c:v>-67.180236564041522</c:v>
                </c:pt>
                <c:pt idx="478">
                  <c:v>-67.243115235001184</c:v>
                </c:pt>
                <c:pt idx="479">
                  <c:v>-67.30575777059218</c:v>
                </c:pt>
                <c:pt idx="480">
                  <c:v>-67.368165871251563</c:v>
                </c:pt>
                <c:pt idx="481">
                  <c:v>-67.430341218923658</c:v>
                </c:pt>
                <c:pt idx="482">
                  <c:v>-67.492285477327584</c:v>
                </c:pt>
                <c:pt idx="483">
                  <c:v>-67.554000292220138</c:v>
                </c:pt>
                <c:pt idx="484">
                  <c:v>-67.615487291653793</c:v>
                </c:pt>
                <c:pt idx="485">
                  <c:v>-67.676748086230276</c:v>
                </c:pt>
                <c:pt idx="486">
                  <c:v>-67.737784269349447</c:v>
                </c:pt>
                <c:pt idx="487">
                  <c:v>-67.798597417453863</c:v>
                </c:pt>
                <c:pt idx="488">
                  <c:v>-67.859189090268956</c:v>
                </c:pt>
                <c:pt idx="489">
                  <c:v>-67.919560831039036</c:v>
                </c:pt>
                <c:pt idx="490">
                  <c:v>-67.979714166759024</c:v>
                </c:pt>
                <c:pt idx="491">
                  <c:v>-68.039650608402326</c:v>
                </c:pt>
                <c:pt idx="492">
                  <c:v>-68.099371651144523</c:v>
                </c:pt>
                <c:pt idx="493">
                  <c:v>-68.158878774583286</c:v>
                </c:pt>
                <c:pt idx="494">
                  <c:v>-68.218173442954438</c:v>
                </c:pt>
                <c:pt idx="495">
                  <c:v>-68.277257105344333</c:v>
                </c:pt>
                <c:pt idx="496">
                  <c:v>-68.336131195898503</c:v>
                </c:pt>
                <c:pt idx="497">
                  <c:v>-68.394797134026774</c:v>
                </c:pt>
                <c:pt idx="498">
                  <c:v>-68.45325632460488</c:v>
                </c:pt>
                <c:pt idx="499">
                  <c:v>-68.511510158172626</c:v>
                </c:pt>
                <c:pt idx="500">
                  <c:v>-68.569560011128658</c:v>
                </c:pt>
                <c:pt idx="501">
                  <c:v>-68.627407245922015</c:v>
                </c:pt>
                <c:pt idx="502">
                  <c:v>-68.68505321124033</c:v>
                </c:pt>
                <c:pt idx="503">
                  <c:v>-68.742499242195038</c:v>
                </c:pt>
                <c:pt idx="504">
                  <c:v>-68.79974666050326</c:v>
                </c:pt>
                <c:pt idx="505">
                  <c:v>-68.85679677466689</c:v>
                </c:pt>
                <c:pt idx="506">
                  <c:v>-68.913650880148495</c:v>
                </c:pt>
                <c:pt idx="507">
                  <c:v>-68.970310259544434</c:v>
                </c:pt>
                <c:pt idx="508">
                  <c:v>-69.026776182755029</c:v>
                </c:pt>
                <c:pt idx="509">
                  <c:v>-69.083049907152002</c:v>
                </c:pt>
                <c:pt idx="510">
                  <c:v>-69.13913267774312</c:v>
                </c:pt>
                <c:pt idx="511">
                  <c:v>-69.195025727334126</c:v>
                </c:pt>
                <c:pt idx="512">
                  <c:v>-69.250730276688074</c:v>
                </c:pt>
                <c:pt idx="513">
                  <c:v>-69.306247534682072</c:v>
                </c:pt>
                <c:pt idx="514">
                  <c:v>-69.361578698461472</c:v>
                </c:pt>
                <c:pt idx="515">
                  <c:v>-69.416724953591469</c:v>
                </c:pt>
                <c:pt idx="516">
                  <c:v>-69.47168747420649</c:v>
                </c:pt>
                <c:pt idx="517">
                  <c:v>-69.526467423156916</c:v>
                </c:pt>
                <c:pt idx="518">
                  <c:v>-69.581065952153708</c:v>
                </c:pt>
                <c:pt idx="519">
                  <c:v>-69.635484201910472</c:v>
                </c:pt>
                <c:pt idx="520">
                  <c:v>-69.689723302283525</c:v>
                </c:pt>
                <c:pt idx="521">
                  <c:v>-69.743784372409522</c:v>
                </c:pt>
                <c:pt idx="522">
                  <c:v>-69.797668520841043</c:v>
                </c:pt>
                <c:pt idx="523">
                  <c:v>-69.851376845679951</c:v>
                </c:pt>
                <c:pt idx="524">
                  <c:v>-69.904910434708782</c:v>
                </c:pt>
                <c:pt idx="525">
                  <c:v>-69.958270365519923</c:v>
                </c:pt>
                <c:pt idx="526">
                  <c:v>-70.011457705642897</c:v>
                </c:pt>
                <c:pt idx="527">
                  <c:v>-70.064473512669622</c:v>
                </c:pt>
                <c:pt idx="528">
                  <c:v>-70.117318834377713</c:v>
                </c:pt>
                <c:pt idx="529">
                  <c:v>-70.169994708851874</c:v>
                </c:pt>
                <c:pt idx="530">
                  <c:v>-70.222502164603497</c:v>
                </c:pt>
                <c:pt idx="531">
                  <c:v>-70.274842220688328</c:v>
                </c:pt>
                <c:pt idx="532">
                  <c:v>-70.327015886822323</c:v>
                </c:pt>
                <c:pt idx="533">
                  <c:v>-70.379024163495885</c:v>
                </c:pt>
                <c:pt idx="534">
                  <c:v>-70.430868042086161</c:v>
                </c:pt>
                <c:pt idx="535">
                  <c:v>-70.482548504967781</c:v>
                </c:pt>
                <c:pt idx="536">
                  <c:v>-70.534066525621853</c:v>
                </c:pt>
                <c:pt idx="537">
                  <c:v>-70.58542306874331</c:v>
                </c:pt>
                <c:pt idx="538">
                  <c:v>-70.636619090346699</c:v>
                </c:pt>
                <c:pt idx="539">
                  <c:v>-70.687655537870342</c:v>
                </c:pt>
                <c:pt idx="540">
                  <c:v>-70.738533350278928</c:v>
                </c:pt>
                <c:pt idx="541">
                  <c:v>-70.789253458164595</c:v>
                </c:pt>
                <c:pt idx="542">
                  <c:v>-70.839816783846487</c:v>
                </c:pt>
                <c:pt idx="543">
                  <c:v>-70.890224241468928</c:v>
                </c:pt>
                <c:pt idx="544">
                  <c:v>-70.940476737097981</c:v>
                </c:pt>
                <c:pt idx="545">
                  <c:v>-70.990575168816733</c:v>
                </c:pt>
                <c:pt idx="546">
                  <c:v>-71.040520426819143</c:v>
                </c:pt>
                <c:pt idx="547">
                  <c:v>-71.090313393502413</c:v>
                </c:pt>
                <c:pt idx="548">
                  <c:v>-71.139954943558195</c:v>
                </c:pt>
                <c:pt idx="549">
                  <c:v>-71.189445944062271</c:v>
                </c:pt>
                <c:pt idx="550">
                  <c:v>-71.238787254563121</c:v>
                </c:pt>
                <c:pt idx="551">
                  <c:v>-71.287979727169059</c:v>
                </c:pt>
                <c:pt idx="552">
                  <c:v>-71.337024206634155</c:v>
                </c:pt>
                <c:pt idx="553">
                  <c:v>-71.385921530443014</c:v>
                </c:pt>
                <c:pt idx="554">
                  <c:v>-71.434672528894183</c:v>
                </c:pt>
                <c:pt idx="555">
                  <c:v>-71.483278025182443</c:v>
                </c:pt>
                <c:pt idx="556">
                  <c:v>-71.531738835479999</c:v>
                </c:pt>
                <c:pt idx="557">
                  <c:v>-71.580055769016326</c:v>
                </c:pt>
                <c:pt idx="558">
                  <c:v>-71.628229628157115</c:v>
                </c:pt>
                <c:pt idx="559">
                  <c:v>-71.676261208481861</c:v>
                </c:pt>
                <c:pt idx="560">
                  <c:v>-71.724151298860605</c:v>
                </c:pt>
                <c:pt idx="561">
                  <c:v>-71.77190068152936</c:v>
                </c:pt>
                <c:pt idx="562">
                  <c:v>-71.819510132164652</c:v>
                </c:pt>
                <c:pt idx="563">
                  <c:v>-71.866980419956931</c:v>
                </c:pt>
                <c:pt idx="564">
                  <c:v>-71.914312307683005</c:v>
                </c:pt>
                <c:pt idx="565">
                  <c:v>-71.961506551777404</c:v>
                </c:pt>
                <c:pt idx="566">
                  <c:v>-72.008563902402813</c:v>
                </c:pt>
                <c:pt idx="567">
                  <c:v>-72.055485103519501</c:v>
                </c:pt>
                <c:pt idx="568">
                  <c:v>-72.102270892953854</c:v>
                </c:pt>
                <c:pt idx="569">
                  <c:v>-72.148922002465795</c:v>
                </c:pt>
                <c:pt idx="570">
                  <c:v>-72.195439157815557</c:v>
                </c:pt>
                <c:pt idx="571">
                  <c:v>-72.241823078829185</c:v>
                </c:pt>
                <c:pt idx="572">
                  <c:v>-72.288074479463546</c:v>
                </c:pt>
                <c:pt idx="573">
                  <c:v>-72.334194067870101</c:v>
                </c:pt>
                <c:pt idx="574">
                  <c:v>-72.380182546458002</c:v>
                </c:pt>
                <c:pt idx="575">
                  <c:v>-72.426040611956324</c:v>
                </c:pt>
                <c:pt idx="576">
                  <c:v>-72.471768955475369</c:v>
                </c:pt>
                <c:pt idx="577">
                  <c:v>-72.517368262567246</c:v>
                </c:pt>
                <c:pt idx="578">
                  <c:v>-72.562839213285585</c:v>
                </c:pt>
                <c:pt idx="579">
                  <c:v>-72.608182482244402</c:v>
                </c:pt>
                <c:pt idx="580">
                  <c:v>-72.65339873867633</c:v>
                </c:pt>
                <c:pt idx="581">
                  <c:v>-72.69848864648992</c:v>
                </c:pt>
                <c:pt idx="582">
                  <c:v>-72.743452864326201</c:v>
                </c:pt>
                <c:pt idx="583">
                  <c:v>-72.788292045614625</c:v>
                </c:pt>
                <c:pt idx="584">
                  <c:v>-72.833006838628108</c:v>
                </c:pt>
                <c:pt idx="585">
                  <c:v>-72.87759788653743</c:v>
                </c:pt>
                <c:pt idx="586">
                  <c:v>-72.922065827464891</c:v>
                </c:pt>
                <c:pt idx="587">
                  <c:v>-72.966411294537309</c:v>
                </c:pt>
                <c:pt idx="588">
                  <c:v>-73.010634915938283</c:v>
                </c:pt>
                <c:pt idx="589">
                  <c:v>-73.054737314959723</c:v>
                </c:pt>
                <c:pt idx="590">
                  <c:v>-73.098719110052883</c:v>
                </c:pt>
                <c:pt idx="591">
                  <c:v>-73.142580914878522</c:v>
                </c:pt>
                <c:pt idx="592">
                  <c:v>-73.18632333835653</c:v>
                </c:pt>
                <c:pt idx="593">
                  <c:v>-73.229946984714957</c:v>
                </c:pt>
                <c:pt idx="594">
                  <c:v>-73.273452453538297</c:v>
                </c:pt>
                <c:pt idx="595">
                  <c:v>-73.316840339815187</c:v>
                </c:pt>
                <c:pt idx="596">
                  <c:v>-73.360111233985549</c:v>
                </c:pt>
                <c:pt idx="597">
                  <c:v>-73.403265721987111</c:v>
                </c:pt>
                <c:pt idx="598">
                  <c:v>-73.446304385301246</c:v>
                </c:pt>
                <c:pt idx="599">
                  <c:v>-73.489227800998393</c:v>
                </c:pt>
                <c:pt idx="600">
                  <c:v>-73.532036541782745</c:v>
                </c:pt>
                <c:pt idx="601">
                  <c:v>-73.574731176036437</c:v>
                </c:pt>
                <c:pt idx="602">
                  <c:v>-73.617312267863184</c:v>
                </c:pt>
                <c:pt idx="603">
                  <c:v>-73.659780377131412</c:v>
                </c:pt>
                <c:pt idx="604">
                  <c:v>-73.702136059516718</c:v>
                </c:pt>
                <c:pt idx="605">
                  <c:v>-73.744379866543909</c:v>
                </c:pt>
                <c:pt idx="606">
                  <c:v>-75.725021458368246</c:v>
                </c:pt>
                <c:pt idx="607">
                  <c:v>-77.483300880004421</c:v>
                </c:pt>
                <c:pt idx="608">
                  <c:v>-79.060766773771689</c:v>
                </c:pt>
                <c:pt idx="609">
                  <c:v>-80.488199409004636</c:v>
                </c:pt>
                <c:pt idx="610">
                  <c:v>-81.789067971590939</c:v>
                </c:pt>
                <c:pt idx="611">
                  <c:v>-82.981701482431845</c:v>
                </c:pt>
                <c:pt idx="612">
                  <c:v>-84.080707749704573</c:v>
                </c:pt>
                <c:pt idx="613">
                  <c:v>-85.09793252333526</c:v>
                </c:pt>
                <c:pt idx="614">
                  <c:v>-86.043126672672386</c:v>
                </c:pt>
                <c:pt idx="615">
                  <c:v>-86.924421887223971</c:v>
                </c:pt>
                <c:pt idx="616">
                  <c:v>-87.74867727041547</c:v>
                </c:pt>
                <c:pt idx="617">
                  <c:v>-88.521736745963565</c:v>
                </c:pt>
                <c:pt idx="618">
                  <c:v>-88.817774824316359</c:v>
                </c:pt>
                <c:pt idx="619">
                  <c:v>-89.106722452072361</c:v>
                </c:pt>
                <c:pt idx="620">
                  <c:v>-89.388853525112665</c:v>
                </c:pt>
                <c:pt idx="621">
                  <c:v>-89.664427274327366</c:v>
                </c:pt>
                <c:pt idx="622">
                  <c:v>-89.933689306728326</c:v>
                </c:pt>
                <c:pt idx="623">
                  <c:v>-90.196872553340029</c:v>
                </c:pt>
                <c:pt idx="624">
                  <c:v>-90.454198133834979</c:v>
                </c:pt>
                <c:pt idx="625">
                  <c:v>-90.705876146659591</c:v>
                </c:pt>
                <c:pt idx="626">
                  <c:v>-90.952106392341378</c:v>
                </c:pt>
                <c:pt idx="627">
                  <c:v>-91.193079036758334</c:v>
                </c:pt>
                <c:pt idx="628">
                  <c:v>-91.428975220359206</c:v>
                </c:pt>
                <c:pt idx="629">
                  <c:v>-91.659967618636159</c:v>
                </c:pt>
                <c:pt idx="630">
                  <c:v>-91.886220958552926</c:v>
                </c:pt>
                <c:pt idx="631">
                  <c:v>-92.107892495107052</c:v>
                </c:pt>
                <c:pt idx="632">
                  <c:v>-92.325132451747848</c:v>
                </c:pt>
                <c:pt idx="633">
                  <c:v>-92.538084427969025</c:v>
                </c:pt>
                <c:pt idx="634">
                  <c:v>-92.746885777042806</c:v>
                </c:pt>
                <c:pt idx="635">
                  <c:v>-92.951667956550438</c:v>
                </c:pt>
                <c:pt idx="636">
                  <c:v>-93.152556854090491</c:v>
                </c:pt>
                <c:pt idx="637">
                  <c:v>-93.349673090303213</c:v>
                </c:pt>
                <c:pt idx="638">
                  <c:v>-93.543132301135159</c:v>
                </c:pt>
                <c:pt idx="639">
                  <c:v>-93.733045401077248</c:v>
                </c:pt>
                <c:pt idx="640">
                  <c:v>-93.91951882894071</c:v>
                </c:pt>
                <c:pt idx="641">
                  <c:v>-94.102654777584704</c:v>
                </c:pt>
                <c:pt idx="642">
                  <c:v>-94.282551408874809</c:v>
                </c:pt>
                <c:pt idx="643">
                  <c:v>-94.459303055032819</c:v>
                </c:pt>
                <c:pt idx="644">
                  <c:v>-94.633000407429677</c:v>
                </c:pt>
                <c:pt idx="645">
                  <c:v>-94.803730693779102</c:v>
                </c:pt>
                <c:pt idx="646">
                  <c:v>-94.971577844602223</c:v>
                </c:pt>
                <c:pt idx="647">
                  <c:v>-95.136622649757214</c:v>
                </c:pt>
                <c:pt idx="648">
                  <c:v>-95.298942905757826</c:v>
                </c:pt>
                <c:pt idx="649">
                  <c:v>-95.458613554542922</c:v>
                </c:pt>
                <c:pt idx="650">
                  <c:v>-95.615706814302129</c:v>
                </c:pt>
                <c:pt idx="651">
                  <c:v>-95.770292302912466</c:v>
                </c:pt>
                <c:pt idx="652">
                  <c:v>-95.922437154494219</c:v>
                </c:pt>
                <c:pt idx="653">
                  <c:v>-96.072206129553422</c:v>
                </c:pt>
                <c:pt idx="654">
                  <c:v>-96.219661719139935</c:v>
                </c:pt>
                <c:pt idx="655">
                  <c:v>-96.36486424341669</c:v>
                </c:pt>
                <c:pt idx="656">
                  <c:v>-96.5078719450036</c:v>
                </c:pt>
                <c:pt idx="657">
                  <c:v>-96.648741077432419</c:v>
                </c:pt>
                <c:pt idx="658">
                  <c:v>-96.787525989022498</c:v>
                </c:pt>
                <c:pt idx="659">
                  <c:v>-96.924279202464163</c:v>
                </c:pt>
                <c:pt idx="660">
                  <c:v>-97.059051490374884</c:v>
                </c:pt>
                <c:pt idx="661">
                  <c:v>-97.191891947074112</c:v>
                </c:pt>
                <c:pt idx="662">
                  <c:v>-97.322848056804631</c:v>
                </c:pt>
                <c:pt idx="663">
                  <c:v>-97.451965758611934</c:v>
                </c:pt>
                <c:pt idx="664">
                  <c:v>-97.579289508078205</c:v>
                </c:pt>
                <c:pt idx="665">
                  <c:v>-97.70486233609347</c:v>
                </c:pt>
                <c:pt idx="666">
                  <c:v>-97.828725904834499</c:v>
                </c:pt>
                <c:pt idx="667">
                  <c:v>-97.950920561109371</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-1.5950753369443043E-3</c:v>
                </c:pt>
                <c:pt idx="1">
                  <c:v>-3.1901508519544554E-3</c:v>
                </c:pt>
                <c:pt idx="2">
                  <c:v>-4.7852267230963667E-3</c:v>
                </c:pt>
                <c:pt idx="3">
                  <c:v>-6.3803031284360781E-3</c:v>
                </c:pt>
                <c:pt idx="4">
                  <c:v>-7.9753802460398298E-3</c:v>
                </c:pt>
                <c:pt idx="5">
                  <c:v>-9.5704582539741165E-3</c:v>
                </c:pt>
                <c:pt idx="6">
                  <c:v>-1.1165537330305767E-2</c:v>
                </c:pt>
                <c:pt idx="7">
                  <c:v>-1.2760617653101984E-2</c:v>
                </c:pt>
                <c:pt idx="8">
                  <c:v>-1.4355699400430444E-2</c:v>
                </c:pt>
                <c:pt idx="9">
                  <c:v>-1.5950782750359334E-2</c:v>
                </c:pt>
                <c:pt idx="10">
                  <c:v>-3.1901743568175531E-2</c:v>
                </c:pt>
                <c:pt idx="11">
                  <c:v>-4.7853060527409508E-2</c:v>
                </c:pt>
                <c:pt idx="12">
                  <c:v>-6.380491171503061E-2</c:v>
                </c:pt>
                <c:pt idx="13">
                  <c:v>-7.9757475237522288E-2</c:v>
                </c:pt>
                <c:pt idx="14">
                  <c:v>-9.5710929227388913E-2</c:v>
                </c:pt>
                <c:pt idx="15">
                  <c:v>-0.11166545184966468</c:v>
                </c:pt>
                <c:pt idx="16">
                  <c:v>-0.12762122130842518</c:v>
                </c:pt>
                <c:pt idx="17">
                  <c:v>-0.14357841585330158</c:v>
                </c:pt>
                <c:pt idx="18">
                  <c:v>-0.15953721378599844</c:v>
                </c:pt>
                <c:pt idx="19">
                  <c:v>-0.31925265612208226</c:v>
                </c:pt>
                <c:pt idx="20">
                  <c:v>-0.47932520758480468</c:v>
                </c:pt>
                <c:pt idx="21">
                  <c:v>-0.63993505774566428</c:v>
                </c:pt>
                <c:pt idx="22">
                  <c:v>-0.80126437208691603</c:v>
                </c:pt>
                <c:pt idx="23">
                  <c:v>-0.96349797399790715</c:v>
                </c:pt>
                <c:pt idx="24">
                  <c:v>-1.1268240471799926</c:v>
                </c:pt>
                <c:pt idx="25">
                  <c:v>-1.2914348640537776</c:v>
                </c:pt>
                <c:pt idx="26">
                  <c:v>-1.4575275461041435</c:v>
                </c:pt>
                <c:pt idx="27">
                  <c:v>-1.62530486252305</c:v>
                </c:pt>
                <c:pt idx="28">
                  <c:v>-2.4970642703469577</c:v>
                </c:pt>
                <c:pt idx="29">
                  <c:v>-3.4462588758029096</c:v>
                </c:pt>
                <c:pt idx="30">
                  <c:v>-4.5110225511796473</c:v>
                </c:pt>
                <c:pt idx="31">
                  <c:v>-5.7435879096599249</c:v>
                </c:pt>
                <c:pt idx="32">
                  <c:v>-7.2199022209455848</c:v>
                </c:pt>
                <c:pt idx="33">
                  <c:v>-9.0571120254584336</c:v>
                </c:pt>
                <c:pt idx="34">
                  <c:v>-11.447748953162613</c:v>
                </c:pt>
                <c:pt idx="35">
                  <c:v>-14.732179467232568</c:v>
                </c:pt>
                <c:pt idx="36">
                  <c:v>-19.566773119693849</c:v>
                </c:pt>
                <c:pt idx="37">
                  <c:v>-27.351283135435029</c:v>
                </c:pt>
                <c:pt idx="38">
                  <c:v>-41.327421665725872</c:v>
                </c:pt>
                <c:pt idx="39">
                  <c:v>-67.830580637964914</c:v>
                </c:pt>
                <c:pt idx="40">
                  <c:v>-105.05745185851336</c:v>
                </c:pt>
                <c:pt idx="41">
                  <c:v>-132.05463915310136</c:v>
                </c:pt>
                <c:pt idx="42">
                  <c:v>-146.29865497414792</c:v>
                </c:pt>
                <c:pt idx="43">
                  <c:v>-154.17761205147912</c:v>
                </c:pt>
                <c:pt idx="44">
                  <c:v>-159.02330561916813</c:v>
                </c:pt>
                <c:pt idx="45">
                  <c:v>-162.27230282444046</c:v>
                </c:pt>
                <c:pt idx="46">
                  <c:v>-164.59523564083588</c:v>
                </c:pt>
                <c:pt idx="47">
                  <c:v>-166.33791406637246</c:v>
                </c:pt>
                <c:pt idx="48">
                  <c:v>-167.69442117438132</c:v>
                </c:pt>
                <c:pt idx="49">
                  <c:v>-168.78139717309043</c:v>
                </c:pt>
                <c:pt idx="50">
                  <c:v>-169.67291913281551</c:v>
                </c:pt>
                <c:pt idx="51">
                  <c:v>-170.41820174411123</c:v>
                </c:pt>
                <c:pt idx="52">
                  <c:v>-171.05118547116766</c:v>
                </c:pt>
                <c:pt idx="53">
                  <c:v>-171.59602236608907</c:v>
                </c:pt>
                <c:pt idx="54">
                  <c:v>-172.07036330484596</c:v>
                </c:pt>
                <c:pt idx="55">
                  <c:v>-172.48740705602734</c:v>
                </c:pt>
                <c:pt idx="56">
                  <c:v>-172.85722171279753</c:v>
                </c:pt>
                <c:pt idx="57">
                  <c:v>-173.18762243684716</c:v>
                </c:pt>
                <c:pt idx="58">
                  <c:v>-173.4847697924111</c:v>
                </c:pt>
                <c:pt idx="59">
                  <c:v>-173.75358705841742</c:v>
                </c:pt>
                <c:pt idx="60">
                  <c:v>-173.9980572735152</c:v>
                </c:pt>
                <c:pt idx="61">
                  <c:v>-174.22143856406146</c:v>
                </c:pt>
                <c:pt idx="62">
                  <c:v>-174.42642281823734</c:v>
                </c:pt>
                <c:pt idx="63">
                  <c:v>-174.61525436165434</c:v>
                </c:pt>
                <c:pt idx="64">
                  <c:v>-174.78981992384783</c:v>
                </c:pt>
                <c:pt idx="65">
                  <c:v>-174.95171768679785</c:v>
                </c:pt>
                <c:pt idx="66">
                  <c:v>-175.10231088137471</c:v>
                </c:pt>
                <c:pt idx="67">
                  <c:v>-175.24276982444684</c:v>
                </c:pt>
                <c:pt idx="68">
                  <c:v>-175.37410520761517</c:v>
                </c:pt>
                <c:pt idx="69">
                  <c:v>-175.49719469345874</c:v>
                </c:pt>
                <c:pt idx="70">
                  <c:v>-175.61280434078634</c:v>
                </c:pt>
                <c:pt idx="71">
                  <c:v>-175.72160599731924</c:v>
                </c:pt>
                <c:pt idx="72">
                  <c:v>-175.82419152034089</c:v>
                </c:pt>
                <c:pt idx="73">
                  <c:v>-175.92108448201267</c:v>
                </c:pt>
                <c:pt idx="74">
                  <c:v>-176.0127498649849</c:v>
                </c:pt>
                <c:pt idx="75">
                  <c:v>-176.09960214087667</c:v>
                </c:pt>
                <c:pt idx="76">
                  <c:v>-176.18201203881478</c:v>
                </c:pt>
                <c:pt idx="77">
                  <c:v>-176.26031224619484</c:v>
                </c:pt>
                <c:pt idx="78">
                  <c:v>-176.3348022338904</c:v>
                </c:pt>
                <c:pt idx="79">
                  <c:v>-176.40575235950496</c:v>
                </c:pt>
                <c:pt idx="80">
                  <c:v>-176.47340737215725</c:v>
                </c:pt>
                <c:pt idx="81">
                  <c:v>-176.53798941867157</c:v>
                </c:pt>
                <c:pt idx="82">
                  <c:v>-176.59970063239496</c:v>
                </c:pt>
                <c:pt idx="83">
                  <c:v>-176.65872537104715</c:v>
                </c:pt>
                <c:pt idx="84">
                  <c:v>-176.7152321581695</c:v>
                </c:pt>
                <c:pt idx="85">
                  <c:v>-176.76937537322669</c:v>
                </c:pt>
                <c:pt idx="86">
                  <c:v>-176.8212967277299</c:v>
                </c:pt>
                <c:pt idx="87">
                  <c:v>-176.87112655851379</c:v>
                </c:pt>
                <c:pt idx="88">
                  <c:v>-176.9189849642099</c:v>
                </c:pt>
                <c:pt idx="89">
                  <c:v>-176.96498280679037</c:v>
                </c:pt>
                <c:pt idx="90">
                  <c:v>-177.00922259662408</c:v>
                </c:pt>
                <c:pt idx="91">
                  <c:v>-177.05179927664969</c:v>
                </c:pt>
                <c:pt idx="92">
                  <c:v>-177.09280091891895</c:v>
                </c:pt>
                <c:pt idx="93">
                  <c:v>-177.13230934479981</c:v>
                </c:pt>
                <c:pt idx="94">
                  <c:v>-177.17040067849135</c:v>
                </c:pt>
                <c:pt idx="95">
                  <c:v>-177.20714584212618</c:v>
                </c:pt>
                <c:pt idx="96">
                  <c:v>-177.24261099957775</c:v>
                </c:pt>
                <c:pt idx="97">
                  <c:v>-177.27685795511042</c:v>
                </c:pt>
                <c:pt idx="98">
                  <c:v>-177.30994451218299</c:v>
                </c:pt>
                <c:pt idx="99">
                  <c:v>-177.34192479700837</c:v>
                </c:pt>
                <c:pt idx="100">
                  <c:v>-177.37284955087398</c:v>
                </c:pt>
                <c:pt idx="101">
                  <c:v>-177.40276639471136</c:v>
                </c:pt>
                <c:pt idx="102">
                  <c:v>-177.43172006896364</c:v>
                </c:pt>
                <c:pt idx="103">
                  <c:v>-177.4597526514213</c:v>
                </c:pt>
                <c:pt idx="104">
                  <c:v>-177.48690375536867</c:v>
                </c:pt>
                <c:pt idx="105">
                  <c:v>-177.51321071010329</c:v>
                </c:pt>
                <c:pt idx="106">
                  <c:v>-177.53870872564448</c:v>
                </c:pt>
                <c:pt idx="107">
                  <c:v>-177.56343104323614</c:v>
                </c:pt>
                <c:pt idx="108">
                  <c:v>-177.58740907306449</c:v>
                </c:pt>
                <c:pt idx="109">
                  <c:v>-177.61067252044947</c:v>
                </c:pt>
                <c:pt idx="110">
                  <c:v>-177.63324950162908</c:v>
                </c:pt>
                <c:pt idx="111">
                  <c:v>-177.6551666501326</c:v>
                </c:pt>
                <c:pt idx="112">
                  <c:v>-177.67644921462951</c:v>
                </c:pt>
                <c:pt idx="113">
                  <c:v>-177.69712114904758</c:v>
                </c:pt>
                <c:pt idx="114">
                  <c:v>-177.71720519566878</c:v>
                </c:pt>
                <c:pt idx="115">
                  <c:v>-177.73672296183895</c:v>
                </c:pt>
                <c:pt idx="116">
                  <c:v>-177.75569499085981</c:v>
                </c:pt>
                <c:pt idx="117">
                  <c:v>-177.77414082757736</c:v>
                </c:pt>
                <c:pt idx="118">
                  <c:v>-177.79207907912667</c:v>
                </c:pt>
                <c:pt idx="119">
                  <c:v>-177.80952747124854</c:v>
                </c:pt>
                <c:pt idx="120">
                  <c:v>-177.82650290055366</c:v>
                </c:pt>
                <c:pt idx="121">
                  <c:v>-177.84302148307299</c:v>
                </c:pt>
                <c:pt idx="122">
                  <c:v>-177.8590985994006</c:v>
                </c:pt>
                <c:pt idx="123">
                  <c:v>-177.87474893670799</c:v>
                </c:pt>
                <c:pt idx="124">
                  <c:v>-177.88998652788075</c:v>
                </c:pt>
                <c:pt idx="125">
                  <c:v>-177.904824788008</c:v>
                </c:pt>
                <c:pt idx="126">
                  <c:v>-177.91927654843167</c:v>
                </c:pt>
                <c:pt idx="127">
                  <c:v>-177.93335408854634</c:v>
                </c:pt>
                <c:pt idx="128">
                  <c:v>-177.94706916552181</c:v>
                </c:pt>
                <c:pt idx="129">
                  <c:v>-177.96043304210679</c:v>
                </c:pt>
                <c:pt idx="130">
                  <c:v>-177.97345651265741</c:v>
                </c:pt>
                <c:pt idx="131">
                  <c:v>-177.98614992752263</c:v>
                </c:pt>
                <c:pt idx="132">
                  <c:v>-177.99852321590731</c:v>
                </c:pt>
                <c:pt idx="133">
                  <c:v>-178.01058590732333</c:v>
                </c:pt>
                <c:pt idx="134">
                  <c:v>-178.02234715173023</c:v>
                </c:pt>
                <c:pt idx="135">
                  <c:v>-178.03381573845891</c:v>
                </c:pt>
                <c:pt idx="136">
                  <c:v>-178.04500011400361</c:v>
                </c:pt>
                <c:pt idx="137">
                  <c:v>-178.05590839876101</c:v>
                </c:pt>
                <c:pt idx="138">
                  <c:v>-178.06654840278901</c:v>
                </c:pt>
                <c:pt idx="139">
                  <c:v>-178.07692764065229</c:v>
                </c:pt>
                <c:pt idx="140">
                  <c:v>-178.08705334541571</c:v>
                </c:pt>
                <c:pt idx="141">
                  <c:v>-178.09693248184325</c:v>
                </c:pt>
                <c:pt idx="142">
                  <c:v>-178.10657175885379</c:v>
                </c:pt>
                <c:pt idx="143">
                  <c:v>-178.11597764128439</c:v>
                </c:pt>
                <c:pt idx="144">
                  <c:v>-178.12515636100372</c:v>
                </c:pt>
                <c:pt idx="145">
                  <c:v>-178.13411392741909</c:v>
                </c:pt>
                <c:pt idx="146">
                  <c:v>-178.14285613741473</c:v>
                </c:pt>
                <c:pt idx="147">
                  <c:v>-178.1513885847576</c:v>
                </c:pt>
                <c:pt idx="148">
                  <c:v>-178.15971666900376</c:v>
                </c:pt>
                <c:pt idx="149">
                  <c:v>-178.16784560393634</c:v>
                </c:pt>
                <c:pt idx="150">
                  <c:v>-178.17578042556343</c:v>
                </c:pt>
                <c:pt idx="151">
                  <c:v>-178.18352599970314</c:v>
                </c:pt>
                <c:pt idx="152">
                  <c:v>-178.19108702918058</c:v>
                </c:pt>
                <c:pt idx="153">
                  <c:v>-178.1984680606592</c:v>
                </c:pt>
                <c:pt idx="154">
                  <c:v>-178.20567349112898</c:v>
                </c:pt>
                <c:pt idx="155">
                  <c:v>-178.21270757407149</c:v>
                </c:pt>
                <c:pt idx="156">
                  <c:v>-178.21957442531968</c:v>
                </c:pt>
                <c:pt idx="157">
                  <c:v>-178.22627802863107</c:v>
                </c:pt>
                <c:pt idx="158">
                  <c:v>-178.23282224099023</c:v>
                </c:pt>
                <c:pt idx="159">
                  <c:v>-178.23921079765549</c:v>
                </c:pt>
                <c:pt idx="160">
                  <c:v>-178.2454473169652</c:v>
                </c:pt>
                <c:pt idx="161">
                  <c:v>-178.25153530491585</c:v>
                </c:pt>
                <c:pt idx="162">
                  <c:v>-178.25747815952536</c:v>
                </c:pt>
                <c:pt idx="163">
                  <c:v>-178.26327917499307</c:v>
                </c:pt>
                <c:pt idx="164">
                  <c:v>-178.26894154566725</c:v>
                </c:pt>
                <c:pt idx="165">
                  <c:v>-178.27446836983117</c:v>
                </c:pt>
                <c:pt idx="166">
                  <c:v>-178.27986265331634</c:v>
                </c:pt>
                <c:pt idx="167">
                  <c:v>-178.28512731295339</c:v>
                </c:pt>
                <c:pt idx="168">
                  <c:v>-178.29026517986784</c:v>
                </c:pt>
                <c:pt idx="169">
                  <c:v>-178.29527900262971</c:v>
                </c:pt>
                <c:pt idx="170">
                  <c:v>-178.30017145026449</c:v>
                </c:pt>
                <c:pt idx="171">
                  <c:v>-178.30494511513186</c:v>
                </c:pt>
                <c:pt idx="172">
                  <c:v>-178.30960251568004</c:v>
                </c:pt>
                <c:pt idx="173">
                  <c:v>-178.31414609908092</c:v>
                </c:pt>
                <c:pt idx="174">
                  <c:v>-178.3185782437528</c:v>
                </c:pt>
                <c:pt idx="175">
                  <c:v>-178.32290126177588</c:v>
                </c:pt>
                <c:pt idx="176">
                  <c:v>-178.32711740120607</c:v>
                </c:pt>
                <c:pt idx="177">
                  <c:v>-178.33122884829186</c:v>
                </c:pt>
                <c:pt idx="178">
                  <c:v>-178.33523772959921</c:v>
                </c:pt>
                <c:pt idx="179">
                  <c:v>-178.3391461140487</c:v>
                </c:pt>
                <c:pt idx="180">
                  <c:v>-178.3429560148696</c:v>
                </c:pt>
                <c:pt idx="181">
                  <c:v>-178.34666939147388</c:v>
                </c:pt>
                <c:pt idx="182">
                  <c:v>-178.3502881512552</c:v>
                </c:pt>
                <c:pt idx="183">
                  <c:v>-178.35381415131539</c:v>
                </c:pt>
                <c:pt idx="184">
                  <c:v>-178.35724920012245</c:v>
                </c:pt>
                <c:pt idx="185">
                  <c:v>-178.36059505910274</c:v>
                </c:pt>
                <c:pt idx="186">
                  <c:v>-178.36385344417067</c:v>
                </c:pt>
                <c:pt idx="187">
                  <c:v>-178.36702602719907</c:v>
                </c:pt>
                <c:pt idx="188">
                  <c:v>-178.37011443743211</c:v>
                </c:pt>
                <c:pt idx="189">
                  <c:v>-178.37312026284428</c:v>
                </c:pt>
                <c:pt idx="190">
                  <c:v>-178.37604505144699</c:v>
                </c:pt>
                <c:pt idx="191">
                  <c:v>-178.37889031254596</c:v>
                </c:pt>
                <c:pt idx="192">
                  <c:v>-178.38165751795077</c:v>
                </c:pt>
                <c:pt idx="193">
                  <c:v>-178.38434810313953</c:v>
                </c:pt>
                <c:pt idx="194">
                  <c:v>-178.38696346837966</c:v>
                </c:pt>
                <c:pt idx="195">
                  <c:v>-178.38950497980755</c:v>
                </c:pt>
                <c:pt idx="196">
                  <c:v>-178.39197397046863</c:v>
                </c:pt>
                <c:pt idx="197">
                  <c:v>-178.39437174131876</c:v>
                </c:pt>
                <c:pt idx="198">
                  <c:v>-178.39669956219012</c:v>
                </c:pt>
                <c:pt idx="199">
                  <c:v>-178.39895867272179</c:v>
                </c:pt>
                <c:pt idx="200">
                  <c:v>-178.40115028325681</c:v>
                </c:pt>
                <c:pt idx="201">
                  <c:v>-178.40327557570765</c:v>
                </c:pt>
                <c:pt idx="202">
                  <c:v>-178.40533570439092</c:v>
                </c:pt>
                <c:pt idx="203">
                  <c:v>-178.40733179683252</c:v>
                </c:pt>
                <c:pt idx="204">
                  <c:v>-178.4092649545446</c:v>
                </c:pt>
                <c:pt idx="205">
                  <c:v>-178.41113625377594</c:v>
                </c:pt>
                <c:pt idx="206">
                  <c:v>-178.4129467462358</c:v>
                </c:pt>
                <c:pt idx="207">
                  <c:v>-178.41469745979308</c:v>
                </c:pt>
                <c:pt idx="208">
                  <c:v>-178.41638939915211</c:v>
                </c:pt>
                <c:pt idx="209">
                  <c:v>-178.4180235465044</c:v>
                </c:pt>
                <c:pt idx="210">
                  <c:v>-178.41960086215957</c:v>
                </c:pt>
                <c:pt idx="211">
                  <c:v>-178.42112228515424</c:v>
                </c:pt>
                <c:pt idx="212">
                  <c:v>-178.42258873384091</c:v>
                </c:pt>
                <c:pt idx="213">
                  <c:v>-178.42400110645741</c:v>
                </c:pt>
                <c:pt idx="214">
                  <c:v>-178.42536028167723</c:v>
                </c:pt>
                <c:pt idx="215">
                  <c:v>-178.42666711914217</c:v>
                </c:pt>
                <c:pt idx="216">
                  <c:v>-178.42792245997731</c:v>
                </c:pt>
                <c:pt idx="217">
                  <c:v>-178.42912712728932</c:v>
                </c:pt>
                <c:pt idx="218">
                  <c:v>-178.43028192664895</c:v>
                </c:pt>
                <c:pt idx="219">
                  <c:v>-178.43138764655757</c:v>
                </c:pt>
                <c:pt idx="220">
                  <c:v>-178.43244505889919</c:v>
                </c:pt>
                <c:pt idx="221">
                  <c:v>-178.43345491937808</c:v>
                </c:pt>
                <c:pt idx="222">
                  <c:v>-178.43441796794244</c:v>
                </c:pt>
                <c:pt idx="223">
                  <c:v>-178.43533492919491</c:v>
                </c:pt>
                <c:pt idx="224">
                  <c:v>-178.43620651278999</c:v>
                </c:pt>
                <c:pt idx="225">
                  <c:v>-178.43703341381948</c:v>
                </c:pt>
                <c:pt idx="226">
                  <c:v>-178.44298810520985</c:v>
                </c:pt>
                <c:pt idx="227">
                  <c:v>-178.44514403929665</c:v>
                </c:pt>
                <c:pt idx="228">
                  <c:v>-178.44400519592443</c:v>
                </c:pt>
                <c:pt idx="229">
                  <c:v>-178.43998991077089</c:v>
                </c:pt>
                <c:pt idx="230">
                  <c:v>-178.43344838010114</c:v>
                </c:pt>
                <c:pt idx="231">
                  <c:v>-178.42467602972113</c:v>
                </c:pt>
                <c:pt idx="232">
                  <c:v>-178.41392384756318</c:v>
                </c:pt>
                <c:pt idx="233">
                  <c:v>-178.40140645686122</c:v>
                </c:pt>
                <c:pt idx="234">
                  <c:v>-178.3873084872333</c:v>
                </c:pt>
                <c:pt idx="235">
                  <c:v>-178.37178964893894</c:v>
                </c:pt>
                <c:pt idx="236">
                  <c:v>-178.35498880873521</c:v>
                </c:pt>
                <c:pt idx="237">
                  <c:v>-178.33702728963726</c:v>
                </c:pt>
                <c:pt idx="238">
                  <c:v>-178.31801156197517</c:v>
                </c:pt>
                <c:pt idx="239">
                  <c:v>-178.29803545304691</c:v>
                </c:pt>
                <c:pt idx="240">
                  <c:v>-178.27718197308067</c:v>
                </c:pt>
                <c:pt idx="241">
                  <c:v>-178.25552483316068</c:v>
                </c:pt>
                <c:pt idx="242">
                  <c:v>-178.23312971416667</c:v>
                </c:pt>
                <c:pt idx="243">
                  <c:v>-178.21005533316927</c:v>
                </c:pt>
                <c:pt idx="244">
                  <c:v>-178.18635434406841</c:v>
                </c:pt>
                <c:pt idx="245">
                  <c:v>-178.16207410181002</c:v>
                </c:pt>
                <c:pt idx="246">
                  <c:v>-178.13725731372239</c:v>
                </c:pt>
                <c:pt idx="247">
                  <c:v>-178.11194259697865</c:v>
                </c:pt>
                <c:pt idx="248">
                  <c:v>-178.08616495761569</c:v>
                </c:pt>
                <c:pt idx="249">
                  <c:v>-178.05995620370479</c:v>
                </c:pt>
                <c:pt idx="250">
                  <c:v>-178.03334530300856</c:v>
                </c:pt>
                <c:pt idx="251">
                  <c:v>-178.00635869364345</c:v>
                </c:pt>
                <c:pt idx="252">
                  <c:v>-177.97902055480296</c:v>
                </c:pt>
                <c:pt idx="253">
                  <c:v>-177.95135304341292</c:v>
                </c:pt>
                <c:pt idx="254">
                  <c:v>-177.92337650162006</c:v>
                </c:pt>
                <c:pt idx="255">
                  <c:v>-177.89510963922811</c:v>
                </c:pt>
                <c:pt idx="256">
                  <c:v>-177.86656969454222</c:v>
                </c:pt>
                <c:pt idx="257">
                  <c:v>-177.83777257654856</c:v>
                </c:pt>
                <c:pt idx="258">
                  <c:v>-177.80873299090899</c:v>
                </c:pt>
                <c:pt idx="259">
                  <c:v>-177.77946455188223</c:v>
                </c:pt>
                <c:pt idx="260">
                  <c:v>-177.74997988197293</c:v>
                </c:pt>
                <c:pt idx="261">
                  <c:v>-177.72029070085182</c:v>
                </c:pt>
                <c:pt idx="262">
                  <c:v>-177.69040790487088</c:v>
                </c:pt>
                <c:pt idx="263">
                  <c:v>-177.66034163831532</c:v>
                </c:pt>
                <c:pt idx="264">
                  <c:v>-177.6301013573777</c:v>
                </c:pt>
                <c:pt idx="265">
                  <c:v>-177.59969588770684</c:v>
                </c:pt>
                <c:pt idx="266">
                  <c:v>-177.56913347627327</c:v>
                </c:pt>
                <c:pt idx="267">
                  <c:v>-177.53842183819481</c:v>
                </c:pt>
                <c:pt idx="268">
                  <c:v>-177.50756819908565</c:v>
                </c:pt>
                <c:pt idx="269">
                  <c:v>-177.4765793334204</c:v>
                </c:pt>
                <c:pt idx="270">
                  <c:v>-177.44546159934353</c:v>
                </c:pt>
                <c:pt idx="271">
                  <c:v>-177.41422097030366</c:v>
                </c:pt>
                <c:pt idx="272">
                  <c:v>-177.38286306384484</c:v>
                </c:pt>
                <c:pt idx="273">
                  <c:v>-177.35139316784921</c:v>
                </c:pt>
                <c:pt idx="274">
                  <c:v>-177.31981626449038</c:v>
                </c:pt>
                <c:pt idx="275">
                  <c:v>-177.28813705212707</c:v>
                </c:pt>
                <c:pt idx="276">
                  <c:v>-177.25635996534103</c:v>
                </c:pt>
                <c:pt idx="277">
                  <c:v>-177.22448919330031</c:v>
                </c:pt>
                <c:pt idx="278">
                  <c:v>-177.1925286966088</c:v>
                </c:pt>
                <c:pt idx="279">
                  <c:v>-177.16048222278553</c:v>
                </c:pt>
                <c:pt idx="280">
                  <c:v>-177.12835332050281</c:v>
                </c:pt>
                <c:pt idx="281">
                  <c:v>-177.09614535269679</c:v>
                </c:pt>
                <c:pt idx="282">
                  <c:v>-177.06386150865407</c:v>
                </c:pt>
                <c:pt idx="283">
                  <c:v>-177.03150481516619</c:v>
                </c:pt>
                <c:pt idx="284">
                  <c:v>-176.99907814683465</c:v>
                </c:pt>
                <c:pt idx="285">
                  <c:v>-176.96658423560172</c:v>
                </c:pt>
                <c:pt idx="286">
                  <c:v>-176.93402567957293</c:v>
                </c:pt>
                <c:pt idx="287">
                  <c:v>-176.9014049511932</c:v>
                </c:pt>
                <c:pt idx="288">
                  <c:v>-176.86872440483012</c:v>
                </c:pt>
                <c:pt idx="289">
                  <c:v>-176.83598628381458</c:v>
                </c:pt>
                <c:pt idx="290">
                  <c:v>-176.80319272698355</c:v>
                </c:pt>
                <c:pt idx="291">
                  <c:v>-176.77034577476496</c:v>
                </c:pt>
                <c:pt idx="292">
                  <c:v>-176.7374473748427</c:v>
                </c:pt>
                <c:pt idx="293">
                  <c:v>-176.70449938743405</c:v>
                </c:pt>
                <c:pt idx="294">
                  <c:v>-176.67150359021088</c:v>
                </c:pt>
                <c:pt idx="295">
                  <c:v>-176.63846168289231</c:v>
                </c:pt>
                <c:pt idx="296">
                  <c:v>-176.60537529153365</c:v>
                </c:pt>
                <c:pt idx="297">
                  <c:v>-176.57224597253537</c:v>
                </c:pt>
                <c:pt idx="298">
                  <c:v>-176.5390752163928</c:v>
                </c:pt>
                <c:pt idx="299">
                  <c:v>-176.50586445120624</c:v>
                </c:pt>
                <c:pt idx="300">
                  <c:v>-176.47261504596904</c:v>
                </c:pt>
                <c:pt idx="301">
                  <c:v>-176.43932831364938</c:v>
                </c:pt>
                <c:pt idx="302">
                  <c:v>-176.4060055140817</c:v>
                </c:pt>
                <c:pt idx="303">
                  <c:v>-176.37264785668046</c:v>
                </c:pt>
                <c:pt idx="304">
                  <c:v>-176.3392565029892</c:v>
                </c:pt>
                <c:pt idx="305">
                  <c:v>-176.3058325690767</c:v>
                </c:pt>
                <c:pt idx="306">
                  <c:v>-176.27237712779012</c:v>
                </c:pt>
                <c:pt idx="307">
                  <c:v>-176.23889121087578</c:v>
                </c:pt>
                <c:pt idx="308">
                  <c:v>-176.20537581097588</c:v>
                </c:pt>
                <c:pt idx="309">
                  <c:v>-176.17183188351041</c:v>
                </c:pt>
                <c:pt idx="310">
                  <c:v>-176.1382603484507</c:v>
                </c:pt>
                <c:pt idx="311">
                  <c:v>-176.10466209199279</c:v>
                </c:pt>
                <c:pt idx="312">
                  <c:v>-176.07103796813701</c:v>
                </c:pt>
                <c:pt idx="313">
                  <c:v>-176.0373888001792</c:v>
                </c:pt>
                <c:pt idx="314">
                  <c:v>-176.00371538212028</c:v>
                </c:pt>
                <c:pt idx="315">
                  <c:v>-175.97001847999815</c:v>
                </c:pt>
                <c:pt idx="316">
                  <c:v>-175.93629883314844</c:v>
                </c:pt>
                <c:pt idx="317">
                  <c:v>-175.90255715539675</c:v>
                </c:pt>
                <c:pt idx="318">
                  <c:v>-175.86879413618794</c:v>
                </c:pt>
                <c:pt idx="319">
                  <c:v>-175.83501044165578</c:v>
                </c:pt>
                <c:pt idx="320">
                  <c:v>-175.80120671563688</c:v>
                </c:pt>
                <c:pt idx="321">
                  <c:v>-175.76738358063196</c:v>
                </c:pt>
                <c:pt idx="322">
                  <c:v>-175.73354163871772</c:v>
                </c:pt>
                <c:pt idx="323">
                  <c:v>-175.69968147241246</c:v>
                </c:pt>
                <c:pt idx="324">
                  <c:v>-175.66580364549802</c:v>
                </c:pt>
                <c:pt idx="325">
                  <c:v>-175.63190870380015</c:v>
                </c:pt>
                <c:pt idx="326">
                  <c:v>-175.5979971759308</c:v>
                </c:pt>
                <c:pt idx="327">
                  <c:v>-175.56406957399335</c:v>
                </c:pt>
                <c:pt idx="328">
                  <c:v>-175.53012639425356</c:v>
                </c:pt>
                <c:pt idx="329">
                  <c:v>-175.49616811777801</c:v>
                </c:pt>
                <c:pt idx="330">
                  <c:v>-175.46219521104217</c:v>
                </c:pt>
                <c:pt idx="331">
                  <c:v>-175.42820812650868</c:v>
                </c:pt>
                <c:pt idx="332">
                  <c:v>-175.39420730317926</c:v>
                </c:pt>
                <c:pt idx="333">
                  <c:v>-175.36019316711995</c:v>
                </c:pt>
                <c:pt idx="334">
                  <c:v>-175.32616613196231</c:v>
                </c:pt>
                <c:pt idx="335">
                  <c:v>-175.29212659938133</c:v>
                </c:pt>
                <c:pt idx="336">
                  <c:v>-175.25807495955149</c:v>
                </c:pt>
                <c:pt idx="337">
                  <c:v>-175.2240115915819</c:v>
                </c:pt>
                <c:pt idx="338">
                  <c:v>-175.18993686393208</c:v>
                </c:pt>
                <c:pt idx="339">
                  <c:v>-175.15585113480861</c:v>
                </c:pt>
                <c:pt idx="340">
                  <c:v>-175.121754752545</c:v>
                </c:pt>
                <c:pt idx="341">
                  <c:v>-175.08764805596354</c:v>
                </c:pt>
                <c:pt idx="342">
                  <c:v>-175.05353137472261</c:v>
                </c:pt>
                <c:pt idx="343">
                  <c:v>-175.01940502964786</c:v>
                </c:pt>
                <c:pt idx="344">
                  <c:v>-174.98526933304962</c:v>
                </c:pt>
                <c:pt idx="345">
                  <c:v>-174.95112458902639</c:v>
                </c:pt>
                <c:pt idx="346">
                  <c:v>-174.91697109375579</c:v>
                </c:pt>
                <c:pt idx="347">
                  <c:v>-174.88280913577273</c:v>
                </c:pt>
                <c:pt idx="348">
                  <c:v>-174.84863899623613</c:v>
                </c:pt>
                <c:pt idx="349">
                  <c:v>-174.81446094918468</c:v>
                </c:pt>
                <c:pt idx="350">
                  <c:v>-174.78027526178175</c:v>
                </c:pt>
                <c:pt idx="351">
                  <c:v>-174.74608219455018</c:v>
                </c:pt>
                <c:pt idx="352">
                  <c:v>-174.71188200159781</c:v>
                </c:pt>
                <c:pt idx="353">
                  <c:v>-174.67767493083346</c:v>
                </c:pt>
                <c:pt idx="354">
                  <c:v>-174.64346122417453</c:v>
                </c:pt>
                <c:pt idx="355">
                  <c:v>-174.60924111774611</c:v>
                </c:pt>
                <c:pt idx="356">
                  <c:v>-174.57501484207211</c:v>
                </c:pt>
                <c:pt idx="357">
                  <c:v>-174.54078262225909</c:v>
                </c:pt>
                <c:pt idx="358">
                  <c:v>-174.50654467817259</c:v>
                </c:pt>
                <c:pt idx="359">
                  <c:v>-174.47230122460684</c:v>
                </c:pt>
                <c:pt idx="360">
                  <c:v>-174.43805247144752</c:v>
                </c:pt>
                <c:pt idx="361">
                  <c:v>-174.40379862382881</c:v>
                </c:pt>
                <c:pt idx="362">
                  <c:v>-174.36953988228385</c:v>
                </c:pt>
                <c:pt idx="363">
                  <c:v>-174.33527644288986</c:v>
                </c:pt>
                <c:pt idx="364">
                  <c:v>-174.30100849740765</c:v>
                </c:pt>
                <c:pt idx="365">
                  <c:v>-174.26673623341586</c:v>
                </c:pt>
                <c:pt idx="366">
                  <c:v>-174.23245983444031</c:v>
                </c:pt>
                <c:pt idx="367">
                  <c:v>-174.19817948007832</c:v>
                </c:pt>
                <c:pt idx="368">
                  <c:v>-174.16389534611881</c:v>
                </c:pt>
                <c:pt idx="369">
                  <c:v>-174.12960760465765</c:v>
                </c:pt>
                <c:pt idx="370">
                  <c:v>-174.09531642420893</c:v>
                </c:pt>
                <c:pt idx="371">
                  <c:v>-174.06102196981232</c:v>
                </c:pt>
                <c:pt idx="372">
                  <c:v>-174.02672440313648</c:v>
                </c:pt>
                <c:pt idx="373">
                  <c:v>-173.99242388257855</c:v>
                </c:pt>
                <c:pt idx="374">
                  <c:v>-173.95812056336067</c:v>
                </c:pt>
                <c:pt idx="375">
                  <c:v>-173.92381459762228</c:v>
                </c:pt>
                <c:pt idx="376">
                  <c:v>-173.88950613451013</c:v>
                </c:pt>
                <c:pt idx="377">
                  <c:v>-173.85519532026427</c:v>
                </c:pt>
                <c:pt idx="378">
                  <c:v>-173.82088229830154</c:v>
                </c:pt>
                <c:pt idx="379">
                  <c:v>-173.78656720929609</c:v>
                </c:pt>
                <c:pt idx="380">
                  <c:v>-173.7522501912571</c:v>
                </c:pt>
                <c:pt idx="381">
                  <c:v>-173.71793137960381</c:v>
                </c:pt>
                <c:pt idx="382">
                  <c:v>-173.68361090723815</c:v>
                </c:pt>
                <c:pt idx="383">
                  <c:v>-173.64928890461462</c:v>
                </c:pt>
                <c:pt idx="384">
                  <c:v>-173.61496549980825</c:v>
                </c:pt>
                <c:pt idx="385">
                  <c:v>-173.58064081857987</c:v>
                </c:pt>
                <c:pt idx="386">
                  <c:v>-173.54631498443945</c:v>
                </c:pt>
                <c:pt idx="387">
                  <c:v>-173.51198811870742</c:v>
                </c:pt>
                <c:pt idx="388">
                  <c:v>-173.47766034057369</c:v>
                </c:pt>
                <c:pt idx="389">
                  <c:v>-173.44333176715494</c:v>
                </c:pt>
                <c:pt idx="390">
                  <c:v>-173.40900251355001</c:v>
                </c:pt>
                <c:pt idx="391">
                  <c:v>-173.37467269289365</c:v>
                </c:pt>
                <c:pt idx="392">
                  <c:v>-173.34034241640808</c:v>
                </c:pt>
                <c:pt idx="393">
                  <c:v>-173.30601179345354</c:v>
                </c:pt>
                <c:pt idx="394">
                  <c:v>-173.27168093157678</c:v>
                </c:pt>
                <c:pt idx="395">
                  <c:v>-173.23734993655802</c:v>
                </c:pt>
                <c:pt idx="396">
                  <c:v>-173.20301891245671</c:v>
                </c:pt>
                <c:pt idx="397">
                  <c:v>-173.16868796165573</c:v>
                </c:pt>
                <c:pt idx="398">
                  <c:v>-173.13435718490396</c:v>
                </c:pt>
                <c:pt idx="399">
                  <c:v>-173.10002668135789</c:v>
                </c:pt>
                <c:pt idx="400">
                  <c:v>-173.06569654862199</c:v>
                </c:pt>
                <c:pt idx="401">
                  <c:v>-173.03136688278727</c:v>
                </c:pt>
                <c:pt idx="402">
                  <c:v>-172.99703777846932</c:v>
                </c:pt>
                <c:pt idx="403">
                  <c:v>-172.96270932884494</c:v>
                </c:pt>
                <c:pt idx="404">
                  <c:v>-172.92838162568742</c:v>
                </c:pt>
                <c:pt idx="405">
                  <c:v>-172.89405475940131</c:v>
                </c:pt>
                <c:pt idx="406">
                  <c:v>-172.85972881905548</c:v>
                </c:pt>
                <c:pt idx="407">
                  <c:v>-172.82540389241578</c:v>
                </c:pt>
                <c:pt idx="408">
                  <c:v>-172.79108006597639</c:v>
                </c:pt>
                <c:pt idx="409">
                  <c:v>-172.75675742499055</c:v>
                </c:pt>
                <c:pt idx="410">
                  <c:v>-172.72243605349976</c:v>
                </c:pt>
                <c:pt idx="411">
                  <c:v>-172.68811603436291</c:v>
                </c:pt>
                <c:pt idx="412">
                  <c:v>-172.6537974492841</c:v>
                </c:pt>
                <c:pt idx="413">
                  <c:v>-172.61948037883977</c:v>
                </c:pt>
                <c:pt idx="414">
                  <c:v>-172.58516490250497</c:v>
                </c:pt>
                <c:pt idx="415">
                  <c:v>-172.55085109867912</c:v>
                </c:pt>
                <c:pt idx="416">
                  <c:v>-172.51653904471053</c:v>
                </c:pt>
                <c:pt idx="417">
                  <c:v>-172.48222881692092</c:v>
                </c:pt>
                <c:pt idx="418">
                  <c:v>-172.44792049062869</c:v>
                </c:pt>
                <c:pt idx="419">
                  <c:v>-172.41361414017166</c:v>
                </c:pt>
                <c:pt idx="420">
                  <c:v>-172.37930983892946</c:v>
                </c:pt>
                <c:pt idx="421">
                  <c:v>-172.34500765934484</c:v>
                </c:pt>
                <c:pt idx="422">
                  <c:v>-172.31070767294472</c:v>
                </c:pt>
                <c:pt idx="423">
                  <c:v>-172.2764099503606</c:v>
                </c:pt>
                <c:pt idx="424">
                  <c:v>-172.24211456134833</c:v>
                </c:pt>
                <c:pt idx="425">
                  <c:v>-172.2078215748073</c:v>
                </c:pt>
                <c:pt idx="426">
                  <c:v>-172.17353105879937</c:v>
                </c:pt>
                <c:pt idx="427">
                  <c:v>-172.13924308056679</c:v>
                </c:pt>
                <c:pt idx="428">
                  <c:v>-172.10495770655029</c:v>
                </c:pt>
                <c:pt idx="429">
                  <c:v>-172.0706750024062</c:v>
                </c:pt>
                <c:pt idx="430">
                  <c:v>-172.03639503302313</c:v>
                </c:pt>
                <c:pt idx="431">
                  <c:v>-172.0021178625384</c:v>
                </c:pt>
                <c:pt idx="432">
                  <c:v>-171.96784355435409</c:v>
                </c:pt>
                <c:pt idx="433">
                  <c:v>-171.93357217115229</c:v>
                </c:pt>
                <c:pt idx="434">
                  <c:v>-171.89930377491046</c:v>
                </c:pt>
                <c:pt idx="435">
                  <c:v>-171.86503842691579</c:v>
                </c:pt>
                <c:pt idx="436">
                  <c:v>-171.83077618777989</c:v>
                </c:pt>
                <c:pt idx="437">
                  <c:v>-171.7965171174524</c:v>
                </c:pt>
                <c:pt idx="438">
                  <c:v>-171.76226127523472</c:v>
                </c:pt>
                <c:pt idx="439">
                  <c:v>-171.72800871979328</c:v>
                </c:pt>
                <c:pt idx="440">
                  <c:v>-171.69375950917214</c:v>
                </c:pt>
                <c:pt idx="441">
                  <c:v>-171.65951370080603</c:v>
                </c:pt>
                <c:pt idx="442">
                  <c:v>-171.62527135153209</c:v>
                </c:pt>
                <c:pt idx="443">
                  <c:v>-171.59103251760217</c:v>
                </c:pt>
                <c:pt idx="444">
                  <c:v>-171.55679725469415</c:v>
                </c:pt>
                <c:pt idx="445">
                  <c:v>-171.5225656179235</c:v>
                </c:pt>
                <c:pt idx="446">
                  <c:v>-171.48833766185425</c:v>
                </c:pt>
                <c:pt idx="447">
                  <c:v>-171.45411344050976</c:v>
                </c:pt>
                <c:pt idx="448">
                  <c:v>-171.41989300738305</c:v>
                </c:pt>
                <c:pt idx="449">
                  <c:v>-171.38567641544753</c:v>
                </c:pt>
                <c:pt idx="450">
                  <c:v>-171.35146371716635</c:v>
                </c:pt>
                <c:pt idx="451">
                  <c:v>-171.31725496450261</c:v>
                </c:pt>
                <c:pt idx="452">
                  <c:v>-171.28305020892873</c:v>
                </c:pt>
                <c:pt idx="453">
                  <c:v>-171.24884950143556</c:v>
                </c:pt>
                <c:pt idx="454">
                  <c:v>-171.21465289254186</c:v>
                </c:pt>
                <c:pt idx="455">
                  <c:v>-171.18046043230257</c:v>
                </c:pt>
                <c:pt idx="456">
                  <c:v>-171.1462721703179</c:v>
                </c:pt>
                <c:pt idx="457">
                  <c:v>-171.11208815574136</c:v>
                </c:pt>
                <c:pt idx="458">
                  <c:v>-171.07790843728827</c:v>
                </c:pt>
                <c:pt idx="459">
                  <c:v>-171.04373306324371</c:v>
                </c:pt>
                <c:pt idx="460">
                  <c:v>-171.00956208147019</c:v>
                </c:pt>
                <c:pt idx="461">
                  <c:v>-170.97539553941539</c:v>
                </c:pt>
                <c:pt idx="462">
                  <c:v>-170.94123348411969</c:v>
                </c:pt>
                <c:pt idx="463">
                  <c:v>-170.9070759622233</c:v>
                </c:pt>
                <c:pt idx="464">
                  <c:v>-170.87292301997346</c:v>
                </c:pt>
                <c:pt idx="465">
                  <c:v>-170.83877470323139</c:v>
                </c:pt>
                <c:pt idx="466">
                  <c:v>-170.80463105747913</c:v>
                </c:pt>
                <c:pt idx="467">
                  <c:v>-170.77049212782595</c:v>
                </c:pt>
                <c:pt idx="468">
                  <c:v>-170.73635795901518</c:v>
                </c:pt>
                <c:pt idx="469">
                  <c:v>-170.70222859543009</c:v>
                </c:pt>
                <c:pt idx="470">
                  <c:v>-170.66810408110052</c:v>
                </c:pt>
                <c:pt idx="471">
                  <c:v>-170.63398445970856</c:v>
                </c:pt>
                <c:pt idx="472">
                  <c:v>-170.59986977459477</c:v>
                </c:pt>
                <c:pt idx="473">
                  <c:v>-170.56576006876364</c:v>
                </c:pt>
                <c:pt idx="474">
                  <c:v>-170.53165538488946</c:v>
                </c:pt>
                <c:pt idx="475">
                  <c:v>-170.49755576532172</c:v>
                </c:pt>
                <c:pt idx="476">
                  <c:v>-170.4634612520905</c:v>
                </c:pt>
                <c:pt idx="477">
                  <c:v>-170.42937188691192</c:v>
                </c:pt>
                <c:pt idx="478">
                  <c:v>-170.39528771119291</c:v>
                </c:pt>
                <c:pt idx="479">
                  <c:v>-170.36120876603667</c:v>
                </c:pt>
                <c:pt idx="480">
                  <c:v>-170.32713509224735</c:v>
                </c:pt>
                <c:pt idx="481">
                  <c:v>-170.29306673033491</c:v>
                </c:pt>
                <c:pt idx="482">
                  <c:v>-170.25900372051973</c:v>
                </c:pt>
                <c:pt idx="483">
                  <c:v>-170.22494610273762</c:v>
                </c:pt>
                <c:pt idx="484">
                  <c:v>-170.19089391664377</c:v>
                </c:pt>
                <c:pt idx="485">
                  <c:v>-170.15684720161761</c:v>
                </c:pt>
                <c:pt idx="486">
                  <c:v>-170.1228059967668</c:v>
                </c:pt>
                <c:pt idx="487">
                  <c:v>-170.08877034093175</c:v>
                </c:pt>
                <c:pt idx="488">
                  <c:v>-170.05474027268946</c:v>
                </c:pt>
                <c:pt idx="489">
                  <c:v>-170.02071583035786</c:v>
                </c:pt>
                <c:pt idx="490">
                  <c:v>-169.98669705199953</c:v>
                </c:pt>
                <c:pt idx="491">
                  <c:v>-169.95268397542554</c:v>
                </c:pt>
                <c:pt idx="492">
                  <c:v>-169.91867663819957</c:v>
                </c:pt>
                <c:pt idx="493">
                  <c:v>-169.8846750776413</c:v>
                </c:pt>
                <c:pt idx="494">
                  <c:v>-169.85067933083008</c:v>
                </c:pt>
                <c:pt idx="495">
                  <c:v>-169.81668943460861</c:v>
                </c:pt>
                <c:pt idx="496">
                  <c:v>-169.78270542558641</c:v>
                </c:pt>
                <c:pt idx="497">
                  <c:v>-169.74872734014312</c:v>
                </c:pt>
                <c:pt idx="498">
                  <c:v>-169.7147552144319</c:v>
                </c:pt>
                <c:pt idx="499">
                  <c:v>-169.6807890843827</c:v>
                </c:pt>
                <c:pt idx="500">
                  <c:v>-169.64682898570535</c:v>
                </c:pt>
                <c:pt idx="501">
                  <c:v>-169.61287495389303</c:v>
                </c:pt>
                <c:pt idx="502">
                  <c:v>-169.57892702422487</c:v>
                </c:pt>
                <c:pt idx="503">
                  <c:v>-169.54498523176929</c:v>
                </c:pt>
                <c:pt idx="504">
                  <c:v>-169.51104961138685</c:v>
                </c:pt>
                <c:pt idx="505">
                  <c:v>-169.47712019773317</c:v>
                </c:pt>
                <c:pt idx="506">
                  <c:v>-169.44319702526164</c:v>
                </c:pt>
                <c:pt idx="507">
                  <c:v>-169.40928012822627</c:v>
                </c:pt>
                <c:pt idx="508">
                  <c:v>-169.37536954068443</c:v>
                </c:pt>
                <c:pt idx="509">
                  <c:v>-169.34146529649951</c:v>
                </c:pt>
                <c:pt idx="510">
                  <c:v>-169.30756742934346</c:v>
                </c:pt>
                <c:pt idx="511">
                  <c:v>-169.27367597269932</c:v>
                </c:pt>
                <c:pt idx="512">
                  <c:v>-169.239790959864</c:v>
                </c:pt>
                <c:pt idx="513">
                  <c:v>-169.20591242395011</c:v>
                </c:pt>
                <c:pt idx="514">
                  <c:v>-169.17204039788922</c:v>
                </c:pt>
                <c:pt idx="515">
                  <c:v>-169.13817491443345</c:v>
                </c:pt>
                <c:pt idx="516">
                  <c:v>-169.1043160061582</c:v>
                </c:pt>
                <c:pt idx="517">
                  <c:v>-169.07046370546436</c:v>
                </c:pt>
                <c:pt idx="518">
                  <c:v>-169.03661804458036</c:v>
                </c:pt>
                <c:pt idx="519">
                  <c:v>-169.00277905556459</c:v>
                </c:pt>
                <c:pt idx="520">
                  <c:v>-168.96894677030727</c:v>
                </c:pt>
                <c:pt idx="521">
                  <c:v>-168.93512122053286</c:v>
                </c:pt>
                <c:pt idx="522">
                  <c:v>-168.90130243780177</c:v>
                </c:pt>
                <c:pt idx="523">
                  <c:v>-168.8674904535126</c:v>
                </c:pt>
                <c:pt idx="524">
                  <c:v>-168.8336852989041</c:v>
                </c:pt>
                <c:pt idx="525">
                  <c:v>-168.799887005057</c:v>
                </c:pt>
                <c:pt idx="526">
                  <c:v>-168.76609560289594</c:v>
                </c:pt>
                <c:pt idx="527">
                  <c:v>-168.73231112319147</c:v>
                </c:pt>
                <c:pt idx="528">
                  <c:v>-168.69853359656167</c:v>
                </c:pt>
                <c:pt idx="529">
                  <c:v>-168.6647630534741</c:v>
                </c:pt>
                <c:pt idx="530">
                  <c:v>-168.63099952424744</c:v>
                </c:pt>
                <c:pt idx="531">
                  <c:v>-168.59724303905335</c:v>
                </c:pt>
                <c:pt idx="532">
                  <c:v>-168.56349362791798</c:v>
                </c:pt>
                <c:pt idx="533">
                  <c:v>-168.52975132072385</c:v>
                </c:pt>
                <c:pt idx="534">
                  <c:v>-168.49601614721132</c:v>
                </c:pt>
                <c:pt idx="535">
                  <c:v>-168.46228813698022</c:v>
                </c:pt>
                <c:pt idx="536">
                  <c:v>-168.42856731949155</c:v>
                </c:pt>
                <c:pt idx="537">
                  <c:v>-168.3948537240687</c:v>
                </c:pt>
                <c:pt idx="538">
                  <c:v>-168.36114737989939</c:v>
                </c:pt>
                <c:pt idx="539">
                  <c:v>-168.32744831603679</c:v>
                </c:pt>
                <c:pt idx="540">
                  <c:v>-168.29375656140121</c:v>
                </c:pt>
                <c:pt idx="541">
                  <c:v>-168.26007214478145</c:v>
                </c:pt>
                <c:pt idx="542">
                  <c:v>-168.22639509483611</c:v>
                </c:pt>
                <c:pt idx="543">
                  <c:v>-168.1927254400951</c:v>
                </c:pt>
                <c:pt idx="544">
                  <c:v>-168.15906320896102</c:v>
                </c:pt>
                <c:pt idx="545">
                  <c:v>-168.12540842971032</c:v>
                </c:pt>
                <c:pt idx="546">
                  <c:v>-168.09176113049475</c:v>
                </c:pt>
                <c:pt idx="547">
                  <c:v>-168.05812133934256</c:v>
                </c:pt>
                <c:pt idx="548">
                  <c:v>-168.02448908415991</c:v>
                </c:pt>
                <c:pt idx="549">
                  <c:v>-167.99086439273188</c:v>
                </c:pt>
                <c:pt idx="550">
                  <c:v>-167.95724729272374</c:v>
                </c:pt>
                <c:pt idx="551">
                  <c:v>-167.92363781168237</c:v>
                </c:pt>
                <c:pt idx="552">
                  <c:v>-167.89003597703709</c:v>
                </c:pt>
                <c:pt idx="553">
                  <c:v>-167.85644181610104</c:v>
                </c:pt>
                <c:pt idx="554">
                  <c:v>-167.82285535607224</c:v>
                </c:pt>
                <c:pt idx="555">
                  <c:v>-167.78927662403481</c:v>
                </c:pt>
                <c:pt idx="556">
                  <c:v>-167.75570564695965</c:v>
                </c:pt>
                <c:pt idx="557">
                  <c:v>-167.72214245170613</c:v>
                </c:pt>
                <c:pt idx="558">
                  <c:v>-167.68858706502274</c:v>
                </c:pt>
                <c:pt idx="559">
                  <c:v>-167.65503951354808</c:v>
                </c:pt>
                <c:pt idx="560">
                  <c:v>-167.62149982381214</c:v>
                </c:pt>
                <c:pt idx="561">
                  <c:v>-167.58796802223713</c:v>
                </c:pt>
                <c:pt idx="562">
                  <c:v>-167.5544441351384</c:v>
                </c:pt>
                <c:pt idx="563">
                  <c:v>-167.52092818872561</c:v>
                </c:pt>
                <c:pt idx="564">
                  <c:v>-167.4874202091035</c:v>
                </c:pt>
                <c:pt idx="565">
                  <c:v>-167.45392022227296</c:v>
                </c:pt>
                <c:pt idx="566">
                  <c:v>-167.42042825413171</c:v>
                </c:pt>
                <c:pt idx="567">
                  <c:v>-167.38694433047553</c:v>
                </c:pt>
                <c:pt idx="568">
                  <c:v>-167.35346847699876</c:v>
                </c:pt>
                <c:pt idx="569">
                  <c:v>-167.32000071929565</c:v>
                </c:pt>
                <c:pt idx="570">
                  <c:v>-167.28654108286065</c:v>
                </c:pt>
                <c:pt idx="571">
                  <c:v>-167.25308959308973</c:v>
                </c:pt>
                <c:pt idx="572">
                  <c:v>-167.21964627528098</c:v>
                </c:pt>
                <c:pt idx="573">
                  <c:v>-167.18621115463534</c:v>
                </c:pt>
                <c:pt idx="574">
                  <c:v>-167.15278425625769</c:v>
                </c:pt>
                <c:pt idx="575">
                  <c:v>-167.11936560515727</c:v>
                </c:pt>
                <c:pt idx="576">
                  <c:v>-167.08595522624879</c:v>
                </c:pt>
                <c:pt idx="577">
                  <c:v>-167.05255314435297</c:v>
                </c:pt>
                <c:pt idx="578">
                  <c:v>-167.01915938419725</c:v>
                </c:pt>
                <c:pt idx="579">
                  <c:v>-166.98577397041677</c:v>
                </c:pt>
                <c:pt idx="580">
                  <c:v>-166.9523969275549</c:v>
                </c:pt>
                <c:pt idx="581">
                  <c:v>-166.91902828006391</c:v>
                </c:pt>
                <c:pt idx="582">
                  <c:v>-166.88566805230585</c:v>
                </c:pt>
                <c:pt idx="583">
                  <c:v>-166.8523162685531</c:v>
                </c:pt>
                <c:pt idx="584">
                  <c:v>-166.81897295298899</c:v>
                </c:pt>
                <c:pt idx="585">
                  <c:v>-166.7856381297087</c:v>
                </c:pt>
                <c:pt idx="586">
                  <c:v>-166.75231182271963</c:v>
                </c:pt>
                <c:pt idx="587">
                  <c:v>-166.71899405594218</c:v>
                </c:pt>
                <c:pt idx="588">
                  <c:v>-166.68568485321052</c:v>
                </c:pt>
                <c:pt idx="589">
                  <c:v>-166.65238423827287</c:v>
                </c:pt>
                <c:pt idx="590">
                  <c:v>-166.6190922347925</c:v>
                </c:pt>
                <c:pt idx="591">
                  <c:v>-166.58580886634795</c:v>
                </c:pt>
                <c:pt idx="592">
                  <c:v>-166.55253415643389</c:v>
                </c:pt>
                <c:pt idx="593">
                  <c:v>-166.5192681284617</c:v>
                </c:pt>
                <c:pt idx="594">
                  <c:v>-166.48601080575983</c:v>
                </c:pt>
                <c:pt idx="595">
                  <c:v>-166.45276221157459</c:v>
                </c:pt>
                <c:pt idx="596">
                  <c:v>-166.41952236907051</c:v>
                </c:pt>
                <c:pt idx="597">
                  <c:v>-166.38629130133111</c:v>
                </c:pt>
                <c:pt idx="598">
                  <c:v>-166.35306903135927</c:v>
                </c:pt>
                <c:pt idx="599">
                  <c:v>-166.31985558207779</c:v>
                </c:pt>
                <c:pt idx="600">
                  <c:v>-166.2866509763299</c:v>
                </c:pt>
                <c:pt idx="601">
                  <c:v>-166.25345523687986</c:v>
                </c:pt>
                <c:pt idx="602">
                  <c:v>-166.22026838641332</c:v>
                </c:pt>
                <c:pt idx="603">
                  <c:v>-166.18709044753797</c:v>
                </c:pt>
                <c:pt idx="604">
                  <c:v>-166.15392144278394</c:v>
                </c:pt>
                <c:pt idx="605">
                  <c:v>-166.12076139460427</c:v>
                </c:pt>
                <c:pt idx="606">
                  <c:v>-164.47465359352952</c:v>
                </c:pt>
                <c:pt idx="607">
                  <c:v>-162.8535364486398</c:v>
                </c:pt>
                <c:pt idx="608">
                  <c:v>-161.25961115112847</c:v>
                </c:pt>
                <c:pt idx="609">
                  <c:v>-159.69475376641134</c:v>
                </c:pt>
                <c:pt idx="610">
                  <c:v>-158.16054806203817</c:v>
                </c:pt>
                <c:pt idx="611">
                  <c:v>-156.658308025357</c:v>
                </c:pt>
                <c:pt idx="612">
                  <c:v>-155.18909619059323</c:v>
                </c:pt>
                <c:pt idx="613">
                  <c:v>-153.7537405367882</c:v>
                </c:pt>
                <c:pt idx="614">
                  <c:v>-152.35285114451179</c:v>
                </c:pt>
                <c:pt idx="615">
                  <c:v>-150.98683703109683</c:v>
                </c:pt>
                <c:pt idx="616">
                  <c:v>-149.65592320566853</c:v>
                </c:pt>
                <c:pt idx="617">
                  <c:v>-148.36016780634543</c:v>
                </c:pt>
                <c:pt idx="618">
                  <c:v>-147.85169411164011</c:v>
                </c:pt>
                <c:pt idx="619">
                  <c:v>-147.34882052287418</c:v>
                </c:pt>
                <c:pt idx="620">
                  <c:v>-146.85153174156926</c:v>
                </c:pt>
                <c:pt idx="621">
                  <c:v>-146.35980939276598</c:v>
                </c:pt>
                <c:pt idx="622">
                  <c:v>-145.87363218655375</c:v>
                </c:pt>
                <c:pt idx="623">
                  <c:v>-145.3929760764199</c:v>
                </c:pt>
                <c:pt idx="624">
                  <c:v>-144.91781441418439</c:v>
                </c:pt>
                <c:pt idx="625">
                  <c:v>-144.44811810131378</c:v>
                </c:pt>
                <c:pt idx="626">
                  <c:v>-143.9838557364333</c:v>
                </c:pt>
                <c:pt idx="627">
                  <c:v>-143.52499375888186</c:v>
                </c:pt>
                <c:pt idx="628">
                  <c:v>-143.07149658817951</c:v>
                </c:pt>
                <c:pt idx="629">
                  <c:v>-142.62332675930094</c:v>
                </c:pt>
                <c:pt idx="630">
                  <c:v>-142.18044505367058</c:v>
                </c:pt>
                <c:pt idx="631">
                  <c:v>-141.7428106258169</c:v>
                </c:pt>
                <c:pt idx="632">
                  <c:v>-141.31038112564383</c:v>
                </c:pt>
                <c:pt idx="633">
                  <c:v>-140.8831128162945</c:v>
                </c:pt>
                <c:pt idx="634">
                  <c:v>-140.46096068760221</c:v>
                </c:pt>
                <c:pt idx="635">
                  <c:v>-140.04387856513733</c:v>
                </c:pt>
                <c:pt idx="636">
                  <c:v>-139.63181921487455</c:v>
                </c:pt>
                <c:pt idx="637">
                  <c:v>-139.22473444351877</c:v>
                </c:pt>
                <c:pt idx="638">
                  <c:v>-138.82257519453773</c:v>
                </c:pt>
                <c:pt idx="639">
                  <c:v>-138.42529163996366</c:v>
                </c:pt>
                <c:pt idx="640">
                  <c:v>-138.03283326803157</c:v>
                </c:pt>
                <c:pt idx="641">
                  <c:v>-137.64514896673438</c:v>
                </c:pt>
                <c:pt idx="642">
                  <c:v>-137.26218710337929</c:v>
                </c:pt>
                <c:pt idx="643">
                  <c:v>-136.88389560023745</c:v>
                </c:pt>
                <c:pt idx="644">
                  <c:v>-136.51022200638451</c:v>
                </c:pt>
                <c:pt idx="645">
                  <c:v>-136.14111356583282</c:v>
                </c:pt>
                <c:pt idx="646">
                  <c:v>-135.77651728206183</c:v>
                </c:pt>
                <c:pt idx="647">
                  <c:v>-135.41637997905298</c:v>
                </c:pt>
                <c:pt idx="648">
                  <c:v>-135.06064835894097</c:v>
                </c:pt>
                <c:pt idx="649">
                  <c:v>-134.70926905639206</c:v>
                </c:pt>
                <c:pt idx="650">
                  <c:v>-134.36218868982206</c:v>
                </c:pt>
                <c:pt idx="651">
                  <c:v>-134.01935390956749</c:v>
                </c:pt>
                <c:pt idx="652">
                  <c:v>-133.68071144312222</c:v>
                </c:pt>
                <c:pt idx="653">
                  <c:v>-133.34620813755205</c:v>
                </c:pt>
                <c:pt idx="654">
                  <c:v>-133.01579099919834</c:v>
                </c:pt>
                <c:pt idx="655">
                  <c:v>-132.6894072307814</c:v>
                </c:pt>
                <c:pt idx="656">
                  <c:v>-132.36700426601129</c:v>
                </c:pt>
                <c:pt idx="657">
                  <c:v>-132.04852980181343</c:v>
                </c:pt>
                <c:pt idx="658">
                  <c:v>-131.73393182827269</c:v>
                </c:pt>
                <c:pt idx="659">
                  <c:v>-131.42315865639975</c:v>
                </c:pt>
                <c:pt idx="660">
                  <c:v>-131.11615894381782</c:v>
                </c:pt>
                <c:pt idx="661">
                  <c:v>-130.81288171846873</c:v>
                </c:pt>
                <c:pt idx="662">
                  <c:v>-130.51327640043203</c:v>
                </c:pt>
                <c:pt idx="663">
                  <c:v>-130.21729282194948</c:v>
                </c:pt>
                <c:pt idx="664">
                  <c:v>-129.92488124574388</c:v>
                </c:pt>
                <c:pt idx="665">
                  <c:v>-129.63599238171872</c:v>
                </c:pt>
                <c:pt idx="666">
                  <c:v>-129.35057740212213</c:v>
                </c:pt>
                <c:pt idx="667">
                  <c:v>-129.06858795525471</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54.308560912198672</c:v>
                </c:pt>
                <c:pt idx="1">
                  <c:v>52.483635705997258</c:v>
                </c:pt>
                <c:pt idx="2">
                  <c:v>50.519628855102169</c:v>
                </c:pt>
                <c:pt idx="3">
                  <c:v>48.731850118783235</c:v>
                </c:pt>
                <c:pt idx="4">
                  <c:v>47.166791669086024</c:v>
                </c:pt>
                <c:pt idx="5">
                  <c:v>45.800156718555513</c:v>
                </c:pt>
                <c:pt idx="6">
                  <c:v>44.597500395496859</c:v>
                </c:pt>
                <c:pt idx="7">
                  <c:v>43.528458793726664</c:v>
                </c:pt>
                <c:pt idx="8">
                  <c:v>42.56877588132879</c:v>
                </c:pt>
                <c:pt idx="9">
                  <c:v>41.699528414055742</c:v>
                </c:pt>
                <c:pt idx="10">
                  <c:v>35.829107608621001</c:v>
                </c:pt>
                <c:pt idx="11">
                  <c:v>32.335802322516983</c:v>
                </c:pt>
                <c:pt idx="12">
                  <c:v>29.847207776419772</c:v>
                </c:pt>
                <c:pt idx="13">
                  <c:v>27.913896502909672</c:v>
                </c:pt>
                <c:pt idx="14">
                  <c:v>26.333108949518426</c:v>
                </c:pt>
                <c:pt idx="15">
                  <c:v>24.996071777954011</c:v>
                </c:pt>
                <c:pt idx="16">
                  <c:v>23.837658194886323</c:v>
                </c:pt>
                <c:pt idx="17">
                  <c:v>22.815782385246738</c:v>
                </c:pt>
                <c:pt idx="18">
                  <c:v>21.901673765088375</c:v>
                </c:pt>
                <c:pt idx="19">
                  <c:v>15.891426797679511</c:v>
                </c:pt>
                <c:pt idx="20">
                  <c:v>12.384547765749243</c:v>
                </c:pt>
                <c:pt idx="21">
                  <c:v>9.9063548771378809</c:v>
                </c:pt>
                <c:pt idx="22">
                  <c:v>7.9944623687499137</c:v>
                </c:pt>
                <c:pt idx="23">
                  <c:v>6.4428502609530325</c:v>
                </c:pt>
                <c:pt idx="24">
                  <c:v>5.1415789259529587</c:v>
                </c:pt>
                <c:pt idx="25">
                  <c:v>4.0249854708950972</c:v>
                </c:pt>
                <c:pt idx="26">
                  <c:v>3.0506782841201692</c:v>
                </c:pt>
                <c:pt idx="27">
                  <c:v>2.1896755708700724</c:v>
                </c:pt>
                <c:pt idx="28">
                  <c:v>-0.98426456470242063</c:v>
                </c:pt>
                <c:pt idx="29">
                  <c:v>-3.0186750813859149</c:v>
                </c:pt>
                <c:pt idx="30">
                  <c:v>-4.3946754187373989</c:v>
                </c:pt>
                <c:pt idx="31">
                  <c:v>-5.3378181511827592</c:v>
                </c:pt>
                <c:pt idx="32">
                  <c:v>-5.9767697809583717</c:v>
                </c:pt>
                <c:pt idx="33">
                  <c:v>-6.3940322595176262</c:v>
                </c:pt>
                <c:pt idx="34">
                  <c:v>-6.6464057184861245</c:v>
                </c:pt>
                <c:pt idx="35">
                  <c:v>-6.774723272567357</c:v>
                </c:pt>
                <c:pt idx="36">
                  <c:v>-6.8091274029101614</c:v>
                </c:pt>
                <c:pt idx="37">
                  <c:v>-6.7722422903218842</c:v>
                </c:pt>
                <c:pt idx="38">
                  <c:v>-6.6812357287240376</c:v>
                </c:pt>
                <c:pt idx="39">
                  <c:v>-6.5492346889860107</c:v>
                </c:pt>
                <c:pt idx="40">
                  <c:v>-6.3863332891440239</c:v>
                </c:pt>
                <c:pt idx="41">
                  <c:v>-6.2003278471746803</c:v>
                </c:pt>
                <c:pt idx="42">
                  <c:v>-5.9972614052458741</c:v>
                </c:pt>
                <c:pt idx="43">
                  <c:v>-5.7818314951093122</c:v>
                </c:pt>
                <c:pt idx="44">
                  <c:v>-5.5576979271374931</c:v>
                </c:pt>
                <c:pt idx="45">
                  <c:v>-5.3277165859303786</c:v>
                </c:pt>
                <c:pt idx="46">
                  <c:v>-5.0941179806379244</c:v>
                </c:pt>
                <c:pt idx="47">
                  <c:v>-4.858644269929143</c:v>
                </c:pt>
                <c:pt idx="48">
                  <c:v>-4.6226548999006658</c:v>
                </c:pt>
                <c:pt idx="49">
                  <c:v>-4.3872084003333693</c:v>
                </c:pt>
                <c:pt idx="50">
                  <c:v>-4.1531259870925892</c:v>
                </c:pt>
                <c:pt idx="51">
                  <c:v>-3.921041218965355</c:v>
                </c:pt>
                <c:pt idx="52">
                  <c:v>-3.6914389190003942</c:v>
                </c:pt>
                <c:pt idx="53">
                  <c:v>-3.4646857964262567</c:v>
                </c:pt>
                <c:pt idx="54">
                  <c:v>-3.2410546256845918</c:v>
                </c:pt>
                <c:pt idx="55">
                  <c:v>-3.020743403375385</c:v>
                </c:pt>
                <c:pt idx="56">
                  <c:v>-2.8038905749600578</c:v>
                </c:pt>
                <c:pt idx="57">
                  <c:v>-2.5905871737367092</c:v>
                </c:pt>
                <c:pt idx="58">
                  <c:v>-2.3808865248579467</c:v>
                </c:pt>
                <c:pt idx="59">
                  <c:v>-2.1748120221835565</c:v>
                </c:pt>
                <c:pt idx="60">
                  <c:v>-1.9723633745417499</c:v>
                </c:pt>
                <c:pt idx="61">
                  <c:v>-1.7735216323108833</c:v>
                </c:pt>
                <c:pt idx="62">
                  <c:v>-1.5782532389941097</c:v>
                </c:pt>
                <c:pt idx="63">
                  <c:v>-1.3865133010381112</c:v>
                </c:pt>
                <c:pt idx="64">
                  <c:v>-1.1982482290743806</c:v>
                </c:pt>
                <c:pt idx="65">
                  <c:v>-1.0133978724152661</c:v>
                </c:pt>
                <c:pt idx="66">
                  <c:v>-0.83189724402513587</c:v>
                </c:pt>
                <c:pt idx="67">
                  <c:v>-0.65367791379349605</c:v>
                </c:pt>
                <c:pt idx="68">
                  <c:v>-0.47866913260108201</c:v>
                </c:pt>
                <c:pt idx="69">
                  <c:v>-0.30679873750139691</c:v>
                </c:pt>
                <c:pt idx="70">
                  <c:v>-0.13799387865305882</c:v>
                </c:pt>
                <c:pt idx="71">
                  <c:v>2.7818399098701315E-2</c:v>
                </c:pt>
                <c:pt idx="72">
                  <c:v>0.19071069329104262</c:v>
                </c:pt>
                <c:pt idx="73">
                  <c:v>0.35075487784298498</c:v>
                </c:pt>
                <c:pt idx="74">
                  <c:v>0.50802181627856202</c:v>
                </c:pt>
                <c:pt idx="75">
                  <c:v>0.66258113970976384</c:v>
                </c:pt>
                <c:pt idx="76">
                  <c:v>0.81450107774250546</c:v>
                </c:pt>
                <c:pt idx="77">
                  <c:v>0.9638483326028513</c:v>
                </c:pt>
                <c:pt idx="78">
                  <c:v>1.1106879885180907</c:v>
                </c:pt>
                <c:pt idx="79">
                  <c:v>1.2550834498046994</c:v>
                </c:pt>
                <c:pt idx="80">
                  <c:v>1.3970964022749186</c:v>
                </c:pt>
                <c:pt idx="81">
                  <c:v>1.5367867935235482</c:v>
                </c:pt>
                <c:pt idx="82">
                  <c:v>1.6742128284364386</c:v>
                </c:pt>
                <c:pt idx="83">
                  <c:v>1.8094309769040817</c:v>
                </c:pt>
                <c:pt idx="84">
                  <c:v>1.9424959912518105</c:v>
                </c:pt>
                <c:pt idx="85">
                  <c:v>2.0734609313345889</c:v>
                </c:pt>
                <c:pt idx="86">
                  <c:v>2.2023771956045008</c:v>
                </c:pt>
                <c:pt idx="87">
                  <c:v>2.3292945567573557</c:v>
                </c:pt>
                <c:pt idx="88">
                  <c:v>2.4542612008115392</c:v>
                </c:pt>
                <c:pt idx="89">
                  <c:v>2.5773237686772079</c:v>
                </c:pt>
                <c:pt idx="90">
                  <c:v>2.6985273994434618</c:v>
                </c:pt>
                <c:pt idx="91">
                  <c:v>2.8179157747524366</c:v>
                </c:pt>
                <c:pt idx="92">
                  <c:v>2.935531163746155</c:v>
                </c:pt>
                <c:pt idx="93">
                  <c:v>3.0514144681693773</c:v>
                </c:pt>
                <c:pt idx="94">
                  <c:v>3.1656052672924972</c:v>
                </c:pt>
                <c:pt idx="95">
                  <c:v>3.2781418623856897</c:v>
                </c:pt>
                <c:pt idx="96">
                  <c:v>3.3890613205312348</c:v>
                </c:pt>
                <c:pt idx="97">
                  <c:v>3.4983995176072473</c:v>
                </c:pt>
                <c:pt idx="98">
                  <c:v>3.6061911803142914</c:v>
                </c:pt>
                <c:pt idx="99">
                  <c:v>3.7124699271480877</c:v>
                </c:pt>
                <c:pt idx="100">
                  <c:v>3.8172683082478116</c:v>
                </c:pt>
                <c:pt idx="101">
                  <c:v>3.9206178440708603</c:v>
                </c:pt>
                <c:pt idx="102">
                  <c:v>4.0225490628628888</c:v>
                </c:pt>
                <c:pt idx="103">
                  <c:v>4.1230915369062027</c:v>
                </c:pt>
                <c:pt idx="104">
                  <c:v>4.2222739175416271</c:v>
                </c:pt>
                <c:pt idx="105">
                  <c:v>4.3201239689682893</c:v>
                </c:pt>
                <c:pt idx="106">
                  <c:v>4.4166686008335851</c:v>
                </c:pt>
                <c:pt idx="107">
                  <c:v>4.5119338996316358</c:v>
                </c:pt>
                <c:pt idx="108">
                  <c:v>4.6059451589332898</c:v>
                </c:pt>
                <c:pt idx="109">
                  <c:v>4.6987269084745469</c:v>
                </c:pt>
                <c:pt idx="110">
                  <c:v>4.7903029421329686</c:v>
                </c:pt>
                <c:pt idx="111">
                  <c:v>4.8806963448237415</c:v>
                </c:pt>
                <c:pt idx="112">
                  <c:v>4.9699295183485033</c:v>
                </c:pt>
                <c:pt idx="113">
                  <c:v>5.0580242062308498</c:v>
                </c:pt>
                <c:pt idx="114">
                  <c:v>5.1450015175731769</c:v>
                </c:pt>
                <c:pt idx="115">
                  <c:v>5.2308819499693628</c:v>
                </c:pt>
                <c:pt idx="116">
                  <c:v>5.3156854115078991</c:v>
                </c:pt>
                <c:pt idx="117">
                  <c:v>5.3994312418997028</c:v>
                </c:pt>
                <c:pt idx="118">
                  <c:v>5.4821382327641386</c:v>
                </c:pt>
                <c:pt idx="119">
                  <c:v>5.5638246471064443</c:v>
                </c:pt>
                <c:pt idx="120">
                  <c:v>5.6445082380185401</c:v>
                </c:pt>
                <c:pt idx="121">
                  <c:v>5.7242062666348472</c:v>
                </c:pt>
                <c:pt idx="122">
                  <c:v>5.8029355193733299</c:v>
                </c:pt>
                <c:pt idx="123">
                  <c:v>5.8807123244914301</c:v>
                </c:pt>
                <c:pt idx="124">
                  <c:v>5.9575525679852612</c:v>
                </c:pt>
                <c:pt idx="125">
                  <c:v>6.0334717088596044</c:v>
                </c:pt>
                <c:pt idx="126">
                  <c:v>6.1084847937952444</c:v>
                </c:pt>
                <c:pt idx="127">
                  <c:v>6.182606471239005</c:v>
                </c:pt>
                <c:pt idx="128">
                  <c:v>6.2558510049410634</c:v>
                </c:pt>
                <c:pt idx="129">
                  <c:v>6.3282322869630789</c:v>
                </c:pt>
                <c:pt idx="130">
                  <c:v>6.3997638501795153</c:v>
                </c:pt>
                <c:pt idx="131">
                  <c:v>6.4704588802939931</c:v>
                </c:pt>
                <c:pt idx="132">
                  <c:v>6.540330227391177</c:v>
                </c:pt>
                <c:pt idx="133">
                  <c:v>6.6093904170441391</c:v>
                </c:pt>
                <c:pt idx="134">
                  <c:v>6.6776516609960721</c:v>
                </c:pt>
                <c:pt idx="135">
                  <c:v>6.745125867434588</c:v>
                </c:pt>
                <c:pt idx="136">
                  <c:v>6.8118246508757672</c:v>
                </c:pt>
                <c:pt idx="137">
                  <c:v>6.8777593416747589</c:v>
                </c:pt>
                <c:pt idx="138">
                  <c:v>6.9429409951785388</c:v>
                </c:pt>
                <c:pt idx="139">
                  <c:v>7.0073804005361229</c:v>
                </c:pt>
                <c:pt idx="140">
                  <c:v>7.0710880891805949</c:v>
                </c:pt>
                <c:pt idx="141">
                  <c:v>7.1340743429967315</c:v>
                </c:pt>
                <c:pt idx="142">
                  <c:v>7.1963492021875295</c:v>
                </c:pt>
                <c:pt idx="143">
                  <c:v>7.2579224728520249</c:v>
                </c:pt>
                <c:pt idx="144">
                  <c:v>7.3188037342866021</c:v>
                </c:pt>
                <c:pt idx="145">
                  <c:v>7.3790023460211485</c:v>
                </c:pt>
                <c:pt idx="146">
                  <c:v>7.4385274546010471</c:v>
                </c:pt>
                <c:pt idx="147">
                  <c:v>7.4973880001255013</c:v>
                </c:pt>
                <c:pt idx="148">
                  <c:v>7.5555927225520625</c:v>
                </c:pt>
                <c:pt idx="149">
                  <c:v>7.6131501677770608</c:v>
                </c:pt>
                <c:pt idx="150">
                  <c:v>7.6700686935009266</c:v>
                </c:pt>
                <c:pt idx="151">
                  <c:v>7.7263564748870976</c:v>
                </c:pt>
                <c:pt idx="152">
                  <c:v>7.7820215100229317</c:v>
                </c:pt>
                <c:pt idx="153">
                  <c:v>7.8370716251903865</c:v>
                </c:pt>
                <c:pt idx="154">
                  <c:v>7.8915144799542603</c:v>
                </c:pt>
                <c:pt idx="155">
                  <c:v>7.9453575720750003</c:v>
                </c:pt>
                <c:pt idx="156">
                  <c:v>7.9986082422531926</c:v>
                </c:pt>
                <c:pt idx="157">
                  <c:v>8.0512736787122492</c:v>
                </c:pt>
                <c:pt idx="158">
                  <c:v>8.1033609216256366</c:v>
                </c:pt>
                <c:pt idx="159">
                  <c:v>8.1548768673947123</c:v>
                </c:pt>
                <c:pt idx="160">
                  <c:v>8.205828272782874</c:v>
                </c:pt>
                <c:pt idx="161">
                  <c:v>8.2562217589116571</c:v>
                </c:pt>
                <c:pt idx="162">
                  <c:v>8.3060638151239488</c:v>
                </c:pt>
                <c:pt idx="163">
                  <c:v>8.355360802719499</c:v>
                </c:pt>
                <c:pt idx="164">
                  <c:v>8.404118958567409</c:v>
                </c:pt>
                <c:pt idx="165">
                  <c:v>8.452344398600415</c:v>
                </c:pt>
                <c:pt idx="166">
                  <c:v>8.5000431211951852</c:v>
                </c:pt>
                <c:pt idx="167">
                  <c:v>8.5472210104430921</c:v>
                </c:pt>
                <c:pt idx="168">
                  <c:v>8.5938838393153034</c:v>
                </c:pt>
                <c:pt idx="169">
                  <c:v>8.6400372727262518</c:v>
                </c:pt>
                <c:pt idx="170">
                  <c:v>8.685686870499131</c:v>
                </c:pt>
                <c:pt idx="171">
                  <c:v>8.7308380902369453</c:v>
                </c:pt>
                <c:pt idx="172">
                  <c:v>8.7754962901026694</c:v>
                </c:pt>
                <c:pt idx="173">
                  <c:v>8.8196667315116049</c:v>
                </c:pt>
                <c:pt idx="174">
                  <c:v>8.863354581739241</c:v>
                </c:pt>
                <c:pt idx="175">
                  <c:v>8.9065649164475484</c:v>
                </c:pt>
                <c:pt idx="176">
                  <c:v>8.9493027221325878</c:v>
                </c:pt>
                <c:pt idx="177">
                  <c:v>8.9915728984962531</c:v>
                </c:pt>
                <c:pt idx="178">
                  <c:v>9.0333802607447673</c:v>
                </c:pt>
                <c:pt idx="179">
                  <c:v>9.0747295418164562</c:v>
                </c:pt>
                <c:pt idx="180">
                  <c:v>9.115625394541345</c:v>
                </c:pt>
                <c:pt idx="181">
                  <c:v>9.1560723937348136</c:v>
                </c:pt>
                <c:pt idx="182">
                  <c:v>9.1960750382276224</c:v>
                </c:pt>
                <c:pt idx="183">
                  <c:v>9.2356377528344904</c:v>
                </c:pt>
                <c:pt idx="184">
                  <c:v>9.2747648902632598</c:v>
                </c:pt>
                <c:pt idx="185">
                  <c:v>9.3134607329666927</c:v>
                </c:pt>
                <c:pt idx="186">
                  <c:v>9.351729494938759</c:v>
                </c:pt>
                <c:pt idx="187">
                  <c:v>9.3895753234573736</c:v>
                </c:pt>
                <c:pt idx="188">
                  <c:v>9.4270023007752037</c:v>
                </c:pt>
                <c:pt idx="189">
                  <c:v>9.4640144457604034</c:v>
                </c:pt>
                <c:pt idx="190">
                  <c:v>9.5006157154888236</c:v>
                </c:pt>
                <c:pt idx="191">
                  <c:v>9.5368100067892936</c:v>
                </c:pt>
                <c:pt idx="192">
                  <c:v>9.5726011577435717</c:v>
                </c:pt>
                <c:pt idx="193">
                  <c:v>9.6079929491422558</c:v>
                </c:pt>
                <c:pt idx="194">
                  <c:v>9.6429891058982786</c:v>
                </c:pt>
                <c:pt idx="195">
                  <c:v>9.6775932984191808</c:v>
                </c:pt>
                <c:pt idx="196">
                  <c:v>9.7118091439395275</c:v>
                </c:pt>
                <c:pt idx="197">
                  <c:v>9.7456402078147324</c:v>
                </c:pt>
                <c:pt idx="198">
                  <c:v>9.7790900047775224</c:v>
                </c:pt>
                <c:pt idx="199">
                  <c:v>9.8121620001581142</c:v>
                </c:pt>
                <c:pt idx="200">
                  <c:v>9.8448596110693689</c:v>
                </c:pt>
                <c:pt idx="201">
                  <c:v>9.8771862075579264</c:v>
                </c:pt>
                <c:pt idx="202">
                  <c:v>9.9091451137223494</c:v>
                </c:pt>
                <c:pt idx="203">
                  <c:v>9.940739608799344</c:v>
                </c:pt>
                <c:pt idx="204">
                  <c:v>9.9719729282190475</c:v>
                </c:pt>
                <c:pt idx="205">
                  <c:v>10.002848264630204</c:v>
                </c:pt>
                <c:pt idx="206">
                  <c:v>10.033368768896294</c:v>
                </c:pt>
                <c:pt idx="207">
                  <c:v>10.063537551063392</c:v>
                </c:pt>
                <c:pt idx="208">
                  <c:v>10.093357681300635</c:v>
                </c:pt>
                <c:pt idx="209">
                  <c:v>10.122832190814094</c:v>
                </c:pt>
                <c:pt idx="210">
                  <c:v>10.151964072734902</c:v>
                </c:pt>
                <c:pt idx="211">
                  <c:v>10.180756282982305</c:v>
                </c:pt>
                <c:pt idx="212">
                  <c:v>10.209211741102484</c:v>
                </c:pt>
                <c:pt idx="213">
                  <c:v>10.237333331083773</c:v>
                </c:pt>
                <c:pt idx="214">
                  <c:v>10.265123902149005</c:v>
                </c:pt>
                <c:pt idx="215">
                  <c:v>10.292586269525648</c:v>
                </c:pt>
                <c:pt idx="216">
                  <c:v>10.319723215194397</c:v>
                </c:pt>
                <c:pt idx="217">
                  <c:v>10.346537488616789</c:v>
                </c:pt>
                <c:pt idx="218">
                  <c:v>10.373031807442501</c:v>
                </c:pt>
                <c:pt idx="219">
                  <c:v>10.399208858196927</c:v>
                </c:pt>
                <c:pt idx="220">
                  <c:v>10.425071296949522</c:v>
                </c:pt>
                <c:pt idx="221">
                  <c:v>10.450621749963556</c:v>
                </c:pt>
                <c:pt idx="222">
                  <c:v>10.475862814327744</c:v>
                </c:pt>
                <c:pt idx="223">
                  <c:v>10.500797058570299</c:v>
                </c:pt>
                <c:pt idx="224">
                  <c:v>10.525427023255906</c:v>
                </c:pt>
                <c:pt idx="225">
                  <c:v>10.549755221566102</c:v>
                </c:pt>
                <c:pt idx="226">
                  <c:v>10.776974458998936</c:v>
                </c:pt>
                <c:pt idx="227">
                  <c:v>10.976598086562522</c:v>
                </c:pt>
                <c:pt idx="228">
                  <c:v>11.15076274340273</c:v>
                </c:pt>
                <c:pt idx="229">
                  <c:v>11.301423659618548</c:v>
                </c:pt>
                <c:pt idx="230">
                  <c:v>11.430381884285985</c:v>
                </c:pt>
                <c:pt idx="231">
                  <c:v>11.539304869977776</c:v>
                </c:pt>
                <c:pt idx="232">
                  <c:v>11.629742085849283</c:v>
                </c:pt>
                <c:pt idx="233">
                  <c:v>11.703136944809936</c:v>
                </c:pt>
                <c:pt idx="234">
                  <c:v>11.760836032705001</c:v>
                </c:pt>
                <c:pt idx="235">
                  <c:v>11.804096394623604</c:v>
                </c:pt>
                <c:pt idx="236">
                  <c:v>11.83409144956479</c:v>
                </c:pt>
                <c:pt idx="237">
                  <c:v>11.851915959019994</c:v>
                </c:pt>
                <c:pt idx="238">
                  <c:v>11.858590360003989</c:v>
                </c:pt>
                <c:pt idx="239">
                  <c:v>11.855064683043853</c:v>
                </c:pt>
                <c:pt idx="240">
                  <c:v>11.842222206159985</c:v>
                </c:pt>
                <c:pt idx="241">
                  <c:v>11.820882943257798</c:v>
                </c:pt>
                <c:pt idx="242">
                  <c:v>11.791807026451487</c:v>
                </c:pt>
                <c:pt idx="243">
                  <c:v>11.755698013953884</c:v>
                </c:pt>
                <c:pt idx="244">
                  <c:v>11.713206135957044</c:v>
                </c:pt>
                <c:pt idx="245">
                  <c:v>11.664931478410757</c:v>
                </c:pt>
                <c:pt idx="246">
                  <c:v>11.611427097118865</c:v>
                </c:pt>
                <c:pt idx="247">
                  <c:v>11.553202050751333</c:v>
                </c:pt>
                <c:pt idx="248">
                  <c:v>11.490724340119522</c:v>
                </c:pt>
                <c:pt idx="249">
                  <c:v>11.424423741526891</c:v>
                </c:pt>
                <c:pt idx="250">
                  <c:v>11.354694523534413</c:v>
                </c:pt>
                <c:pt idx="251">
                  <c:v>11.281898038587588</c:v>
                </c:pt>
                <c:pt idx="252">
                  <c:v>11.206365183294999</c:v>
                </c:pt>
                <c:pt idx="253">
                  <c:v>11.128398723492205</c:v>
                </c:pt>
                <c:pt idx="254">
                  <c:v>11.048275482417136</c:v>
                </c:pt>
                <c:pt idx="255">
                  <c:v>10.966248392276036</c:v>
                </c:pt>
                <c:pt idx="256">
                  <c:v>10.882548411147795</c:v>
                </c:pt>
                <c:pt idx="257">
                  <c:v>10.797386308548234</c:v>
                </c:pt>
                <c:pt idx="258">
                  <c:v>10.710954324062318</c:v>
                </c:pt>
                <c:pt idx="259">
                  <c:v>10.623427704273997</c:v>
                </c:pt>
                <c:pt idx="260">
                  <c:v>10.534966123808886</c:v>
                </c:pt>
                <c:pt idx="261">
                  <c:v>10.445714996686286</c:v>
                </c:pt>
                <c:pt idx="262">
                  <c:v>10.355806684386259</c:v>
                </c:pt>
                <c:pt idx="263">
                  <c:v>10.265361607105309</c:v>
                </c:pt>
                <c:pt idx="264">
                  <c:v>10.174489264628335</c:v>
                </c:pt>
                <c:pt idx="265">
                  <c:v>10.083289173110373</c:v>
                </c:pt>
                <c:pt idx="266">
                  <c:v>9.9918517238598685</c:v>
                </c:pt>
                <c:pt idx="267">
                  <c:v>9.9002589699650851</c:v>
                </c:pt>
                <c:pt idx="268">
                  <c:v>9.8085853463212462</c:v>
                </c:pt>
                <c:pt idx="269">
                  <c:v>9.7168983283108155</c:v>
                </c:pt>
                <c:pt idx="270">
                  <c:v>9.6252590340733075</c:v>
                </c:pt>
                <c:pt idx="271">
                  <c:v>9.5337227749814062</c:v>
                </c:pt>
                <c:pt idx="272">
                  <c:v>9.442339558623857</c:v>
                </c:pt>
                <c:pt idx="273">
                  <c:v>9.3511545482865905</c:v>
                </c:pt>
                <c:pt idx="274">
                  <c:v>9.2602084826255044</c:v>
                </c:pt>
                <c:pt idx="275">
                  <c:v>9.1695380589396613</c:v>
                </c:pt>
                <c:pt idx="276">
                  <c:v>9.0791762831837062</c:v>
                </c:pt>
                <c:pt idx="277">
                  <c:v>8.9891527896041445</c:v>
                </c:pt>
                <c:pt idx="278">
                  <c:v>8.8994941326461134</c:v>
                </c:pt>
                <c:pt idx="279">
                  <c:v>8.8102240535553324</c:v>
                </c:pt>
                <c:pt idx="280">
                  <c:v>8.7213637238939832</c:v>
                </c:pt>
                <c:pt idx="281">
                  <c:v>8.6329319679985694</c:v>
                </c:pt>
                <c:pt idx="282">
                  <c:v>8.5449454662319653</c:v>
                </c:pt>
                <c:pt idx="283">
                  <c:v>8.4574189407198581</c:v>
                </c:pt>
                <c:pt idx="284">
                  <c:v>8.3703653251133865</c:v>
                </c:pt>
                <c:pt idx="285">
                  <c:v>8.2837959197830706</c:v>
                </c:pt>
                <c:pt idx="286">
                  <c:v>8.1977205337248407</c:v>
                </c:pt>
                <c:pt idx="287">
                  <c:v>8.1121476143445168</c:v>
                </c:pt>
                <c:pt idx="288">
                  <c:v>8.0270843661833311</c:v>
                </c:pt>
                <c:pt idx="289">
                  <c:v>7.9425368595517822</c:v>
                </c:pt>
                <c:pt idx="290">
                  <c:v>7.8585101299529247</c:v>
                </c:pt>
                <c:pt idx="291">
                  <c:v>7.7750082690969782</c:v>
                </c:pt>
                <c:pt idx="292">
                  <c:v>7.6920345082377004</c:v>
                </c:pt>
                <c:pt idx="293">
                  <c:v>7.6095912944954192</c:v>
                </c:pt>
                <c:pt idx="294">
                  <c:v>7.5276803607724494</c:v>
                </c:pt>
                <c:pt idx="295">
                  <c:v>7.4463027898123464</c:v>
                </c:pt>
                <c:pt idx="296">
                  <c:v>7.3654590729056686</c:v>
                </c:pt>
                <c:pt idx="297">
                  <c:v>7.2851491636999199</c:v>
                </c:pt>
                <c:pt idx="298">
                  <c:v>7.2053725275311127</c:v>
                </c:pt>
                <c:pt idx="299">
                  <c:v>7.1261281866572448</c:v>
                </c:pt>
                <c:pt idx="300">
                  <c:v>7.0474147617405567</c:v>
                </c:pt>
                <c:pt idx="301">
                  <c:v>6.9692305098950307</c:v>
                </c:pt>
                <c:pt idx="302">
                  <c:v>6.8915733595877153</c:v>
                </c:pt>
                <c:pt idx="303">
                  <c:v>6.814440942657372</c:v>
                </c:pt>
                <c:pt idx="304">
                  <c:v>6.7378306236909689</c:v>
                </c:pt>
                <c:pt idx="305">
                  <c:v>6.6617395269777591</c:v>
                </c:pt>
                <c:pt idx="306">
                  <c:v>6.5861645612415707</c:v>
                </c:pt>
                <c:pt idx="307">
                  <c:v>6.5111024423348232</c:v>
                </c:pt>
                <c:pt idx="308">
                  <c:v>6.4365497140619174</c:v>
                </c:pt>
                <c:pt idx="309">
                  <c:v>6.3625027672854637</c:v>
                </c:pt>
                <c:pt idx="310">
                  <c:v>6.2889578574556122</c:v>
                </c:pt>
                <c:pt idx="311">
                  <c:v>6.2159111206909845</c:v>
                </c:pt>
                <c:pt idx="312">
                  <c:v>6.1433585885288435</c:v>
                </c:pt>
                <c:pt idx="313">
                  <c:v>6.0712962014521334</c:v>
                </c:pt>
                <c:pt idx="314">
                  <c:v>5.9997198212922687</c:v>
                </c:pt>
                <c:pt idx="315">
                  <c:v>5.9286252425979704</c:v>
                </c:pt>
                <c:pt idx="316">
                  <c:v>5.8580082030532523</c:v>
                </c:pt>
                <c:pt idx="317">
                  <c:v>5.7878643930206319</c:v>
                </c:pt>
                <c:pt idx="318">
                  <c:v>5.7181894642793774</c:v>
                </c:pt>
                <c:pt idx="319">
                  <c:v>5.6489790380229623</c:v>
                </c:pt>
                <c:pt idx="320">
                  <c:v>5.5802287121745238</c:v>
                </c:pt>
                <c:pt idx="321">
                  <c:v>5.5119340680745115</c:v>
                </c:pt>
                <c:pt idx="322">
                  <c:v>5.4440906765901094</c:v>
                </c:pt>
                <c:pt idx="323">
                  <c:v>5.37669410369225</c:v>
                </c:pt>
                <c:pt idx="324">
                  <c:v>5.309739915542063</c:v>
                </c:pt>
                <c:pt idx="325">
                  <c:v>5.2432236831256107</c:v>
                </c:pt>
                <c:pt idx="326">
                  <c:v>5.1771409864722546</c:v>
                </c:pt>
                <c:pt idx="327">
                  <c:v>5.1114874184895456</c:v>
                </c:pt>
                <c:pt idx="328">
                  <c:v>5.0462585884447</c:v>
                </c:pt>
                <c:pt idx="329">
                  <c:v>4.9814501251204071</c:v>
                </c:pt>
                <c:pt idx="330">
                  <c:v>4.9170576796705863</c:v>
                </c:pt>
                <c:pt idx="331">
                  <c:v>4.8530769281995916</c:v>
                </c:pt>
                <c:pt idx="332">
                  <c:v>4.7895035740866536</c:v>
                </c:pt>
                <c:pt idx="333">
                  <c:v>4.7263333500755431</c:v>
                </c:pt>
                <c:pt idx="334">
                  <c:v>4.6635620201479009</c:v>
                </c:pt>
                <c:pt idx="335">
                  <c:v>4.6011853811973582</c:v>
                </c:pt>
                <c:pt idx="336">
                  <c:v>4.5391992645200547</c:v>
                </c:pt>
                <c:pt idx="337">
                  <c:v>4.4775995371361841</c:v>
                </c:pt>
                <c:pt idx="338">
                  <c:v>4.416382102955855</c:v>
                </c:pt>
                <c:pt idx="339">
                  <c:v>4.3555429038016946</c:v>
                </c:pt>
                <c:pt idx="340">
                  <c:v>4.2950779202996268</c:v>
                </c:pt>
                <c:pt idx="341">
                  <c:v>4.2349831726483043</c:v>
                </c:pt>
                <c:pt idx="342">
                  <c:v>4.1752547212770139</c:v>
                </c:pt>
                <c:pt idx="343">
                  <c:v>4.1158886674010366</c:v>
                </c:pt>
                <c:pt idx="344">
                  <c:v>4.0568811534827605</c:v>
                </c:pt>
                <c:pt idx="345">
                  <c:v>3.9982283636062594</c:v>
                </c:pt>
                <c:pt idx="346">
                  <c:v>3.9399265237724639</c:v>
                </c:pt>
                <c:pt idx="347">
                  <c:v>3.8819719021214452</c:v>
                </c:pt>
                <c:pt idx="348">
                  <c:v>3.8243608090879317</c:v>
                </c:pt>
                <c:pt idx="349">
                  <c:v>3.7670895974956862</c:v>
                </c:pt>
                <c:pt idx="350">
                  <c:v>3.7101546625958708</c:v>
                </c:pt>
                <c:pt idx="351">
                  <c:v>3.6535524420542926</c:v>
                </c:pt>
                <c:pt idx="352">
                  <c:v>3.5972794158918968</c:v>
                </c:pt>
                <c:pt idx="353">
                  <c:v>3.5413321063826633</c:v>
                </c:pt>
                <c:pt idx="354">
                  <c:v>3.4857070779126911</c:v>
                </c:pt>
                <c:pt idx="355">
                  <c:v>3.4304009368039705</c:v>
                </c:pt>
                <c:pt idx="356">
                  <c:v>3.3754103311061021</c:v>
                </c:pt>
                <c:pt idx="357">
                  <c:v>3.3207319503589923</c:v>
                </c:pt>
                <c:pt idx="358">
                  <c:v>3.2663625253292223</c:v>
                </c:pt>
                <c:pt idx="359">
                  <c:v>3.2122988277227633</c:v>
                </c:pt>
                <c:pt idx="360">
                  <c:v>3.1585376698763441</c:v>
                </c:pt>
                <c:pt idx="361">
                  <c:v>3.1050759044296354</c:v>
                </c:pt>
                <c:pt idx="362">
                  <c:v>3.0519104239804138</c:v>
                </c:pt>
                <c:pt idx="363">
                  <c:v>2.9990381607243526</c:v>
                </c:pt>
                <c:pt idx="364">
                  <c:v>2.94645608608141</c:v>
                </c:pt>
                <c:pt idx="365">
                  <c:v>2.8941612103102226</c:v>
                </c:pt>
                <c:pt idx="366">
                  <c:v>2.8421505821121027</c:v>
                </c:pt>
                <c:pt idx="367">
                  <c:v>2.7904212882258999</c:v>
                </c:pt>
                <c:pt idx="368">
                  <c:v>2.7389704530150523</c:v>
                </c:pt>
                <c:pt idx="369">
                  <c:v>2.6877952380479595</c:v>
                </c:pt>
                <c:pt idx="370">
                  <c:v>2.6368928416727169</c:v>
                </c:pt>
                <c:pt idx="371">
                  <c:v>2.5862604985872268</c:v>
                </c:pt>
                <c:pt idx="372">
                  <c:v>2.5358954794055748</c:v>
                </c:pt>
                <c:pt idx="373">
                  <c:v>2.48579509022148</c:v>
                </c:pt>
                <c:pt idx="374">
                  <c:v>2.435956672169636</c:v>
                </c:pt>
                <c:pt idx="375">
                  <c:v>2.3863776009855671</c:v>
                </c:pt>
                <c:pt idx="376">
                  <c:v>2.337055286564715</c:v>
                </c:pt>
                <c:pt idx="377">
                  <c:v>2.2879871725212837</c:v>
                </c:pt>
                <c:pt idx="378">
                  <c:v>2.2391707357474493</c:v>
                </c:pt>
                <c:pt idx="379">
                  <c:v>2.1906034859733223</c:v>
                </c:pt>
                <c:pt idx="380">
                  <c:v>2.1422829653282496</c:v>
                </c:pt>
                <c:pt idx="381">
                  <c:v>2.0942067479037374</c:v>
                </c:pt>
                <c:pt idx="382">
                  <c:v>2.0463724393184686</c:v>
                </c:pt>
                <c:pt idx="383">
                  <c:v>1.9987776762856742</c:v>
                </c:pt>
                <c:pt idx="384">
                  <c:v>1.9514201261832287</c:v>
                </c:pt>
                <c:pt idx="385">
                  <c:v>1.9042974866267146</c:v>
                </c:pt>
                <c:pt idx="386">
                  <c:v>1.8574074850457074</c:v>
                </c:pt>
                <c:pt idx="387">
                  <c:v>1.81074787826353</c:v>
                </c:pt>
                <c:pt idx="388">
                  <c:v>1.7643164520806658</c:v>
                </c:pt>
                <c:pt idx="389">
                  <c:v>1.7181110208619932</c:v>
                </c:pt>
                <c:pt idx="390">
                  <c:v>1.6721294271280398</c:v>
                </c:pt>
                <c:pt idx="391">
                  <c:v>1.6263695411503787</c:v>
                </c:pt>
                <c:pt idx="392">
                  <c:v>1.580829260551303</c:v>
                </c:pt>
                <c:pt idx="393">
                  <c:v>1.5355065099078422</c:v>
                </c:pt>
                <c:pt idx="394">
                  <c:v>1.4903992403603086</c:v>
                </c:pt>
                <c:pt idx="395">
                  <c:v>1.4455054292253935</c:v>
                </c:pt>
                <c:pt idx="396">
                  <c:v>1.4008230796138335</c:v>
                </c:pt>
                <c:pt idx="397">
                  <c:v>1.3563502200528692</c:v>
                </c:pt>
                <c:pt idx="398">
                  <c:v>1.3120849041133344</c:v>
                </c:pt>
                <c:pt idx="399">
                  <c:v>1.268025210041581</c:v>
                </c:pt>
                <c:pt idx="400">
                  <c:v>1.2241692403962106</c:v>
                </c:pt>
                <c:pt idx="401">
                  <c:v>1.1805151216895675</c:v>
                </c:pt>
                <c:pt idx="402">
                  <c:v>1.1370610040341409</c:v>
                </c:pt>
                <c:pt idx="403">
                  <c:v>1.0938050607937853</c:v>
                </c:pt>
                <c:pt idx="404">
                  <c:v>1.050745488239734</c:v>
                </c:pt>
                <c:pt idx="405">
                  <c:v>1.007880505211536</c:v>
                </c:pt>
                <c:pt idx="406">
                  <c:v>0.96520835278275652</c:v>
                </c:pt>
                <c:pt idx="407">
                  <c:v>0.92272729393147968</c:v>
                </c:pt>
                <c:pt idx="408">
                  <c:v>0.88043561321566555</c:v>
                </c:pt>
                <c:pt idx="409">
                  <c:v>0.838331616453176</c:v>
                </c:pt>
                <c:pt idx="410">
                  <c:v>0.79641363040660473</c:v>
                </c:pt>
                <c:pt idx="411">
                  <c:v>0.75468000247279465</c:v>
                </c:pt>
                <c:pt idx="412">
                  <c:v>0.71312910037699451</c:v>
                </c:pt>
                <c:pt idx="413">
                  <c:v>0.67175931187166038</c:v>
                </c:pt>
                <c:pt idx="414">
                  <c:v>0.63056904443987372</c:v>
                </c:pt>
                <c:pt idx="415">
                  <c:v>0.58955672500325274</c:v>
                </c:pt>
                <c:pt idx="416">
                  <c:v>0.54872079963438714</c:v>
                </c:pt>
                <c:pt idx="417">
                  <c:v>0.50805973327374532</c:v>
                </c:pt>
                <c:pt idx="418">
                  <c:v>0.46757200945098476</c:v>
                </c:pt>
                <c:pt idx="419">
                  <c:v>0.42725613001055041</c:v>
                </c:pt>
                <c:pt idx="420">
                  <c:v>0.38711061484172515</c:v>
                </c:pt>
                <c:pt idx="421">
                  <c:v>0.34713400161277996</c:v>
                </c:pt>
                <c:pt idx="422">
                  <c:v>0.30732484550942685</c:v>
                </c:pt>
                <c:pt idx="423">
                  <c:v>0.26768171897737048</c:v>
                </c:pt>
                <c:pt idx="424">
                  <c:v>0.22820321146901185</c:v>
                </c:pt>
                <c:pt idx="425">
                  <c:v>0.18888792919412337</c:v>
                </c:pt>
                <c:pt idx="426">
                  <c:v>0.14973449487458063</c:v>
                </c:pt>
                <c:pt idx="427">
                  <c:v>0.11074154750295837</c:v>
                </c:pt>
                <c:pt idx="428">
                  <c:v>7.1907742105076444E-2</c:v>
                </c:pt>
                <c:pt idx="429">
                  <c:v>3.3231749506307535E-2</c:v>
                </c:pt>
                <c:pt idx="430">
                  <c:v>-5.2877438983136597E-3</c:v>
                </c:pt>
                <c:pt idx="431">
                  <c:v>-4.3652036370282053E-2</c:v>
                </c:pt>
                <c:pt idx="432">
                  <c:v>-8.1862411050142747E-2</c:v>
                </c:pt>
                <c:pt idx="433">
                  <c:v>-0.11992013617644472</c:v>
                </c:pt>
                <c:pt idx="434">
                  <c:v>-0.15782646530109204</c:v>
                </c:pt>
                <c:pt idx="435">
                  <c:v>-0.19558263750126706</c:v>
                </c:pt>
                <c:pt idx="436">
                  <c:v>-0.23318987758783571</c:v>
                </c:pt>
                <c:pt idx="437">
                  <c:v>-0.2706493963104602</c:v>
                </c:pt>
                <c:pt idx="438">
                  <c:v>-0.30796239055931374</c:v>
                </c:pt>
                <c:pt idx="439">
                  <c:v>-0.34513004356351934</c:v>
                </c:pt>
                <c:pt idx="440">
                  <c:v>-0.38215352508639733</c:v>
                </c:pt>
                <c:pt idx="441">
                  <c:v>-0.41903399161752941</c:v>
                </c:pt>
                <c:pt idx="442">
                  <c:v>-0.45577258656166542</c:v>
                </c:pt>
                <c:pt idx="443">
                  <c:v>-0.49237044042459421</c:v>
                </c:pt>
                <c:pt idx="444">
                  <c:v>-0.5288286709959954</c:v>
                </c:pt>
                <c:pt idx="445">
                  <c:v>-0.56514838352929864</c:v>
                </c:pt>
                <c:pt idx="446">
                  <c:v>-0.60133067091862225</c:v>
                </c:pt>
                <c:pt idx="447">
                  <c:v>-0.63737661387284938</c:v>
                </c:pt>
                <c:pt idx="448">
                  <c:v>-0.67328728108690283</c:v>
                </c:pt>
                <c:pt idx="449">
                  <c:v>-0.70906372941015627</c:v>
                </c:pt>
                <c:pt idx="450">
                  <c:v>-0.74470700401223933</c:v>
                </c:pt>
                <c:pt idx="451">
                  <c:v>-0.78021813854604227</c:v>
                </c:pt>
                <c:pt idx="452">
                  <c:v>-0.81559815530814395</c:v>
                </c:pt>
                <c:pt idx="453">
                  <c:v>-0.85084806539665947</c:v>
                </c:pt>
                <c:pt idx="454">
                  <c:v>-0.88596886886645732</c:v>
                </c:pt>
                <c:pt idx="455">
                  <c:v>-0.92096155488197262</c:v>
                </c:pt>
                <c:pt idx="456">
                  <c:v>-0.95582710186747777</c:v>
                </c:pt>
                <c:pt idx="457">
                  <c:v>-0.99056647765496031</c:v>
                </c:pt>
                <c:pt idx="458">
                  <c:v>-1.0251806396296632</c:v>
                </c:pt>
                <c:pt idx="459">
                  <c:v>-1.0596705348731672</c:v>
                </c:pt>
                <c:pt idx="460">
                  <c:v>-1.0940371003043345</c:v>
                </c:pt>
                <c:pt idx="461">
                  <c:v>-1.1282812628178582</c:v>
                </c:pt>
                <c:pt idx="462">
                  <c:v>-1.1624039394206773</c:v>
                </c:pt>
                <c:pt idx="463">
                  <c:v>-1.1964060373661645</c:v>
                </c:pt>
                <c:pt idx="464">
                  <c:v>-1.2302884542861856</c:v>
                </c:pt>
                <c:pt idx="465">
                  <c:v>-1.264052078321066</c:v>
                </c:pt>
                <c:pt idx="466">
                  <c:v>-1.2976977882474734</c:v>
                </c:pt>
                <c:pt idx="467">
                  <c:v>-1.3312264536042571</c:v>
                </c:pt>
                <c:pt idx="468">
                  <c:v>-1.3646389348163246</c:v>
                </c:pt>
                <c:pt idx="469">
                  <c:v>-1.3979360833165182</c:v>
                </c:pt>
                <c:pt idx="470">
                  <c:v>-1.4311187416655782</c:v>
                </c:pt>
                <c:pt idx="471">
                  <c:v>-1.4641877436702182</c:v>
                </c:pt>
                <c:pt idx="472">
                  <c:v>-1.4971439144993286</c:v>
                </c:pt>
                <c:pt idx="473">
                  <c:v>-1.529988070798346</c:v>
                </c:pt>
                <c:pt idx="474">
                  <c:v>-1.5627210208018429</c:v>
                </c:pt>
                <c:pt idx="475">
                  <c:v>-1.5953435644443306</c:v>
                </c:pt>
                <c:pt idx="476">
                  <c:v>-1.6278564934693309</c:v>
                </c:pt>
                <c:pt idx="477">
                  <c:v>-1.6602605915367636</c:v>
                </c:pt>
                <c:pt idx="478">
                  <c:v>-1.6925566343286158</c:v>
                </c:pt>
                <c:pt idx="479">
                  <c:v>-1.7247453896530254</c:v>
                </c:pt>
                <c:pt idx="480">
                  <c:v>-1.7568276175466671</c:v>
                </c:pt>
                <c:pt idx="481">
                  <c:v>-1.7888040703756225</c:v>
                </c:pt>
                <c:pt idx="482">
                  <c:v>-1.8206754929346602</c:v>
                </c:pt>
                <c:pt idx="483">
                  <c:v>-1.8524426225449542</c:v>
                </c:pt>
                <c:pt idx="484">
                  <c:v>-1.8841061891503406</c:v>
                </c:pt>
                <c:pt idx="485">
                  <c:v>-1.9156669154120607</c:v>
                </c:pt>
                <c:pt idx="486">
                  <c:v>-1.947125516802052</c:v>
                </c:pt>
                <c:pt idx="487">
                  <c:v>-1.9784827016948234</c:v>
                </c:pt>
                <c:pt idx="488">
                  <c:v>-2.0097391714578965</c:v>
                </c:pt>
                <c:pt idx="489">
                  <c:v>-2.0408956205409066</c:v>
                </c:pt>
                <c:pt idx="490">
                  <c:v>-2.0719527365632882</c:v>
                </c:pt>
                <c:pt idx="491">
                  <c:v>-2.1029112004006807</c:v>
                </c:pt>
                <c:pt idx="492">
                  <c:v>-2.1337716862699758</c:v>
                </c:pt>
                <c:pt idx="493">
                  <c:v>-2.1645348618131268</c:v>
                </c:pt>
                <c:pt idx="494">
                  <c:v>-2.1952013881796337</c:v>
                </c:pt>
                <c:pt idx="495">
                  <c:v>-2.2257719201078321</c:v>
                </c:pt>
                <c:pt idx="496">
                  <c:v>-2.2562471060049161</c:v>
                </c:pt>
                <c:pt idx="497">
                  <c:v>-2.2866275880257918</c:v>
                </c:pt>
                <c:pt idx="498">
                  <c:v>-2.3169140021507477</c:v>
                </c:pt>
                <c:pt idx="499">
                  <c:v>-2.3471069782619045</c:v>
                </c:pt>
                <c:pt idx="500">
                  <c:v>-2.3772071402186281</c:v>
                </c:pt>
                <c:pt idx="501">
                  <c:v>-2.4072151059317144</c:v>
                </c:pt>
                <c:pt idx="502">
                  <c:v>-2.4371314874365306</c:v>
                </c:pt>
                <c:pt idx="503">
                  <c:v>-2.4669568909650614</c:v>
                </c:pt>
                <c:pt idx="504">
                  <c:v>-2.4966919170168698</c:v>
                </c:pt>
                <c:pt idx="505">
                  <c:v>-2.5263371604290388</c:v>
                </c:pt>
                <c:pt idx="506">
                  <c:v>-2.55589321044505</c:v>
                </c:pt>
                <c:pt idx="507">
                  <c:v>-2.5853606507826736</c:v>
                </c:pt>
                <c:pt idx="508">
                  <c:v>-2.6147400597008534</c:v>
                </c:pt>
                <c:pt idx="509">
                  <c:v>-2.6440320100656001</c:v>
                </c:pt>
                <c:pt idx="510">
                  <c:v>-2.673237069414955</c:v>
                </c:pt>
                <c:pt idx="511">
                  <c:v>-2.702355800022965</c:v>
                </c:pt>
                <c:pt idx="512">
                  <c:v>-2.7313887589627543</c:v>
                </c:pt>
                <c:pt idx="513">
                  <c:v>-2.7603364981686696</c:v>
                </c:pt>
                <c:pt idx="514">
                  <c:v>-2.7891995644975349</c:v>
                </c:pt>
                <c:pt idx="515">
                  <c:v>-2.8179784997890041</c:v>
                </c:pt>
                <c:pt idx="516">
                  <c:v>-2.8466738409250656</c:v>
                </c:pt>
                <c:pt idx="517">
                  <c:v>-2.8752861198886617</c:v>
                </c:pt>
                <c:pt idx="518">
                  <c:v>-2.9038158638215057</c:v>
                </c:pt>
                <c:pt idx="519">
                  <c:v>-2.9322635950810234</c:v>
                </c:pt>
                <c:pt idx="520">
                  <c:v>-2.9606298312965351</c:v>
                </c:pt>
                <c:pt idx="521">
                  <c:v>-2.9889150854245745</c:v>
                </c:pt>
                <c:pt idx="522">
                  <c:v>-3.0171198658034779</c:v>
                </c:pt>
                <c:pt idx="523">
                  <c:v>-3.0452446762071741</c:v>
                </c:pt>
                <c:pt idx="524">
                  <c:v>-3.0732900158981908</c:v>
                </c:pt>
                <c:pt idx="525">
                  <c:v>-3.1012563796799508</c:v>
                </c:pt>
                <c:pt idx="526">
                  <c:v>-3.1291442579483157</c:v>
                </c:pt>
                <c:pt idx="527">
                  <c:v>-3.1569541367423923</c:v>
                </c:pt>
                <c:pt idx="528">
                  <c:v>-3.1846864977946518</c:v>
                </c:pt>
                <c:pt idx="529">
                  <c:v>-3.2123418185802959</c:v>
                </c:pt>
                <c:pt idx="530">
                  <c:v>-3.2399205723660227</c:v>
                </c:pt>
                <c:pt idx="531">
                  <c:v>-3.2674232282580133</c:v>
                </c:pt>
                <c:pt idx="532">
                  <c:v>-3.2948502512493199</c:v>
                </c:pt>
                <c:pt idx="533">
                  <c:v>-3.32220210226656</c:v>
                </c:pt>
                <c:pt idx="534">
                  <c:v>-3.3494792382159848</c:v>
                </c:pt>
                <c:pt idx="535">
                  <c:v>-3.3766821120289165</c:v>
                </c:pt>
                <c:pt idx="536">
                  <c:v>-3.403811172706515</c:v>
                </c:pt>
                <c:pt idx="537">
                  <c:v>-3.4308668653639876</c:v>
                </c:pt>
                <c:pt idx="538">
                  <c:v>-3.4578496312741587</c:v>
                </c:pt>
                <c:pt idx="539">
                  <c:v>-3.4847599079104432</c:v>
                </c:pt>
                <c:pt idx="540">
                  <c:v>-3.5115981289892466</c:v>
                </c:pt>
                <c:pt idx="541">
                  <c:v>-3.5383647245117738</c:v>
                </c:pt>
                <c:pt idx="542">
                  <c:v>-3.5650601208052874</c:v>
                </c:pt>
                <c:pt idx="543">
                  <c:v>-3.5916847405637786</c:v>
                </c:pt>
                <c:pt idx="544">
                  <c:v>-3.6182390028881284</c:v>
                </c:pt>
                <c:pt idx="545">
                  <c:v>-3.6447233233256675</c:v>
                </c:pt>
                <c:pt idx="546">
                  <c:v>-3.6711381139092802</c:v>
                </c:pt>
                <c:pt idx="547">
                  <c:v>-3.6974837831958984</c:v>
                </c:pt>
                <c:pt idx="548">
                  <c:v>-3.7237607363045733</c:v>
                </c:pt>
                <c:pt idx="549">
                  <c:v>-3.749969374953916</c:v>
                </c:pt>
                <c:pt idx="550">
                  <c:v>-3.7761100974991817</c:v>
                </c:pt>
                <c:pt idx="551">
                  <c:v>-3.8021832989687399</c:v>
                </c:pt>
                <c:pt idx="552">
                  <c:v>-3.8281893711001249</c:v>
                </c:pt>
                <c:pt idx="553">
                  <c:v>-3.8541287023755877</c:v>
                </c:pt>
                <c:pt idx="554">
                  <c:v>-3.8800016780571784</c:v>
                </c:pt>
                <c:pt idx="555">
                  <c:v>-3.9058086802213685</c:v>
                </c:pt>
                <c:pt idx="556">
                  <c:v>-3.9315500877932257</c:v>
                </c:pt>
                <c:pt idx="557">
                  <c:v>-3.9572262765801201</c:v>
                </c:pt>
                <c:pt idx="558">
                  <c:v>-3.9828376193049908</c:v>
                </c:pt>
                <c:pt idx="559">
                  <c:v>-4.0083844856392119</c:v>
                </c:pt>
                <c:pt idx="560">
                  <c:v>-4.0338672422349866</c:v>
                </c:pt>
                <c:pt idx="561">
                  <c:v>-4.0592862527573361</c:v>
                </c:pt>
                <c:pt idx="562">
                  <c:v>-4.0846418779156828</c:v>
                </c:pt>
                <c:pt idx="563">
                  <c:v>-4.1099344754949936</c:v>
                </c:pt>
                <c:pt idx="564">
                  <c:v>-4.135164400386576</c:v>
                </c:pt>
                <c:pt idx="565">
                  <c:v>-4.1603320046184225</c:v>
                </c:pt>
                <c:pt idx="566">
                  <c:v>-4.1854376373851725</c:v>
                </c:pt>
                <c:pt idx="567">
                  <c:v>-4.2104816450777314</c:v>
                </c:pt>
                <c:pt idx="568">
                  <c:v>-4.2354643713124629</c:v>
                </c:pt>
                <c:pt idx="569">
                  <c:v>-4.260386156960017</c:v>
                </c:pt>
                <c:pt idx="570">
                  <c:v>-4.2852473401738251</c:v>
                </c:pt>
                <c:pt idx="571">
                  <c:v>-4.310048256418181</c:v>
                </c:pt>
                <c:pt idx="572">
                  <c:v>-4.3347892384960041</c:v>
                </c:pt>
                <c:pt idx="573">
                  <c:v>-4.3594706165762398</c:v>
                </c:pt>
                <c:pt idx="574">
                  <c:v>-4.3840927182209031</c:v>
                </c:pt>
                <c:pt idx="575">
                  <c:v>-4.4086558684117803</c:v>
                </c:pt>
                <c:pt idx="576">
                  <c:v>-4.4331603895768277</c:v>
                </c:pt>
                <c:pt idx="577">
                  <c:v>-4.4576066016162086</c:v>
                </c:pt>
                <c:pt idx="578">
                  <c:v>-4.4819948219279766</c:v>
                </c:pt>
                <c:pt idx="579">
                  <c:v>-4.5063253654335318</c:v>
                </c:pt>
                <c:pt idx="580">
                  <c:v>-4.5305985446026362</c:v>
                </c:pt>
                <c:pt idx="581">
                  <c:v>-4.5548146694782297</c:v>
                </c:pt>
                <c:pt idx="582">
                  <c:v>-4.5789740477008598</c:v>
                </c:pt>
                <c:pt idx="583">
                  <c:v>-4.6030769845328461</c:v>
                </c:pt>
                <c:pt idx="584">
                  <c:v>-4.6271237828821441</c:v>
                </c:pt>
                <c:pt idx="585">
                  <c:v>-4.6511147433258966</c:v>
                </c:pt>
                <c:pt idx="586">
                  <c:v>-4.6750501641337188</c:v>
                </c:pt>
                <c:pt idx="587">
                  <c:v>-4.6989303412906773</c:v>
                </c:pt>
                <c:pt idx="588">
                  <c:v>-4.7227555685199905</c:v>
                </c:pt>
                <c:pt idx="589">
                  <c:v>-4.7465261373054766</c:v>
                </c:pt>
                <c:pt idx="590">
                  <c:v>-4.770242336913693</c:v>
                </c:pt>
                <c:pt idx="591">
                  <c:v>-4.7939044544158049</c:v>
                </c:pt>
                <c:pt idx="592">
                  <c:v>-4.817512774709253</c:v>
                </c:pt>
                <c:pt idx="593">
                  <c:v>-4.8410675805390628</c:v>
                </c:pt>
                <c:pt idx="594">
                  <c:v>-4.8645691525189596</c:v>
                </c:pt>
                <c:pt idx="595">
                  <c:v>-4.8880177691522197</c:v>
                </c:pt>
                <c:pt idx="596">
                  <c:v>-4.9114137068522625</c:v>
                </c:pt>
                <c:pt idx="597">
                  <c:v>-4.9347572399629716</c:v>
                </c:pt>
                <c:pt idx="598">
                  <c:v>-4.9580486407788396</c:v>
                </c:pt>
                <c:pt idx="599">
                  <c:v>-4.9812881795648005</c:v>
                </c:pt>
                <c:pt idx="600">
                  <c:v>-5.0044761245758522</c:v>
                </c:pt>
                <c:pt idx="601">
                  <c:v>-5.0276127420764638</c:v>
                </c:pt>
                <c:pt idx="602">
                  <c:v>-5.0506982963597302</c:v>
                </c:pt>
                <c:pt idx="603">
                  <c:v>-5.0737330497662914</c:v>
                </c:pt>
                <c:pt idx="604">
                  <c:v>-5.0967172627030601</c:v>
                </c:pt>
                <c:pt idx="605">
                  <c:v>-5.1196511936617108</c:v>
                </c:pt>
                <c:pt idx="606">
                  <c:v>-6.2074427706879174</c:v>
                </c:pt>
                <c:pt idx="607">
                  <c:v>-7.1964429231268054</c:v>
                </c:pt>
                <c:pt idx="608">
                  <c:v>-8.1061487743999621</c:v>
                </c:pt>
                <c:pt idx="609">
                  <c:v>-8.9509340380406357</c:v>
                </c:pt>
                <c:pt idx="610">
                  <c:v>-9.7416601082722014</c:v>
                </c:pt>
                <c:pt idx="611">
                  <c:v>-10.486703872926643</c:v>
                </c:pt>
                <c:pt idx="612">
                  <c:v>-11.192638212890477</c:v>
                </c:pt>
                <c:pt idx="613">
                  <c:v>-11.864697006406406</c:v>
                </c:pt>
                <c:pt idx="614">
                  <c:v>-12.50710159775169</c:v>
                </c:pt>
                <c:pt idx="615">
                  <c:v>-13.123295413339012</c:v>
                </c:pt>
                <c:pt idx="616">
                  <c:v>-13.716116006560215</c:v>
                </c:pt>
                <c:pt idx="617">
                  <c:v>-14.287923448617612</c:v>
                </c:pt>
                <c:pt idx="618">
                  <c:v>-14.510237235766999</c:v>
                </c:pt>
                <c:pt idx="619">
                  <c:v>-14.729627646853498</c:v>
                </c:pt>
                <c:pt idx="620">
                  <c:v>-14.946201474534764</c:v>
                </c:pt>
                <c:pt idx="621">
                  <c:v>-15.160058726837313</c:v>
                </c:pt>
                <c:pt idx="622">
                  <c:v>-15.3712931721575</c:v>
                </c:pt>
                <c:pt idx="623">
                  <c:v>-15.579992833663333</c:v>
                </c:pt>
                <c:pt idx="624">
                  <c:v>-15.786240438482093</c:v>
                </c:pt>
                <c:pt idx="625">
                  <c:v>-15.990113826401291</c:v>
                </c:pt>
                <c:pt idx="626">
                  <c:v>-16.191686322244362</c:v>
                </c:pt>
                <c:pt idx="627">
                  <c:v>-16.391027075593108</c:v>
                </c:pt>
                <c:pt idx="628">
                  <c:v>-16.588201371105239</c:v>
                </c:pt>
                <c:pt idx="629">
                  <c:v>-16.783270912306833</c:v>
                </c:pt>
                <c:pt idx="630">
                  <c:v>-16.976294081418903</c:v>
                </c:pt>
                <c:pt idx="631">
                  <c:v>-17.167326177496744</c:v>
                </c:pt>
                <c:pt idx="632">
                  <c:v>-17.356419634915568</c:v>
                </c:pt>
                <c:pt idx="633">
                  <c:v>-17.54362422402021</c:v>
                </c:pt>
                <c:pt idx="634">
                  <c:v>-17.728987235567327</c:v>
                </c:pt>
                <c:pt idx="635">
                  <c:v>-17.912553650421248</c:v>
                </c:pt>
                <c:pt idx="636">
                  <c:v>-18.094366295816759</c:v>
                </c:pt>
                <c:pt idx="637">
                  <c:v>-18.274465989371393</c:v>
                </c:pt>
                <c:pt idx="638">
                  <c:v>-18.45289167191342</c:v>
                </c:pt>
                <c:pt idx="639">
                  <c:v>-18.629680530088546</c:v>
                </c:pt>
                <c:pt idx="640">
                  <c:v>-18.804868109616169</c:v>
                </c:pt>
                <c:pt idx="641">
                  <c:v>-18.978488419983858</c:v>
                </c:pt>
                <c:pt idx="642">
                  <c:v>-19.150574031295207</c:v>
                </c:pt>
                <c:pt idx="643">
                  <c:v>-19.321156163920381</c:v>
                </c:pt>
                <c:pt idx="644">
                  <c:v>-19.490264771539522</c:v>
                </c:pt>
                <c:pt idx="645">
                  <c:v>-19.657928618116102</c:v>
                </c:pt>
                <c:pt idx="646">
                  <c:v>-19.82417534928955</c:v>
                </c:pt>
                <c:pt idx="647">
                  <c:v>-19.989031558633165</c:v>
                </c:pt>
                <c:pt idx="648">
                  <c:v>-20.152522849184805</c:v>
                </c:pt>
                <c:pt idx="649">
                  <c:v>-20.314673890622235</c:v>
                </c:pt>
                <c:pt idx="650">
                  <c:v>-20.475508472423513</c:v>
                </c:pt>
                <c:pt idx="651">
                  <c:v>-20.635049553323817</c:v>
                </c:pt>
                <c:pt idx="652">
                  <c:v>-20.793319307353926</c:v>
                </c:pt>
                <c:pt idx="653">
                  <c:v>-20.950339166721861</c:v>
                </c:pt>
                <c:pt idx="654">
                  <c:v>-21.106129861777518</c:v>
                </c:pt>
                <c:pt idx="655">
                  <c:v>-21.260711458280547</c:v>
                </c:pt>
                <c:pt idx="656">
                  <c:v>-21.414103392173665</c:v>
                </c:pt>
                <c:pt idx="657">
                  <c:v>-21.56632450204739</c:v>
                </c:pt>
                <c:pt idx="658">
                  <c:v>-21.717393059467149</c:v>
                </c:pt>
                <c:pt idx="659">
                  <c:v>-21.867326797320178</c:v>
                </c:pt>
                <c:pt idx="660">
                  <c:v>-22.016142936327135</c:v>
                </c:pt>
                <c:pt idx="661">
                  <c:v>-22.163858209851849</c:v>
                </c:pt>
                <c:pt idx="662">
                  <c:v>-22.310488887132458</c:v>
                </c:pt>
                <c:pt idx="663">
                  <c:v>-22.456050795047172</c:v>
                </c:pt>
                <c:pt idx="664">
                  <c:v>-22.600559338519766</c:v>
                </c:pt>
                <c:pt idx="665">
                  <c:v>-22.744029519661069</c:v>
                </c:pt>
                <c:pt idx="666">
                  <c:v>-22.886475955736138</c:v>
                </c:pt>
                <c:pt idx="667">
                  <c:v>-23.027912896039361</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-204.64018572905746</c:v>
                </c:pt>
                <c:pt idx="1">
                  <c:v>-222.51830001583178</c:v>
                </c:pt>
                <c:pt idx="2">
                  <c:v>-233.95785708149543</c:v>
                </c:pt>
                <c:pt idx="3">
                  <c:v>-241.34894659966102</c:v>
                </c:pt>
                <c:pt idx="4">
                  <c:v>-246.3590250656103</c:v>
                </c:pt>
                <c:pt idx="5">
                  <c:v>-249.92577468730255</c:v>
                </c:pt>
                <c:pt idx="6">
                  <c:v>-252.57319870324091</c:v>
                </c:pt>
                <c:pt idx="7">
                  <c:v>-254.60635795503185</c:v>
                </c:pt>
                <c:pt idx="8">
                  <c:v>-256.21163792338609</c:v>
                </c:pt>
                <c:pt idx="9">
                  <c:v>-257.50818130614465</c:v>
                </c:pt>
                <c:pt idx="10">
                  <c:v>-263.37641943561863</c:v>
                </c:pt>
                <c:pt idx="11">
                  <c:v>-265.235007925513</c:v>
                </c:pt>
                <c:pt idx="12">
                  <c:v>-266.06663482704147</c:v>
                </c:pt>
                <c:pt idx="13">
                  <c:v>-266.48498799071666</c:v>
                </c:pt>
                <c:pt idx="14">
                  <c:v>-266.69619214902684</c:v>
                </c:pt>
                <c:pt idx="15">
                  <c:v>-266.7888778175984</c:v>
                </c:pt>
                <c:pt idx="16">
                  <c:v>-266.80743840151553</c:v>
                </c:pt>
                <c:pt idx="17">
                  <c:v>-266.77656337683476</c:v>
                </c:pt>
                <c:pt idx="18">
                  <c:v>-266.71107708141096</c:v>
                </c:pt>
                <c:pt idx="19">
                  <c:v>-265.29515959386606</c:v>
                </c:pt>
                <c:pt idx="20">
                  <c:v>-263.46627760301328</c:v>
                </c:pt>
                <c:pt idx="21">
                  <c:v>-261.53769726648659</c:v>
                </c:pt>
                <c:pt idx="22">
                  <c:v>-259.57320687222239</c:v>
                </c:pt>
                <c:pt idx="23">
                  <c:v>-257.59498126518201</c:v>
                </c:pt>
                <c:pt idx="24">
                  <c:v>-255.61328263095982</c:v>
                </c:pt>
                <c:pt idx="25">
                  <c:v>-253.63388271055385</c:v>
                </c:pt>
                <c:pt idx="26">
                  <c:v>-251.66053393826286</c:v>
                </c:pt>
                <c:pt idx="27">
                  <c:v>-249.6959554542895</c:v>
                </c:pt>
                <c:pt idx="28">
                  <c:v>-240.06859218035018</c:v>
                </c:pt>
                <c:pt idx="29">
                  <c:v>-230.88106811592607</c:v>
                </c:pt>
                <c:pt idx="30">
                  <c:v>-222.23635611202488</c:v>
                </c:pt>
                <c:pt idx="31">
                  <c:v>-214.19183681376373</c:v>
                </c:pt>
                <c:pt idx="32">
                  <c:v>-206.76978615978959</c:v>
                </c:pt>
                <c:pt idx="33">
                  <c:v>-199.96585083332545</c:v>
                </c:pt>
                <c:pt idx="34">
                  <c:v>-193.75699850527604</c:v>
                </c:pt>
                <c:pt idx="35">
                  <c:v>-188.10838178302976</c:v>
                </c:pt>
                <c:pt idx="36">
                  <c:v>-182.97874613351161</c:v>
                </c:pt>
                <c:pt idx="37">
                  <c:v>-178.32436608734622</c:v>
                </c:pt>
                <c:pt idx="38">
                  <c:v>-174.10170928193557</c:v>
                </c:pt>
                <c:pt idx="39">
                  <c:v>-170.26910531786589</c:v>
                </c:pt>
                <c:pt idx="40">
                  <c:v>-166.78768986995391</c:v>
                </c:pt>
                <c:pt idx="41">
                  <c:v>-163.62185048654294</c:v>
                </c:pt>
                <c:pt idx="42">
                  <c:v>-160.7393473996959</c:v>
                </c:pt>
                <c:pt idx="43">
                  <c:v>-158.11123420904823</c:v>
                </c:pt>
                <c:pt idx="44">
                  <c:v>-155.71166434948128</c:v>
                </c:pt>
                <c:pt idx="45">
                  <c:v>-153.51764017455403</c:v>
                </c:pt>
                <c:pt idx="46">
                  <c:v>-151.5087408264709</c:v>
                </c:pt>
                <c:pt idx="47">
                  <c:v>-149.66685090977535</c:v>
                </c:pt>
                <c:pt idx="48">
                  <c:v>-147.97590257747444</c:v>
                </c:pt>
                <c:pt idx="49">
                  <c:v>-146.42163755636517</c:v>
                </c:pt>
                <c:pt idx="50">
                  <c:v>-144.99139182208299</c:v>
                </c:pt>
                <c:pt idx="51">
                  <c:v>-143.67390332577472</c:v>
                </c:pt>
                <c:pt idx="52">
                  <c:v>-142.4591418481611</c:v>
                </c:pt>
                <c:pt idx="53">
                  <c:v>-141.33815935747452</c:v>
                </c:pt>
                <c:pt idx="54">
                  <c:v>-140.30295893882513</c:v>
                </c:pt>
                <c:pt idx="55">
                  <c:v>-139.34638028915325</c:v>
                </c:pt>
                <c:pt idx="56">
                  <c:v>-138.46199983429256</c:v>
                </c:pt>
                <c:pt idx="57">
                  <c:v>-137.64404365958779</c:v>
                </c:pt>
                <c:pt idx="58">
                  <c:v>-136.887311613756</c:v>
                </c:pt>
                <c:pt idx="59">
                  <c:v>-136.18711112360074</c:v>
                </c:pt>
                <c:pt idx="60">
                  <c:v>-135.53919943109062</c:v>
                </c:pt>
                <c:pt idx="61">
                  <c:v>-134.93973312680845</c:v>
                </c:pt>
                <c:pt idx="62">
                  <c:v>-134.38522400137782</c:v>
                </c:pt>
                <c:pt idx="63">
                  <c:v>-133.87250036803869</c:v>
                </c:pt>
                <c:pt idx="64">
                  <c:v>-133.39867312531317</c:v>
                </c:pt>
                <c:pt idx="65">
                  <c:v>-132.961105929653</c:v>
                </c:pt>
                <c:pt idx="66">
                  <c:v>-132.55738893542554</c:v>
                </c:pt>
                <c:pt idx="67">
                  <c:v>-132.18531563504769</c:v>
                </c:pt>
                <c:pt idx="68">
                  <c:v>-131.84286239696149</c:v>
                </c:pt>
                <c:pt idx="69">
                  <c:v>-131.52817035483389</c:v>
                </c:pt>
                <c:pt idx="70">
                  <c:v>-131.23952934910358</c:v>
                </c:pt>
                <c:pt idx="71">
                  <c:v>-130.97536366289881</c:v>
                </c:pt>
                <c:pt idx="72">
                  <c:v>-130.73421932939118</c:v>
                </c:pt>
                <c:pt idx="73">
                  <c:v>-130.51475281767483</c:v>
                </c:pt>
                <c:pt idx="74">
                  <c:v>-130.31572093000983</c:v>
                </c:pt>
                <c:pt idx="75">
                  <c:v>-130.13597176536078</c:v>
                </c:pt>
                <c:pt idx="76">
                  <c:v>-129.97443662314154</c:v>
                </c:pt>
                <c:pt idx="77">
                  <c:v>-129.83012273739897</c:v>
                </c:pt>
                <c:pt idx="78">
                  <c:v>-129.70210674572405</c:v>
                </c:pt>
                <c:pt idx="79">
                  <c:v>-129.58952880929709</c:v>
                </c:pt>
                <c:pt idx="80">
                  <c:v>-129.49158731093968</c:v>
                </c:pt>
                <c:pt idx="81">
                  <c:v>-129.40753406709439</c:v>
                </c:pt>
                <c:pt idx="82">
                  <c:v>-129.33666999749329</c:v>
                </c:pt>
                <c:pt idx="83">
                  <c:v>-129.27834120307233</c:v>
                </c:pt>
                <c:pt idx="84">
                  <c:v>-129.23193540859856</c:v>
                </c:pt>
                <c:pt idx="85">
                  <c:v>-129.19687873161394</c:v>
                </c:pt>
                <c:pt idx="86">
                  <c:v>-129.17263274378126</c:v>
                </c:pt>
                <c:pt idx="87">
                  <c:v>-129.15869179462592</c:v>
                </c:pt>
                <c:pt idx="88">
                  <c:v>-129.15458057108668</c:v>
                </c:pt>
                <c:pt idx="89">
                  <c:v>-129.15985186928168</c:v>
                </c:pt>
                <c:pt idx="90">
                  <c:v>-129.17408455752064</c:v>
                </c:pt>
                <c:pt idx="91">
                  <c:v>-129.19688171189955</c:v>
                </c:pt>
                <c:pt idx="92">
                  <c:v>-129.22786890784315</c:v>
                </c:pt>
                <c:pt idx="93">
                  <c:v>-129.26669265274614</c:v>
                </c:pt>
                <c:pt idx="94">
                  <c:v>-129.31301894644122</c:v>
                </c:pt>
                <c:pt idx="95">
                  <c:v>-129.36653195761403</c:v>
                </c:pt>
                <c:pt idx="96">
                  <c:v>-129.42693280551825</c:v>
                </c:pt>
                <c:pt idx="97">
                  <c:v>-129.49393843743536</c:v>
                </c:pt>
                <c:pt idx="98">
                  <c:v>-129.56728059329299</c:v>
                </c:pt>
                <c:pt idx="99">
                  <c:v>-129.64670484971595</c:v>
                </c:pt>
                <c:pt idx="100">
                  <c:v>-129.73196973655064</c:v>
                </c:pt>
                <c:pt idx="101">
                  <c:v>-129.82284591958583</c:v>
                </c:pt>
                <c:pt idx="102">
                  <c:v>-129.91911544380065</c:v>
                </c:pt>
                <c:pt idx="103">
                  <c:v>-130.02057103201517</c:v>
                </c:pt>
                <c:pt idx="104">
                  <c:v>-130.12701543430518</c:v>
                </c:pt>
                <c:pt idx="105">
                  <c:v>-130.23826082397699</c:v>
                </c:pt>
                <c:pt idx="106">
                  <c:v>-130.35412823628982</c:v>
                </c:pt>
                <c:pt idx="107">
                  <c:v>-130.47444704646264</c:v>
                </c:pt>
                <c:pt idx="108">
                  <c:v>-130.5990544838173</c:v>
                </c:pt>
                <c:pt idx="109">
                  <c:v>-130.72779517919315</c:v>
                </c:pt>
                <c:pt idx="110">
                  <c:v>-130.8605207430235</c:v>
                </c:pt>
                <c:pt idx="111">
                  <c:v>-130.99708937169333</c:v>
                </c:pt>
                <c:pt idx="112">
                  <c:v>-131.13736548000696</c:v>
                </c:pt>
                <c:pt idx="113">
                  <c:v>-131.28121935777935</c:v>
                </c:pt>
                <c:pt idx="114">
                  <c:v>-131.42852684873773</c:v>
                </c:pt>
                <c:pt idx="115">
                  <c:v>-131.57916905007016</c:v>
                </c:pt>
                <c:pt idx="116">
                  <c:v>-131.73303203109958</c:v>
                </c:pt>
                <c:pt idx="117">
                  <c:v>-131.89000656968761</c:v>
                </c:pt>
                <c:pt idx="118">
                  <c:v>-132.04998790508569</c:v>
                </c:pt>
                <c:pt idx="119">
                  <c:v>-132.21287550605697</c:v>
                </c:pt>
                <c:pt idx="120">
                  <c:v>-132.37857285318736</c:v>
                </c:pt>
                <c:pt idx="121">
                  <c:v>-132.54698723438858</c:v>
                </c:pt>
                <c:pt idx="122">
                  <c:v>-132.71802955267708</c:v>
                </c:pt>
                <c:pt idx="123">
                  <c:v>-132.89161414538333</c:v>
                </c:pt>
                <c:pt idx="124">
                  <c:v>-133.06765861401163</c:v>
                </c:pt>
                <c:pt idx="125">
                  <c:v>-133.24608366403106</c:v>
                </c:pt>
                <c:pt idx="126">
                  <c:v>-133.42681295393251</c:v>
                </c:pt>
                <c:pt idx="127">
                  <c:v>-133.60977295293708</c:v>
                </c:pt>
                <c:pt idx="128">
                  <c:v>-133.79489280678754</c:v>
                </c:pt>
                <c:pt idx="129">
                  <c:v>-133.98210421109616</c:v>
                </c:pt>
                <c:pt idx="130">
                  <c:v>-134.17134129176094</c:v>
                </c:pt>
                <c:pt idx="131">
                  <c:v>-134.36254049199863</c:v>
                </c:pt>
                <c:pt idx="132">
                  <c:v>-134.55564046557416</c:v>
                </c:pt>
                <c:pt idx="133">
                  <c:v>-134.7505819758378</c:v>
                </c:pt>
                <c:pt idx="134">
                  <c:v>-134.94730780020777</c:v>
                </c:pt>
                <c:pt idx="135">
                  <c:v>-135.1457626397617</c:v>
                </c:pt>
                <c:pt idx="136">
                  <c:v>-135.34589303362469</c:v>
                </c:pt>
                <c:pt idx="137">
                  <c:v>-135.54764727786204</c:v>
                </c:pt>
                <c:pt idx="138">
                  <c:v>-135.750975348606</c:v>
                </c:pt>
                <c:pt idx="139">
                  <c:v>-135.95582882916315</c:v>
                </c:pt>
                <c:pt idx="140">
                  <c:v>-136.16216084086722</c:v>
                </c:pt>
                <c:pt idx="141">
                  <c:v>-136.36992597745711</c:v>
                </c:pt>
                <c:pt idx="142">
                  <c:v>-136.57908024277489</c:v>
                </c:pt>
                <c:pt idx="143">
                  <c:v>-136.78958099159178</c:v>
                </c:pt>
                <c:pt idx="144">
                  <c:v>-137.00138687338318</c:v>
                </c:pt>
                <c:pt idx="145">
                  <c:v>-137.21445777888476</c:v>
                </c:pt>
                <c:pt idx="146">
                  <c:v>-137.42875478927297</c:v>
                </c:pt>
                <c:pt idx="147">
                  <c:v>-137.64424012782297</c:v>
                </c:pt>
                <c:pt idx="148">
                  <c:v>-137.86087711390638</c:v>
                </c:pt>
                <c:pt idx="149">
                  <c:v>-138.07863011920045</c:v>
                </c:pt>
                <c:pt idx="150">
                  <c:v>-138.29746452598667</c:v>
                </c:pt>
                <c:pt idx="151">
                  <c:v>-138.5173466874266</c:v>
                </c:pt>
                <c:pt idx="152">
                  <c:v>-138.73824388970772</c:v>
                </c:pt>
                <c:pt idx="153">
                  <c:v>-138.96012431595992</c:v>
                </c:pt>
                <c:pt idx="154">
                  <c:v>-139.18295701184766</c:v>
                </c:pt>
                <c:pt idx="155">
                  <c:v>-139.40671185275116</c:v>
                </c:pt>
                <c:pt idx="156">
                  <c:v>-139.63135951245184</c:v>
                </c:pt>
                <c:pt idx="157">
                  <c:v>-139.85687143324523</c:v>
                </c:pt>
                <c:pt idx="158">
                  <c:v>-140.08321979740722</c:v>
                </c:pt>
                <c:pt idx="159">
                  <c:v>-140.31037749994437</c:v>
                </c:pt>
                <c:pt idx="160">
                  <c:v>-140.53831812256317</c:v>
                </c:pt>
                <c:pt idx="161">
                  <c:v>-140.76701590879702</c:v>
                </c:pt>
                <c:pt idx="162">
                  <c:v>-140.99644574023222</c:v>
                </c:pt>
                <c:pt idx="163">
                  <c:v>-141.2265831137791</c:v>
                </c:pt>
                <c:pt idx="164">
                  <c:v>-141.45740411993603</c:v>
                </c:pt>
                <c:pt idx="165">
                  <c:v>-141.68888542199761</c:v>
                </c:pt>
                <c:pt idx="166">
                  <c:v>-141.92100423616185</c:v>
                </c:pt>
                <c:pt idx="167">
                  <c:v>-142.15373831249099</c:v>
                </c:pt>
                <c:pt idx="168">
                  <c:v>-142.38706591668682</c:v>
                </c:pt>
                <c:pt idx="169">
                  <c:v>-142.62096581264046</c:v>
                </c:pt>
                <c:pt idx="170">
                  <c:v>-142.85541724571962</c:v>
                </c:pt>
                <c:pt idx="171">
                  <c:v>-143.09039992675935</c:v>
                </c:pt>
                <c:pt idx="172">
                  <c:v>-143.32589401672249</c:v>
                </c:pt>
                <c:pt idx="173">
                  <c:v>-143.56188011199885</c:v>
                </c:pt>
                <c:pt idx="174">
                  <c:v>-143.79833923031367</c:v>
                </c:pt>
                <c:pt idx="175">
                  <c:v>-144.03525279721697</c:v>
                </c:pt>
                <c:pt idx="176">
                  <c:v>-144.27260263312689</c:v>
                </c:pt>
                <c:pt idx="177">
                  <c:v>-144.51037094090299</c:v>
                </c:pt>
                <c:pt idx="178">
                  <c:v>-144.74854029392378</c:v>
                </c:pt>
                <c:pt idx="179">
                  <c:v>-144.98709362464729</c:v>
                </c:pt>
                <c:pt idx="180">
                  <c:v>-145.22601421363157</c:v>
                </c:pt>
                <c:pt idx="181">
                  <c:v>-145.46528567899625</c:v>
                </c:pt>
                <c:pt idx="182">
                  <c:v>-145.70489196630407</c:v>
                </c:pt>
                <c:pt idx="183">
                  <c:v>-145.94481733884481</c:v>
                </c:pt>
                <c:pt idx="184">
                  <c:v>-146.18504636830355</c:v>
                </c:pt>
                <c:pt idx="185">
                  <c:v>-146.4255639257965</c:v>
                </c:pt>
                <c:pt idx="186">
                  <c:v>-146.66635517325867</c:v>
                </c:pt>
                <c:pt idx="187">
                  <c:v>-146.90740555516766</c:v>
                </c:pt>
                <c:pt idx="188">
                  <c:v>-147.1487007905898</c:v>
                </c:pt>
                <c:pt idx="189">
                  <c:v>-147.39022686553392</c:v>
                </c:pt>
                <c:pt idx="190">
                  <c:v>-147.63197002560045</c:v>
                </c:pt>
                <c:pt idx="191">
                  <c:v>-147.87391676891298</c:v>
                </c:pt>
                <c:pt idx="192">
                  <c:v>-148.11605383931999</c:v>
                </c:pt>
                <c:pt idx="193">
                  <c:v>-148.35836821985595</c:v>
                </c:pt>
                <c:pt idx="194">
                  <c:v>-148.60084712645042</c:v>
                </c:pt>
                <c:pt idx="195">
                  <c:v>-148.84347800187521</c:v>
                </c:pt>
                <c:pt idx="196">
                  <c:v>-149.0862485099191</c:v>
                </c:pt>
                <c:pt idx="197">
                  <c:v>-149.32914652978133</c:v>
                </c:pt>
                <c:pt idx="198">
                  <c:v>-149.57216015067428</c:v>
                </c:pt>
                <c:pt idx="199">
                  <c:v>-149.81527766662705</c:v>
                </c:pt>
                <c:pt idx="200">
                  <c:v>-150.05848757148132</c:v>
                </c:pt>
                <c:pt idx="201">
                  <c:v>-150.30177855407211</c:v>
                </c:pt>
                <c:pt idx="202">
                  <c:v>-150.54513949358551</c:v>
                </c:pt>
                <c:pt idx="203">
                  <c:v>-150.78855945508602</c:v>
                </c:pt>
                <c:pt idx="204">
                  <c:v>-151.03202768520737</c:v>
                </c:pt>
                <c:pt idx="205">
                  <c:v>-151.27553360799914</c:v>
                </c:pt>
                <c:pt idx="206">
                  <c:v>-151.51906682092368</c:v>
                </c:pt>
                <c:pt idx="207">
                  <c:v>-151.76261709099703</c:v>
                </c:pt>
                <c:pt idx="208">
                  <c:v>-152.00617435106781</c:v>
                </c:pt>
                <c:pt idx="209">
                  <c:v>-152.24972869622894</c:v>
                </c:pt>
                <c:pt idx="210">
                  <c:v>-152.49327038035659</c:v>
                </c:pt>
                <c:pt idx="211">
                  <c:v>-152.73678981277112</c:v>
                </c:pt>
                <c:pt idx="212">
                  <c:v>-152.9802775550157</c:v>
                </c:pt>
                <c:pt idx="213">
                  <c:v>-153.22372431774747</c:v>
                </c:pt>
                <c:pt idx="214">
                  <c:v>-153.46712095773637</c:v>
                </c:pt>
                <c:pt idx="215">
                  <c:v>-153.71045847496853</c:v>
                </c:pt>
                <c:pt idx="216">
                  <c:v>-153.95372800984902</c:v>
                </c:pt>
                <c:pt idx="217">
                  <c:v>-154.19692084050001</c:v>
                </c:pt>
                <c:pt idx="218">
                  <c:v>-154.44002838015152</c:v>
                </c:pt>
                <c:pt idx="219">
                  <c:v>-154.68304217462</c:v>
                </c:pt>
                <c:pt idx="220">
                  <c:v>-154.92595389987181</c:v>
                </c:pt>
                <c:pt idx="221">
                  <c:v>-155.16875535966813</c:v>
                </c:pt>
                <c:pt idx="222">
                  <c:v>-155.41143848328809</c:v>
                </c:pt>
                <c:pt idx="223">
                  <c:v>-155.65399532332702</c:v>
                </c:pt>
                <c:pt idx="224">
                  <c:v>-155.89641805356649</c:v>
                </c:pt>
                <c:pt idx="225">
                  <c:v>-156.13869896691421</c:v>
                </c:pt>
                <c:pt idx="226">
                  <c:v>-158.55209397759026</c:v>
                </c:pt>
                <c:pt idx="227">
                  <c:v>-160.9436446596284</c:v>
                </c:pt>
                <c:pt idx="228">
                  <c:v>-163.30734798796951</c:v>
                </c:pt>
                <c:pt idx="229">
                  <c:v>-165.63807276714195</c:v>
                </c:pt>
                <c:pt idx="230">
                  <c:v>-167.93146367600752</c:v>
                </c:pt>
                <c:pt idx="231">
                  <c:v>-170.18386365417206</c:v>
                </c:pt>
                <c:pt idx="232">
                  <c:v>-172.39224817000786</c:v>
                </c:pt>
                <c:pt idx="233">
                  <c:v>-174.55416715660184</c:v>
                </c:pt>
                <c:pt idx="234">
                  <c:v>-176.66769196381679</c:v>
                </c:pt>
                <c:pt idx="235">
                  <c:v>-178.73136575100304</c:v>
                </c:pt>
                <c:pt idx="236">
                  <c:v>-180.74415647117547</c:v>
                </c:pt>
                <c:pt idx="237">
                  <c:v>-182.70541206982062</c:v>
                </c:pt>
                <c:pt idx="238">
                  <c:v>-184.61481781058518</c:v>
                </c:pt>
                <c:pt idx="239">
                  <c:v>-186.47235579914533</c:v>
                </c:pt>
                <c:pt idx="240">
                  <c:v>-188.27826684601527</c:v>
                </c:pt>
                <c:pt idx="241">
                  <c:v>-190.0330148196345</c:v>
                </c:pt>
                <c:pt idx="242">
                  <c:v>-191.73725361570882</c:v>
                </c:pt>
                <c:pt idx="243">
                  <c:v>-193.39179682419288</c:v>
                </c:pt>
                <c:pt idx="244">
                  <c:v>-194.99759012322406</c:v>
                </c:pt>
                <c:pt idx="245">
                  <c:v>-196.55568637757068</c:v>
                </c:pt>
                <c:pt idx="246">
                  <c:v>-198.06722337256389</c:v>
                </c:pt>
                <c:pt idx="247">
                  <c:v>-199.53340407562814</c:v>
                </c:pt>
                <c:pt idx="248">
                  <c:v>-200.9554792874394</c:v>
                </c:pt>
                <c:pt idx="249">
                  <c:v>-202.33473252337222</c:v>
                </c:pt>
                <c:pt idx="250">
                  <c:v>-203.67246695254406</c:v>
                </c:pt>
                <c:pt idx="251">
                  <c:v>-204.9699942153733</c:v>
                </c:pt>
                <c:pt idx="252">
                  <c:v>-206.22862493991263</c:v>
                </c:pt>
                <c:pt idx="253">
                  <c:v>-207.44966078109383</c:v>
                </c:pt>
                <c:pt idx="254">
                  <c:v>-208.63438781428405</c:v>
                </c:pt>
                <c:pt idx="255">
                  <c:v>-209.78407112420689</c:v>
                </c:pt>
                <c:pt idx="256">
                  <c:v>-210.899950441474</c:v>
                </c:pt>
                <c:pt idx="257">
                  <c:v>-211.98323669101464</c:v>
                </c:pt>
                <c:pt idx="258">
                  <c:v>-213.03510932903276</c:v>
                </c:pt>
                <c:pt idx="259">
                  <c:v>-214.05671435735223</c:v>
                </c:pt>
                <c:pt idx="260">
                  <c:v>-215.04916291582748</c:v>
                </c:pt>
                <c:pt idx="261">
                  <c:v>-216.01353036468959</c:v>
                </c:pt>
                <c:pt idx="262">
                  <c:v>-216.95085577913616</c:v>
                </c:pt>
                <c:pt idx="263">
                  <c:v>-217.86214178808007</c:v>
                </c:pt>
                <c:pt idx="264">
                  <c:v>-218.74835469771986</c:v>
                </c:pt>
                <c:pt idx="265">
                  <c:v>-219.61042484848645</c:v>
                </c:pt>
                <c:pt idx="266">
                  <c:v>-220.44924716098487</c:v>
                </c:pt>
                <c:pt idx="267">
                  <c:v>-221.26568183282868</c:v>
                </c:pt>
                <c:pt idx="268">
                  <c:v>-222.06055515381146</c:v>
                </c:pt>
                <c:pt idx="269">
                  <c:v>-222.8346604117358</c:v>
                </c:pt>
                <c:pt idx="270">
                  <c:v>-223.58875886548145</c:v>
                </c:pt>
                <c:pt idx="271">
                  <c:v>-224.32358076560527</c:v>
                </c:pt>
                <c:pt idx="272">
                  <c:v>-225.03982640598255</c:v>
                </c:pt>
                <c:pt idx="273">
                  <c:v>-225.7381671927763</c:v>
                </c:pt>
                <c:pt idx="274">
                  <c:v>-226.4192467194122</c:v>
                </c:pt>
                <c:pt idx="275">
                  <c:v>-227.08368183828395</c:v>
                </c:pt>
                <c:pt idx="276">
                  <c:v>-227.73206372166629</c:v>
                </c:pt>
                <c:pt idx="277">
                  <c:v>-228.36495890580073</c:v>
                </c:pt>
                <c:pt idx="278">
                  <c:v>-228.98291031338408</c:v>
                </c:pt>
                <c:pt idx="279">
                  <c:v>-229.58643825075779</c:v>
                </c:pt>
                <c:pt idx="280">
                  <c:v>-230.1760413769945</c:v>
                </c:pt>
                <c:pt idx="281">
                  <c:v>-230.75219764283185</c:v>
                </c:pt>
                <c:pt idx="282">
                  <c:v>-231.31536519803217</c:v>
                </c:pt>
                <c:pt idx="283">
                  <c:v>-231.86598326626793</c:v>
                </c:pt>
                <c:pt idx="284">
                  <c:v>-232.40447298706317</c:v>
                </c:pt>
                <c:pt idx="285">
                  <c:v>-232.93123822467365</c:v>
                </c:pt>
                <c:pt idx="286">
                  <c:v>-233.44666634407409</c:v>
                </c:pt>
                <c:pt idx="287">
                  <c:v>-233.95112895445203</c:v>
                </c:pt>
                <c:pt idx="288">
                  <c:v>-234.44498262079043</c:v>
                </c:pt>
                <c:pt idx="289">
                  <c:v>-234.92856954426367</c:v>
                </c:pt>
                <c:pt idx="290">
                  <c:v>-235.402218212283</c:v>
                </c:pt>
                <c:pt idx="291">
                  <c:v>-235.86624401910706</c:v>
                </c:pt>
                <c:pt idx="292">
                  <c:v>-236.32094985799336</c:v>
                </c:pt>
                <c:pt idx="293">
                  <c:v>-236.76662668590475</c:v>
                </c:pt>
                <c:pt idx="294">
                  <c:v>-237.20355406180846</c:v>
                </c:pt>
                <c:pt idx="295">
                  <c:v>-237.63200065961556</c:v>
                </c:pt>
                <c:pt idx="296">
                  <c:v>-238.05222475680745</c:v>
                </c:pt>
                <c:pt idx="297">
                  <c:v>-238.46447469978844</c:v>
                </c:pt>
                <c:pt idx="298">
                  <c:v>-238.86898934698553</c:v>
                </c:pt>
                <c:pt idx="299">
                  <c:v>-239.26599849069763</c:v>
                </c:pt>
                <c:pt idx="300">
                  <c:v>-239.65572325866864</c:v>
                </c:pt>
                <c:pt idx="301">
                  <c:v>-240.03837649633255</c:v>
                </c:pt>
                <c:pt idx="302">
                  <c:v>-240.41416313064548</c:v>
                </c:pt>
                <c:pt idx="303">
                  <c:v>-240.78328051639011</c:v>
                </c:pt>
                <c:pt idx="304">
                  <c:v>-241.14591876580121</c:v>
                </c:pt>
                <c:pt idx="305">
                  <c:v>-241.50226106233012</c:v>
                </c:pt>
                <c:pt idx="306">
                  <c:v>-241.85248395932982</c:v>
                </c:pt>
                <c:pt idx="307">
                  <c:v>-242.19675766440955</c:v>
                </c:pt>
                <c:pt idx="308">
                  <c:v>-242.53524631017407</c:v>
                </c:pt>
                <c:pt idx="309">
                  <c:v>-242.86810821203002</c:v>
                </c:pt>
                <c:pt idx="310">
                  <c:v>-243.19549611370917</c:v>
                </c:pt>
                <c:pt idx="311">
                  <c:v>-243.51755742112903</c:v>
                </c:pt>
                <c:pt idx="312">
                  <c:v>-243.8344344251787</c:v>
                </c:pt>
                <c:pt idx="313">
                  <c:v>-244.14626451399096</c:v>
                </c:pt>
                <c:pt idx="314">
                  <c:v>-244.45318037523242</c:v>
                </c:pt>
                <c:pt idx="315">
                  <c:v>-244.75531018891689</c:v>
                </c:pt>
                <c:pt idx="316">
                  <c:v>-245.0527778112224</c:v>
                </c:pt>
                <c:pt idx="317">
                  <c:v>-245.34570294976567</c:v>
                </c:pt>
                <c:pt idx="318">
                  <c:v>-245.63420133076676</c:v>
                </c:pt>
                <c:pt idx="319">
                  <c:v>-245.91838485851252</c:v>
                </c:pt>
                <c:pt idx="320">
                  <c:v>-246.19836176750664</c:v>
                </c:pt>
                <c:pt idx="321">
                  <c:v>-246.4742367676742</c:v>
                </c:pt>
                <c:pt idx="322">
                  <c:v>-246.74611118296889</c:v>
                </c:pt>
                <c:pt idx="323">
                  <c:v>-247.01408308371288</c:v>
                </c:pt>
                <c:pt idx="324">
                  <c:v>-247.27824741298213</c:v>
                </c:pt>
                <c:pt idx="325">
                  <c:v>-247.53869610733304</c:v>
                </c:pt>
                <c:pt idx="326">
                  <c:v>-247.79551821215153</c:v>
                </c:pt>
                <c:pt idx="327">
                  <c:v>-248.04879999188955</c:v>
                </c:pt>
                <c:pt idx="328">
                  <c:v>-248.29862503544183</c:v>
                </c:pt>
                <c:pt idx="329">
                  <c:v>-248.54507435690005</c:v>
                </c:pt>
                <c:pt idx="330">
                  <c:v>-248.7882264919117</c:v>
                </c:pt>
                <c:pt idx="331">
                  <c:v>-249.02815758985696</c:v>
                </c:pt>
                <c:pt idx="332">
                  <c:v>-249.26494150204633</c:v>
                </c:pt>
                <c:pt idx="333">
                  <c:v>-249.49864986613207</c:v>
                </c:pt>
                <c:pt idx="334">
                  <c:v>-249.72935218691435</c:v>
                </c:pt>
                <c:pt idx="335">
                  <c:v>-249.95711591371617</c:v>
                </c:pt>
                <c:pt idx="336">
                  <c:v>-250.18200651448956</c:v>
                </c:pt>
                <c:pt idx="337">
                  <c:v>-250.40408754680897</c:v>
                </c:pt>
                <c:pt idx="338">
                  <c:v>-250.6234207258986</c:v>
                </c:pt>
                <c:pt idx="339">
                  <c:v>-250.84006598983382</c:v>
                </c:pt>
                <c:pt idx="340">
                  <c:v>-251.05408156204822</c:v>
                </c:pt>
                <c:pt idx="341">
                  <c:v>-251.26552401127239</c:v>
                </c:pt>
                <c:pt idx="342">
                  <c:v>-251.47444830902396</c:v>
                </c:pt>
                <c:pt idx="343">
                  <c:v>-251.68090788476104</c:v>
                </c:pt>
                <c:pt idx="344">
                  <c:v>-251.88495467880756</c:v>
                </c:pt>
                <c:pt idx="345">
                  <c:v>-252.08663919315146</c:v>
                </c:pt>
                <c:pt idx="346">
                  <c:v>-252.28601054021317</c:v>
                </c:pt>
                <c:pt idx="347">
                  <c:v>-252.48311648967626</c:v>
                </c:pt>
                <c:pt idx="348">
                  <c:v>-252.67800351346722</c:v>
                </c:pt>
                <c:pt idx="349">
                  <c:v>-252.87071682896777</c:v>
                </c:pt>
                <c:pt idx="350">
                  <c:v>-253.0613004405389</c:v>
                </c:pt>
                <c:pt idx="351">
                  <c:v>-253.24979717943029</c:v>
                </c:pt>
                <c:pt idx="352">
                  <c:v>-253.43624874214839</c:v>
                </c:pt>
                <c:pt idx="353">
                  <c:v>-253.62069572734913</c:v>
                </c:pt>
                <c:pt idx="354">
                  <c:v>-253.80317767132107</c:v>
                </c:pt>
                <c:pt idx="355">
                  <c:v>-253.9837330821197</c:v>
                </c:pt>
                <c:pt idx="356">
                  <c:v>-254.16239947241141</c:v>
                </c:pt>
                <c:pt idx="357">
                  <c:v>-254.33921339108292</c:v>
                </c:pt>
                <c:pt idx="358">
                  <c:v>-254.51421045366905</c:v>
                </c:pt>
                <c:pt idx="359">
                  <c:v>-254.68742537164889</c:v>
                </c:pt>
                <c:pt idx="360">
                  <c:v>-254.85889198065902</c:v>
                </c:pt>
                <c:pt idx="361">
                  <c:v>-255.02864326766905</c:v>
                </c:pt>
                <c:pt idx="362">
                  <c:v>-255.19671139716309</c:v>
                </c:pt>
                <c:pt idx="363">
                  <c:v>-255.36312773636888</c:v>
                </c:pt>
                <c:pt idx="364">
                  <c:v>-255.52792287957448</c:v>
                </c:pt>
                <c:pt idx="365">
                  <c:v>-255.69112667156921</c:v>
                </c:pt>
                <c:pt idx="366">
                  <c:v>-255.8527682302464</c:v>
                </c:pt>
                <c:pt idx="367">
                  <c:v>-256.01287596840098</c:v>
                </c:pt>
                <c:pt idx="368">
                  <c:v>-256.17147761475559</c:v>
                </c:pt>
                <c:pt idx="369">
                  <c:v>-256.32860023424576</c:v>
                </c:pt>
                <c:pt idx="370">
                  <c:v>-256.48427024759496</c:v>
                </c:pt>
                <c:pt idx="371">
                  <c:v>-256.63851345020731</c:v>
                </c:pt>
                <c:pt idx="372">
                  <c:v>-256.79135503040533</c:v>
                </c:pt>
                <c:pt idx="373">
                  <c:v>-256.94281958703897</c:v>
                </c:pt>
                <c:pt idx="374">
                  <c:v>-257.0929311464908</c:v>
                </c:pt>
                <c:pt idx="375">
                  <c:v>-257.24171317910088</c:v>
                </c:pt>
                <c:pt idx="376">
                  <c:v>-257.38918861503407</c:v>
                </c:pt>
                <c:pt idx="377">
                  <c:v>-257.53537985961202</c:v>
                </c:pt>
                <c:pt idx="378">
                  <c:v>-257.68030880812961</c:v>
                </c:pt>
                <c:pt idx="379">
                  <c:v>-257.82399686017663</c:v>
                </c:pt>
                <c:pt idx="380">
                  <c:v>-257.96646493348339</c:v>
                </c:pt>
                <c:pt idx="381">
                  <c:v>-258.10773347730833</c:v>
                </c:pt>
                <c:pt idx="382">
                  <c:v>-258.24782248538514</c:v>
                </c:pt>
                <c:pt idx="383">
                  <c:v>-258.38675150844585</c:v>
                </c:pt>
                <c:pt idx="384">
                  <c:v>-258.52453966633658</c:v>
                </c:pt>
                <c:pt idx="385">
                  <c:v>-258.66120565973995</c:v>
                </c:pt>
                <c:pt idx="386">
                  <c:v>-258.7967677815202</c:v>
                </c:pt>
                <c:pt idx="387">
                  <c:v>-258.9312439277038</c:v>
                </c:pt>
                <c:pt idx="388">
                  <c:v>-259.06465160811024</c:v>
                </c:pt>
                <c:pt idx="389">
                  <c:v>-259.19700795664414</c:v>
                </c:pt>
                <c:pt idx="390">
                  <c:v>-259.3283297412633</c:v>
                </c:pt>
                <c:pt idx="391">
                  <c:v>-259.45863337363232</c:v>
                </c:pt>
                <c:pt idx="392">
                  <c:v>-259.58793491847484</c:v>
                </c:pt>
                <c:pt idx="393">
                  <c:v>-259.71625010263392</c:v>
                </c:pt>
                <c:pt idx="394">
                  <c:v>-259.84359432385196</c:v>
                </c:pt>
                <c:pt idx="395">
                  <c:v>-259.9699826592805</c:v>
                </c:pt>
                <c:pt idx="396">
                  <c:v>-260.09542987372743</c:v>
                </c:pt>
                <c:pt idx="397">
                  <c:v>-260.219950427654</c:v>
                </c:pt>
                <c:pt idx="398">
                  <c:v>-260.3435584849276</c:v>
                </c:pt>
                <c:pt idx="399">
                  <c:v>-260.46626792034056</c:v>
                </c:pt>
                <c:pt idx="400">
                  <c:v>-260.58809232690271</c:v>
                </c:pt>
                <c:pt idx="401">
                  <c:v>-260.70904502291495</c:v>
                </c:pt>
                <c:pt idx="402">
                  <c:v>-260.82913905883277</c:v>
                </c:pt>
                <c:pt idx="403">
                  <c:v>-260.94838722392518</c:v>
                </c:pt>
                <c:pt idx="404">
                  <c:v>-261.06680205273778</c:v>
                </c:pt>
                <c:pt idx="405">
                  <c:v>-261.18439583136524</c:v>
                </c:pt>
                <c:pt idx="406">
                  <c:v>-261.3011806035405</c:v>
                </c:pt>
                <c:pt idx="407">
                  <c:v>-261.41716817654662</c:v>
                </c:pt>
                <c:pt idx="408">
                  <c:v>-261.5323701269574</c:v>
                </c:pt>
                <c:pt idx="409">
                  <c:v>-261.64679780621208</c:v>
                </c:pt>
                <c:pt idx="410">
                  <c:v>-261.76046234603001</c:v>
                </c:pt>
                <c:pt idx="411">
                  <c:v>-261.87337466367069</c:v>
                </c:pt>
                <c:pt idx="412">
                  <c:v>-261.98554546704383</c:v>
                </c:pt>
                <c:pt idx="413">
                  <c:v>-262.09698525967508</c:v>
                </c:pt>
                <c:pt idx="414">
                  <c:v>-262.207704345531</c:v>
                </c:pt>
                <c:pt idx="415">
                  <c:v>-262.31771283370938</c:v>
                </c:pt>
                <c:pt idx="416">
                  <c:v>-262.42702064299777</c:v>
                </c:pt>
                <c:pt idx="417">
                  <c:v>-262.53563750630582</c:v>
                </c:pt>
                <c:pt idx="418">
                  <c:v>-262.64357297497418</c:v>
                </c:pt>
                <c:pt idx="419">
                  <c:v>-262.75083642296522</c:v>
                </c:pt>
                <c:pt idx="420">
                  <c:v>-262.85743705093796</c:v>
                </c:pt>
                <c:pt idx="421">
                  <c:v>-262.96338389021241</c:v>
                </c:pt>
                <c:pt idx="422">
                  <c:v>-263.06868580662569</c:v>
                </c:pt>
                <c:pt idx="423">
                  <c:v>-263.17335150428318</c:v>
                </c:pt>
                <c:pt idx="424">
                  <c:v>-263.27738952920924</c:v>
                </c:pt>
                <c:pt idx="425">
                  <c:v>-263.38080827289969</c:v>
                </c:pt>
                <c:pt idx="426">
                  <c:v>-263.48361597577872</c:v>
                </c:pt>
                <c:pt idx="427">
                  <c:v>-263.58582073056448</c:v>
                </c:pt>
                <c:pt idx="428">
                  <c:v>-263.68743048554506</c:v>
                </c:pt>
                <c:pt idx="429">
                  <c:v>-263.78845304776792</c:v>
                </c:pt>
                <c:pt idx="430">
                  <c:v>-263.88889608614573</c:v>
                </c:pt>
                <c:pt idx="431">
                  <c:v>-263.98876713448084</c:v>
                </c:pt>
                <c:pt idx="432">
                  <c:v>-264.08807359441045</c:v>
                </c:pt>
                <c:pt idx="433">
                  <c:v>-264.18682273827613</c:v>
                </c:pt>
                <c:pt idx="434">
                  <c:v>-264.2850217119186</c:v>
                </c:pt>
                <c:pt idx="435">
                  <c:v>-264.38267753740075</c:v>
                </c:pt>
                <c:pt idx="436">
                  <c:v>-264.47979711566074</c:v>
                </c:pt>
                <c:pt idx="437">
                  <c:v>-264.57638722909758</c:v>
                </c:pt>
                <c:pt idx="438">
                  <c:v>-264.67245454409073</c:v>
                </c:pt>
                <c:pt idx="439">
                  <c:v>-264.76800561345635</c:v>
                </c:pt>
                <c:pt idx="440">
                  <c:v>-264.86304687884103</c:v>
                </c:pt>
                <c:pt idx="441">
                  <c:v>-264.95758467305581</c:v>
                </c:pt>
                <c:pt idx="442">
                  <c:v>-265.0516252223515</c:v>
                </c:pt>
                <c:pt idx="443">
                  <c:v>-265.14517464863803</c:v>
                </c:pt>
                <c:pt idx="444">
                  <c:v>-265.23823897164789</c:v>
                </c:pt>
                <c:pt idx="445">
                  <c:v>-265.33082411104658</c:v>
                </c:pt>
                <c:pt idx="446">
                  <c:v>-265.42293588849094</c:v>
                </c:pt>
                <c:pt idx="447">
                  <c:v>-265.5145800296375</c:v>
                </c:pt>
                <c:pt idx="448">
                  <c:v>-265.60576216610104</c:v>
                </c:pt>
                <c:pt idx="449">
                  <c:v>-265.69648783736596</c:v>
                </c:pt>
                <c:pt idx="450">
                  <c:v>-265.78676249265175</c:v>
                </c:pt>
                <c:pt idx="451">
                  <c:v>-265.87659149273236</c:v>
                </c:pt>
                <c:pt idx="452">
                  <c:v>-265.96598011171318</c:v>
                </c:pt>
                <c:pt idx="453">
                  <c:v>-266.05493353876437</c:v>
                </c:pt>
                <c:pt idx="454">
                  <c:v>-266.14345687981358</c:v>
                </c:pt>
                <c:pt idx="455">
                  <c:v>-266.23155515919814</c:v>
                </c:pt>
                <c:pt idx="456">
                  <c:v>-266.31923332127815</c:v>
                </c:pt>
                <c:pt idx="457">
                  <c:v>-266.40649623201182</c:v>
                </c:pt>
                <c:pt idx="458">
                  <c:v>-266.49334868049363</c:v>
                </c:pt>
                <c:pt idx="459">
                  <c:v>-266.57979538045629</c:v>
                </c:pt>
                <c:pt idx="460">
                  <c:v>-266.66584097173836</c:v>
                </c:pt>
                <c:pt idx="461">
                  <c:v>-266.75149002171713</c:v>
                </c:pt>
                <c:pt idx="462">
                  <c:v>-266.83674702670868</c:v>
                </c:pt>
                <c:pt idx="463">
                  <c:v>-266.92161641333587</c:v>
                </c:pt>
                <c:pt idx="464">
                  <c:v>-267.0061025398644</c:v>
                </c:pt>
                <c:pt idx="465">
                  <c:v>-267.09020969750901</c:v>
                </c:pt>
                <c:pt idx="466">
                  <c:v>-267.17394211170927</c:v>
                </c:pt>
                <c:pt idx="467">
                  <c:v>-267.25730394337705</c:v>
                </c:pt>
                <c:pt idx="468">
                  <c:v>-267.34029929011513</c:v>
                </c:pt>
                <c:pt idx="469">
                  <c:v>-267.42293218740895</c:v>
                </c:pt>
                <c:pt idx="470">
                  <c:v>-267.50520660979134</c:v>
                </c:pt>
                <c:pt idx="471">
                  <c:v>-267.58712647198109</c:v>
                </c:pt>
                <c:pt idx="472">
                  <c:v>-267.66869562999659</c:v>
                </c:pt>
                <c:pt idx="473">
                  <c:v>-267.74991788224401</c:v>
                </c:pt>
                <c:pt idx="474">
                  <c:v>-267.83079697058247</c:v>
                </c:pt>
                <c:pt idx="475">
                  <c:v>-267.91133658136459</c:v>
                </c:pt>
                <c:pt idx="476">
                  <c:v>-267.99154034645517</c:v>
                </c:pt>
                <c:pt idx="477">
                  <c:v>-268.07141184422676</c:v>
                </c:pt>
                <c:pt idx="478">
                  <c:v>-268.15095460053448</c:v>
                </c:pt>
                <c:pt idx="479">
                  <c:v>-268.23017208966849</c:v>
                </c:pt>
                <c:pt idx="480">
                  <c:v>-268.30906773528687</c:v>
                </c:pt>
                <c:pt idx="481">
                  <c:v>-268.38764491132804</c:v>
                </c:pt>
                <c:pt idx="482">
                  <c:v>-268.46590694290308</c:v>
                </c:pt>
                <c:pt idx="483">
                  <c:v>-268.54385710716991</c:v>
                </c:pt>
                <c:pt idx="484">
                  <c:v>-268.62149863418801</c:v>
                </c:pt>
                <c:pt idx="485">
                  <c:v>-268.69883470775522</c:v>
                </c:pt>
                <c:pt idx="486">
                  <c:v>-268.77586846622683</c:v>
                </c:pt>
                <c:pt idx="487">
                  <c:v>-268.85260300331754</c:v>
                </c:pt>
                <c:pt idx="488">
                  <c:v>-268.92904136888615</c:v>
                </c:pt>
                <c:pt idx="489">
                  <c:v>-269.00518656970416</c:v>
                </c:pt>
                <c:pt idx="490">
                  <c:v>-269.08104157020819</c:v>
                </c:pt>
                <c:pt idx="491">
                  <c:v>-269.15660929323644</c:v>
                </c:pt>
                <c:pt idx="492">
                  <c:v>-269.23189262075061</c:v>
                </c:pt>
                <c:pt idx="493">
                  <c:v>-269.30689439454193</c:v>
                </c:pt>
                <c:pt idx="494">
                  <c:v>-269.38161741692323</c:v>
                </c:pt>
                <c:pt idx="495">
                  <c:v>-269.45606445140703</c:v>
                </c:pt>
                <c:pt idx="496">
                  <c:v>-269.53023822336877</c:v>
                </c:pt>
                <c:pt idx="497">
                  <c:v>-269.60414142069772</c:v>
                </c:pt>
                <c:pt idx="498">
                  <c:v>-269.67777669443353</c:v>
                </c:pt>
                <c:pt idx="499">
                  <c:v>-269.75114665939083</c:v>
                </c:pt>
                <c:pt idx="500">
                  <c:v>-269.82425389477055</c:v>
                </c:pt>
                <c:pt idx="501">
                  <c:v>-269.89710094475913</c:v>
                </c:pt>
                <c:pt idx="502">
                  <c:v>-269.96969031911595</c:v>
                </c:pt>
                <c:pt idx="503">
                  <c:v>-270.0420244937485</c:v>
                </c:pt>
                <c:pt idx="504">
                  <c:v>-270.11410591127668</c:v>
                </c:pt>
                <c:pt idx="505">
                  <c:v>-270.1859369815852</c:v>
                </c:pt>
                <c:pt idx="506">
                  <c:v>-270.25752008236589</c:v>
                </c:pt>
                <c:pt idx="507">
                  <c:v>-270.32885755964844</c:v>
                </c:pt>
                <c:pt idx="508">
                  <c:v>-270.3999517283213</c:v>
                </c:pt>
                <c:pt idx="509">
                  <c:v>-270.47080487264208</c:v>
                </c:pt>
                <c:pt idx="510">
                  <c:v>-270.54141924673792</c:v>
                </c:pt>
                <c:pt idx="511">
                  <c:v>-270.61179707509655</c:v>
                </c:pt>
                <c:pt idx="512">
                  <c:v>-270.68194055304718</c:v>
                </c:pt>
                <c:pt idx="513">
                  <c:v>-270.75185184723256</c:v>
                </c:pt>
                <c:pt idx="514">
                  <c:v>-270.82153309607156</c:v>
                </c:pt>
                <c:pt idx="515">
                  <c:v>-270.89098641021337</c:v>
                </c:pt>
                <c:pt idx="516">
                  <c:v>-270.96021387298231</c:v>
                </c:pt>
                <c:pt idx="517">
                  <c:v>-271.02921754081478</c:v>
                </c:pt>
                <c:pt idx="518">
                  <c:v>-271.09799944368734</c:v>
                </c:pt>
                <c:pt idx="519">
                  <c:v>-271.16656158553712</c:v>
                </c:pt>
                <c:pt idx="520">
                  <c:v>-271.23490594467387</c:v>
                </c:pt>
                <c:pt idx="521">
                  <c:v>-271.30303447418459</c:v>
                </c:pt>
                <c:pt idx="522">
                  <c:v>-271.37094910233026</c:v>
                </c:pt>
                <c:pt idx="523">
                  <c:v>-271.43865173293523</c:v>
                </c:pt>
                <c:pt idx="524">
                  <c:v>-271.50614424576929</c:v>
                </c:pt>
                <c:pt idx="525">
                  <c:v>-271.57342849692276</c:v>
                </c:pt>
                <c:pt idx="526">
                  <c:v>-271.64050631917456</c:v>
                </c:pt>
                <c:pt idx="527">
                  <c:v>-271.70737952235311</c:v>
                </c:pt>
                <c:pt idx="528">
                  <c:v>-271.77404989369114</c:v>
                </c:pt>
                <c:pt idx="529">
                  <c:v>-271.84051919817358</c:v>
                </c:pt>
                <c:pt idx="530">
                  <c:v>-271.90678917887897</c:v>
                </c:pt>
                <c:pt idx="531">
                  <c:v>-271.9728615573153</c:v>
                </c:pt>
                <c:pt idx="532">
                  <c:v>-272.03873803374847</c:v>
                </c:pt>
                <c:pt idx="533">
                  <c:v>-272.10442028752624</c:v>
                </c:pt>
                <c:pt idx="534">
                  <c:v>-272.16990997739526</c:v>
                </c:pt>
                <c:pt idx="535">
                  <c:v>-272.23520874181258</c:v>
                </c:pt>
                <c:pt idx="536">
                  <c:v>-272.30031819925205</c:v>
                </c:pt>
                <c:pt idx="537">
                  <c:v>-272.36523994850421</c:v>
                </c:pt>
                <c:pt idx="538">
                  <c:v>-272.42997556897205</c:v>
                </c:pt>
                <c:pt idx="539">
                  <c:v>-272.49452662096041</c:v>
                </c:pt>
                <c:pt idx="540">
                  <c:v>-272.55889464596083</c:v>
                </c:pt>
                <c:pt idx="541">
                  <c:v>-272.62308116693106</c:v>
                </c:pt>
                <c:pt idx="542">
                  <c:v>-272.6870876885697</c:v>
                </c:pt>
                <c:pt idx="543">
                  <c:v>-272.75091569758632</c:v>
                </c:pt>
                <c:pt idx="544">
                  <c:v>-272.81456666296594</c:v>
                </c:pt>
                <c:pt idx="545">
                  <c:v>-272.87804203622989</c:v>
                </c:pt>
                <c:pt idx="546">
                  <c:v>-272.94134325169153</c:v>
                </c:pt>
                <c:pt idx="547">
                  <c:v>-273.00447172670744</c:v>
                </c:pt>
                <c:pt idx="548">
                  <c:v>-273.06742886192467</c:v>
                </c:pt>
                <c:pt idx="549">
                  <c:v>-273.13021604152317</c:v>
                </c:pt>
                <c:pt idx="550">
                  <c:v>-273.19283463345459</c:v>
                </c:pt>
                <c:pt idx="551">
                  <c:v>-273.25528598967634</c:v>
                </c:pt>
                <c:pt idx="552">
                  <c:v>-273.31757144638215</c:v>
                </c:pt>
                <c:pt idx="553">
                  <c:v>-273.37969232422847</c:v>
                </c:pt>
                <c:pt idx="554">
                  <c:v>-273.44164992855679</c:v>
                </c:pt>
                <c:pt idx="555">
                  <c:v>-273.50344554961259</c:v>
                </c:pt>
                <c:pt idx="556">
                  <c:v>-273.56508046276019</c:v>
                </c:pt>
                <c:pt idx="557">
                  <c:v>-273.62655592869413</c:v>
                </c:pt>
                <c:pt idx="558">
                  <c:v>-273.68787319364691</c:v>
                </c:pt>
                <c:pt idx="559">
                  <c:v>-273.74903348959339</c:v>
                </c:pt>
                <c:pt idx="560">
                  <c:v>-273.8100380344514</c:v>
                </c:pt>
                <c:pt idx="561">
                  <c:v>-273.87088803227937</c:v>
                </c:pt>
                <c:pt idx="562">
                  <c:v>-273.93158467347047</c:v>
                </c:pt>
                <c:pt idx="563">
                  <c:v>-273.9921291349433</c:v>
                </c:pt>
                <c:pt idx="564">
                  <c:v>-274.05252258032999</c:v>
                </c:pt>
                <c:pt idx="565">
                  <c:v>-274.11276616016039</c:v>
                </c:pt>
                <c:pt idx="566">
                  <c:v>-274.17286101204411</c:v>
                </c:pt>
                <c:pt idx="567">
                  <c:v>-274.23280826084857</c:v>
                </c:pt>
                <c:pt idx="568">
                  <c:v>-274.292609018875</c:v>
                </c:pt>
                <c:pt idx="569">
                  <c:v>-274.35226438603104</c:v>
                </c:pt>
                <c:pt idx="570">
                  <c:v>-274.41177545000068</c:v>
                </c:pt>
                <c:pt idx="571">
                  <c:v>-274.47114328641135</c:v>
                </c:pt>
                <c:pt idx="572">
                  <c:v>-274.53036895899822</c:v>
                </c:pt>
                <c:pt idx="573">
                  <c:v>-274.58945351976644</c:v>
                </c:pt>
                <c:pt idx="574">
                  <c:v>-274.64839800914956</c:v>
                </c:pt>
                <c:pt idx="575">
                  <c:v>-274.70720345616655</c:v>
                </c:pt>
                <c:pt idx="576">
                  <c:v>-274.76587087857575</c:v>
                </c:pt>
                <c:pt idx="577">
                  <c:v>-274.8244012830263</c:v>
                </c:pt>
                <c:pt idx="578">
                  <c:v>-274.88279566520748</c:v>
                </c:pt>
                <c:pt idx="579">
                  <c:v>-274.94105500999524</c:v>
                </c:pt>
                <c:pt idx="580">
                  <c:v>-274.99918029159664</c:v>
                </c:pt>
                <c:pt idx="581">
                  <c:v>-275.05717247369205</c:v>
                </c:pt>
                <c:pt idx="582">
                  <c:v>-275.11503250957497</c:v>
                </c:pt>
                <c:pt idx="583">
                  <c:v>-275.17276134228968</c:v>
                </c:pt>
                <c:pt idx="584">
                  <c:v>-275.23035990476666</c:v>
                </c:pt>
                <c:pt idx="585">
                  <c:v>-275.28782911995586</c:v>
                </c:pt>
                <c:pt idx="586">
                  <c:v>-275.34516990095835</c:v>
                </c:pt>
                <c:pt idx="587">
                  <c:v>-275.40238315115482</c:v>
                </c:pt>
                <c:pt idx="588">
                  <c:v>-275.45946976433345</c:v>
                </c:pt>
                <c:pt idx="589">
                  <c:v>-275.51643062481463</c:v>
                </c:pt>
                <c:pt idx="590">
                  <c:v>-275.57326660757451</c:v>
                </c:pt>
                <c:pt idx="591">
                  <c:v>-275.62997857836604</c:v>
                </c:pt>
                <c:pt idx="592">
                  <c:v>-275.6865673938388</c:v>
                </c:pt>
                <c:pt idx="593">
                  <c:v>-275.74303390165636</c:v>
                </c:pt>
                <c:pt idx="594">
                  <c:v>-275.79937894061214</c:v>
                </c:pt>
                <c:pt idx="595">
                  <c:v>-275.85560334074353</c:v>
                </c:pt>
                <c:pt idx="596">
                  <c:v>-275.91170792344417</c:v>
                </c:pt>
                <c:pt idx="597">
                  <c:v>-275.96769350157444</c:v>
                </c:pt>
                <c:pt idx="598">
                  <c:v>-276.02356087957048</c:v>
                </c:pt>
                <c:pt idx="599">
                  <c:v>-276.07931085355131</c:v>
                </c:pt>
                <c:pt idx="600">
                  <c:v>-276.13494421142462</c:v>
                </c:pt>
                <c:pt idx="601">
                  <c:v>-276.1904617329908</c:v>
                </c:pt>
                <c:pt idx="602">
                  <c:v>-276.24586419004504</c:v>
                </c:pt>
                <c:pt idx="603">
                  <c:v>-276.30115234647883</c:v>
                </c:pt>
                <c:pt idx="604">
                  <c:v>-276.35632695837882</c:v>
                </c:pt>
                <c:pt idx="605">
                  <c:v>-276.41138877412516</c:v>
                </c:pt>
                <c:pt idx="606">
                  <c:v>-279.03521889274043</c:v>
                </c:pt>
                <c:pt idx="607">
                  <c:v>-281.44949188326996</c:v>
                </c:pt>
                <c:pt idx="608">
                  <c:v>-283.70109919817844</c:v>
                </c:pt>
                <c:pt idx="609">
                  <c:v>-285.82090299610257</c:v>
                </c:pt>
                <c:pt idx="610">
                  <c:v>-287.83000474084673</c:v>
                </c:pt>
                <c:pt idx="611">
                  <c:v>-289.74332443342013</c:v>
                </c:pt>
                <c:pt idx="612">
                  <c:v>-291.57174250112774</c:v>
                </c:pt>
                <c:pt idx="613">
                  <c:v>-293.32343155688545</c:v>
                </c:pt>
                <c:pt idx="614">
                  <c:v>-295.00471076195311</c:v>
                </c:pt>
                <c:pt idx="615">
                  <c:v>-296.62060808848514</c:v>
                </c:pt>
                <c:pt idx="616">
                  <c:v>-298.17523807111513</c:v>
                </c:pt>
                <c:pt idx="617">
                  <c:v>-299.67205982373434</c:v>
                </c:pt>
                <c:pt idx="618">
                  <c:v>-300.31018014078052</c:v>
                </c:pt>
                <c:pt idx="619">
                  <c:v>-300.93784453179364</c:v>
                </c:pt>
                <c:pt idx="620">
                  <c:v>-301.55532266235315</c:v>
                </c:pt>
                <c:pt idx="621">
                  <c:v>-302.16286920014875</c:v>
                </c:pt>
                <c:pt idx="622">
                  <c:v>-302.76072529452665</c:v>
                </c:pt>
                <c:pt idx="623">
                  <c:v>-303.3491198812884</c:v>
                </c:pt>
                <c:pt idx="624">
                  <c:v>-303.92827083498543</c:v>
                </c:pt>
                <c:pt idx="625">
                  <c:v>-304.49838598789006</c:v>
                </c:pt>
                <c:pt idx="626">
                  <c:v>-305.0596640322255</c:v>
                </c:pt>
                <c:pt idx="627">
                  <c:v>-305.61229532001812</c:v>
                </c:pt>
                <c:pt idx="628">
                  <c:v>-306.15646257304712</c:v>
                </c:pt>
                <c:pt idx="629">
                  <c:v>-306.69234151374349</c:v>
                </c:pt>
                <c:pt idx="630">
                  <c:v>-307.22010142649657</c:v>
                </c:pt>
                <c:pt idx="631">
                  <c:v>-307.73990565763097</c:v>
                </c:pt>
                <c:pt idx="632">
                  <c:v>-308.2519120612771</c:v>
                </c:pt>
                <c:pt idx="633">
                  <c:v>-308.756273397467</c:v>
                </c:pt>
                <c:pt idx="634">
                  <c:v>-309.25313768800697</c:v>
                </c:pt>
                <c:pt idx="635">
                  <c:v>-309.74264853500711</c:v>
                </c:pt>
                <c:pt idx="636">
                  <c:v>-310.22494540635785</c:v>
                </c:pt>
                <c:pt idx="637">
                  <c:v>-310.70016389193222</c:v>
                </c:pt>
                <c:pt idx="638">
                  <c:v>-311.16843593384499</c:v>
                </c:pt>
                <c:pt idx="639">
                  <c:v>-311.62989003370831</c:v>
                </c:pt>
                <c:pt idx="640">
                  <c:v>-312.08465143947797</c:v>
                </c:pt>
                <c:pt idx="641">
                  <c:v>-312.53284231418627</c:v>
                </c:pt>
                <c:pt idx="642">
                  <c:v>-312.97458188858866</c:v>
                </c:pt>
                <c:pt idx="643">
                  <c:v>-313.40998659952209</c:v>
                </c:pt>
                <c:pt idx="644">
                  <c:v>-313.83917021556283</c:v>
                </c:pt>
                <c:pt idx="645">
                  <c:v>-314.26224395139468</c:v>
                </c:pt>
                <c:pt idx="646">
                  <c:v>-314.67931657213569</c:v>
                </c:pt>
                <c:pt idx="647">
                  <c:v>-315.0904944887302</c:v>
                </c:pt>
                <c:pt idx="648">
                  <c:v>-315.49588184538868</c:v>
                </c:pt>
                <c:pt idx="649">
                  <c:v>-315.89558059994704</c:v>
                </c:pt>
                <c:pt idx="650">
                  <c:v>-316.28969059791768</c:v>
                </c:pt>
                <c:pt idx="651">
                  <c:v>-316.67830964091911</c:v>
                </c:pt>
                <c:pt idx="652">
                  <c:v>-317.0615335500928</c:v>
                </c:pt>
                <c:pt idx="653">
                  <c:v>-317.43945622504725</c:v>
                </c:pt>
                <c:pt idx="654">
                  <c:v>-317.81216969881007</c:v>
                </c:pt>
                <c:pt idx="655">
                  <c:v>-318.17976418921279</c:v>
                </c:pt>
                <c:pt idx="656">
                  <c:v>-318.54232814708644</c:v>
                </c:pt>
                <c:pt idx="657">
                  <c:v>-318.89994830160333</c:v>
                </c:pt>
                <c:pt idx="658">
                  <c:v>-319.25270970306201</c:v>
                </c:pt>
                <c:pt idx="659">
                  <c:v>-319.60069576337958</c:v>
                </c:pt>
                <c:pt idx="660">
                  <c:v>-319.94398829452444</c:v>
                </c:pt>
                <c:pt idx="661">
                  <c:v>-320.28266754509787</c:v>
                </c:pt>
                <c:pt idx="662">
                  <c:v>-320.61681223524675</c:v>
                </c:pt>
                <c:pt idx="663">
                  <c:v>-320.94649959007143</c:v>
                </c:pt>
                <c:pt idx="664">
                  <c:v>-321.27180537167158</c:v>
                </c:pt>
                <c:pt idx="665">
                  <c:v>-321.59280390995877</c:v>
                </c:pt>
                <c:pt idx="666">
                  <c:v>-321.90956813234754</c:v>
                </c:pt>
                <c:pt idx="667">
                  <c:v>-322.22216959242576</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4.4999999999999998E-2</c:v>
                </c:pt>
                <c:pt idx="2">
                  <c:v>0.09</c:v>
                </c:pt>
                <c:pt idx="3">
                  <c:v>0.13500000000000001</c:v>
                </c:pt>
                <c:pt idx="4">
                  <c:v>0.18</c:v>
                </c:pt>
                <c:pt idx="5">
                  <c:v>0.22500000000000001</c:v>
                </c:pt>
                <c:pt idx="6">
                  <c:v>0.27</c:v>
                </c:pt>
                <c:pt idx="7">
                  <c:v>0.31500000000000006</c:v>
                </c:pt>
                <c:pt idx="8">
                  <c:v>0.36</c:v>
                </c:pt>
                <c:pt idx="9">
                  <c:v>0.40499999999999997</c:v>
                </c:pt>
                <c:pt idx="10">
                  <c:v>0.45</c:v>
                </c:pt>
                <c:pt idx="11">
                  <c:v>0.495</c:v>
                </c:pt>
                <c:pt idx="12">
                  <c:v>0.54</c:v>
                </c:pt>
                <c:pt idx="13">
                  <c:v>0.58499999999999996</c:v>
                </c:pt>
                <c:pt idx="14">
                  <c:v>0.63000000000000012</c:v>
                </c:pt>
                <c:pt idx="15">
                  <c:v>0.67499999999999993</c:v>
                </c:pt>
                <c:pt idx="16">
                  <c:v>0.72</c:v>
                </c:pt>
                <c:pt idx="17">
                  <c:v>0.76500000000000001</c:v>
                </c:pt>
                <c:pt idx="18">
                  <c:v>0.80999999999999994</c:v>
                </c:pt>
                <c:pt idx="19">
                  <c:v>0.85499999999999998</c:v>
                </c:pt>
                <c:pt idx="20">
                  <c:v>0.9</c:v>
                </c:pt>
                <c:pt idx="21">
                  <c:v>0.94499999999999995</c:v>
                </c:pt>
                <c:pt idx="22">
                  <c:v>0.99</c:v>
                </c:pt>
                <c:pt idx="23">
                  <c:v>1.0350000000000001</c:v>
                </c:pt>
                <c:pt idx="24">
                  <c:v>1.08</c:v>
                </c:pt>
                <c:pt idx="25">
                  <c:v>1.125</c:v>
                </c:pt>
                <c:pt idx="26">
                  <c:v>1.17</c:v>
                </c:pt>
                <c:pt idx="27">
                  <c:v>1.2150000000000001</c:v>
                </c:pt>
                <c:pt idx="28">
                  <c:v>1.2600000000000002</c:v>
                </c:pt>
                <c:pt idx="29">
                  <c:v>1.3049999999999999</c:v>
                </c:pt>
                <c:pt idx="30">
                  <c:v>1.3499999999999999</c:v>
                </c:pt>
                <c:pt idx="31">
                  <c:v>1.395</c:v>
                </c:pt>
                <c:pt idx="32">
                  <c:v>1.44</c:v>
                </c:pt>
                <c:pt idx="33">
                  <c:v>1.4850000000000001</c:v>
                </c:pt>
                <c:pt idx="34">
                  <c:v>1.53</c:v>
                </c:pt>
                <c:pt idx="35">
                  <c:v>1.575</c:v>
                </c:pt>
                <c:pt idx="36">
                  <c:v>1.6199999999999999</c:v>
                </c:pt>
                <c:pt idx="37">
                  <c:v>1.665</c:v>
                </c:pt>
                <c:pt idx="38">
                  <c:v>1.71</c:v>
                </c:pt>
                <c:pt idx="39">
                  <c:v>1.7550000000000001</c:v>
                </c:pt>
                <c:pt idx="40">
                  <c:v>1.8</c:v>
                </c:pt>
                <c:pt idx="41">
                  <c:v>1.845</c:v>
                </c:pt>
                <c:pt idx="42">
                  <c:v>1.89</c:v>
                </c:pt>
                <c:pt idx="43">
                  <c:v>1.9350000000000001</c:v>
                </c:pt>
                <c:pt idx="44">
                  <c:v>1.98</c:v>
                </c:pt>
                <c:pt idx="45">
                  <c:v>2.0249999999999999</c:v>
                </c:pt>
                <c:pt idx="46">
                  <c:v>2.0700000000000003</c:v>
                </c:pt>
                <c:pt idx="47">
                  <c:v>2.1149999999999998</c:v>
                </c:pt>
                <c:pt idx="48">
                  <c:v>2.16</c:v>
                </c:pt>
                <c:pt idx="49">
                  <c:v>2.2050000000000001</c:v>
                </c:pt>
                <c:pt idx="50">
                  <c:v>2.25</c:v>
                </c:pt>
                <c:pt idx="51">
                  <c:v>2.2949999999999999</c:v>
                </c:pt>
                <c:pt idx="52">
                  <c:v>2.34</c:v>
                </c:pt>
                <c:pt idx="53">
                  <c:v>2.3850000000000002</c:v>
                </c:pt>
                <c:pt idx="54">
                  <c:v>2.4300000000000002</c:v>
                </c:pt>
                <c:pt idx="55">
                  <c:v>2.4750000000000001</c:v>
                </c:pt>
                <c:pt idx="56">
                  <c:v>2.5200000000000005</c:v>
                </c:pt>
                <c:pt idx="57">
                  <c:v>2.5649999999999999</c:v>
                </c:pt>
                <c:pt idx="58">
                  <c:v>2.61</c:v>
                </c:pt>
                <c:pt idx="59">
                  <c:v>2.6549999999999998</c:v>
                </c:pt>
                <c:pt idx="60">
                  <c:v>2.6999999999999997</c:v>
                </c:pt>
                <c:pt idx="61">
                  <c:v>2.7450000000000001</c:v>
                </c:pt>
                <c:pt idx="62">
                  <c:v>2.79</c:v>
                </c:pt>
                <c:pt idx="63">
                  <c:v>2.835</c:v>
                </c:pt>
                <c:pt idx="64">
                  <c:v>2.88</c:v>
                </c:pt>
                <c:pt idx="65">
                  <c:v>2.9250000000000003</c:v>
                </c:pt>
                <c:pt idx="66">
                  <c:v>2.97</c:v>
                </c:pt>
                <c:pt idx="67">
                  <c:v>3.0150000000000001</c:v>
                </c:pt>
                <c:pt idx="68">
                  <c:v>3.06</c:v>
                </c:pt>
                <c:pt idx="69">
                  <c:v>3.1049999999999995</c:v>
                </c:pt>
                <c:pt idx="70">
                  <c:v>3.15</c:v>
                </c:pt>
                <c:pt idx="71">
                  <c:v>3.1949999999999998</c:v>
                </c:pt>
                <c:pt idx="72">
                  <c:v>3.2399999999999998</c:v>
                </c:pt>
                <c:pt idx="73">
                  <c:v>3.2850000000000001</c:v>
                </c:pt>
                <c:pt idx="74">
                  <c:v>3.33</c:v>
                </c:pt>
                <c:pt idx="75">
                  <c:v>3.375</c:v>
                </c:pt>
                <c:pt idx="76">
                  <c:v>3.42</c:v>
                </c:pt>
                <c:pt idx="77">
                  <c:v>3.4649999999999999</c:v>
                </c:pt>
                <c:pt idx="78">
                  <c:v>3.5100000000000002</c:v>
                </c:pt>
                <c:pt idx="79">
                  <c:v>3.5550000000000002</c:v>
                </c:pt>
                <c:pt idx="80">
                  <c:v>3.6</c:v>
                </c:pt>
                <c:pt idx="81">
                  <c:v>3.6450000000000005</c:v>
                </c:pt>
                <c:pt idx="82">
                  <c:v>3.69</c:v>
                </c:pt>
                <c:pt idx="83">
                  <c:v>3.7349999999999999</c:v>
                </c:pt>
                <c:pt idx="84">
                  <c:v>3.78</c:v>
                </c:pt>
                <c:pt idx="85">
                  <c:v>3.8249999999999997</c:v>
                </c:pt>
                <c:pt idx="86">
                  <c:v>3.87</c:v>
                </c:pt>
                <c:pt idx="87">
                  <c:v>3.915</c:v>
                </c:pt>
                <c:pt idx="88">
                  <c:v>3.96</c:v>
                </c:pt>
                <c:pt idx="89">
                  <c:v>4.0049999999999999</c:v>
                </c:pt>
                <c:pt idx="90">
                  <c:v>4.05</c:v>
                </c:pt>
                <c:pt idx="91">
                  <c:v>4.0949999999999998</c:v>
                </c:pt>
                <c:pt idx="92">
                  <c:v>4.1400000000000006</c:v>
                </c:pt>
                <c:pt idx="93">
                  <c:v>4.1850000000000005</c:v>
                </c:pt>
                <c:pt idx="94">
                  <c:v>4.2299999999999995</c:v>
                </c:pt>
                <c:pt idx="95">
                  <c:v>4.2749999999999995</c:v>
                </c:pt>
                <c:pt idx="96">
                  <c:v>4.32</c:v>
                </c:pt>
                <c:pt idx="97">
                  <c:v>4.3650000000000002</c:v>
                </c:pt>
                <c:pt idx="98">
                  <c:v>4.41</c:v>
                </c:pt>
                <c:pt idx="99">
                  <c:v>4.4550000000000001</c:v>
                </c:pt>
                <c:pt idx="100">
                  <c:v>4.5</c:v>
                </c:pt>
                <c:pt idx="101">
                  <c:v>4.5449999999999999</c:v>
                </c:pt>
                <c:pt idx="102">
                  <c:v>4.59</c:v>
                </c:pt>
                <c:pt idx="103">
                  <c:v>4.6349999999999998</c:v>
                </c:pt>
                <c:pt idx="104">
                  <c:v>4.68</c:v>
                </c:pt>
                <c:pt idx="105">
                  <c:v>4.7250000000000005</c:v>
                </c:pt>
                <c:pt idx="106">
                  <c:v>4.7700000000000005</c:v>
                </c:pt>
                <c:pt idx="107">
                  <c:v>4.8150000000000004</c:v>
                </c:pt>
                <c:pt idx="108">
                  <c:v>4.8600000000000003</c:v>
                </c:pt>
                <c:pt idx="109">
                  <c:v>4.9050000000000002</c:v>
                </c:pt>
                <c:pt idx="110">
                  <c:v>4.95</c:v>
                </c:pt>
                <c:pt idx="111">
                  <c:v>4.9950000000000001</c:v>
                </c:pt>
                <c:pt idx="112">
                  <c:v>5.0400000000000009</c:v>
                </c:pt>
                <c:pt idx="113">
                  <c:v>5.0849999999999991</c:v>
                </c:pt>
                <c:pt idx="114">
                  <c:v>5.13</c:v>
                </c:pt>
                <c:pt idx="115">
                  <c:v>5.1749999999999998</c:v>
                </c:pt>
                <c:pt idx="116">
                  <c:v>5.22</c:v>
                </c:pt>
                <c:pt idx="117">
                  <c:v>5.2649999999999997</c:v>
                </c:pt>
                <c:pt idx="118">
                  <c:v>5.31</c:v>
                </c:pt>
                <c:pt idx="119">
                  <c:v>5.3549999999999995</c:v>
                </c:pt>
                <c:pt idx="120">
                  <c:v>5.3999999999999995</c:v>
                </c:pt>
                <c:pt idx="121">
                  <c:v>5.4450000000000003</c:v>
                </c:pt>
                <c:pt idx="122">
                  <c:v>5.49</c:v>
                </c:pt>
                <c:pt idx="123">
                  <c:v>5.5350000000000001</c:v>
                </c:pt>
                <c:pt idx="124">
                  <c:v>5.58</c:v>
                </c:pt>
                <c:pt idx="125">
                  <c:v>5.625</c:v>
                </c:pt>
                <c:pt idx="126">
                  <c:v>5.67</c:v>
                </c:pt>
                <c:pt idx="127">
                  <c:v>5.7149999999999999</c:v>
                </c:pt>
                <c:pt idx="128">
                  <c:v>5.76</c:v>
                </c:pt>
                <c:pt idx="129">
                  <c:v>5.8049999999999997</c:v>
                </c:pt>
                <c:pt idx="130">
                  <c:v>5.8500000000000005</c:v>
                </c:pt>
                <c:pt idx="131">
                  <c:v>5.8950000000000005</c:v>
                </c:pt>
                <c:pt idx="132">
                  <c:v>5.94</c:v>
                </c:pt>
                <c:pt idx="133">
                  <c:v>5.9850000000000003</c:v>
                </c:pt>
                <c:pt idx="134">
                  <c:v>6.03</c:v>
                </c:pt>
                <c:pt idx="135">
                  <c:v>6.0750000000000002</c:v>
                </c:pt>
                <c:pt idx="136">
                  <c:v>6.12</c:v>
                </c:pt>
                <c:pt idx="137">
                  <c:v>6.1650000000000009</c:v>
                </c:pt>
                <c:pt idx="138">
                  <c:v>6.2099999999999991</c:v>
                </c:pt>
                <c:pt idx="139">
                  <c:v>6.2549999999999999</c:v>
                </c:pt>
                <c:pt idx="140">
                  <c:v>6.3</c:v>
                </c:pt>
                <c:pt idx="141">
                  <c:v>6.3449999999999998</c:v>
                </c:pt>
                <c:pt idx="142">
                  <c:v>6.39</c:v>
                </c:pt>
                <c:pt idx="143">
                  <c:v>6.4349999999999996</c:v>
                </c:pt>
                <c:pt idx="144">
                  <c:v>6.4799999999999995</c:v>
                </c:pt>
                <c:pt idx="145">
                  <c:v>6.5249999999999995</c:v>
                </c:pt>
                <c:pt idx="146">
                  <c:v>6.57</c:v>
                </c:pt>
                <c:pt idx="147">
                  <c:v>6.6150000000000002</c:v>
                </c:pt>
                <c:pt idx="148">
                  <c:v>6.66</c:v>
                </c:pt>
                <c:pt idx="149">
                  <c:v>6.7050000000000001</c:v>
                </c:pt>
                <c:pt idx="150">
                  <c:v>6.75</c:v>
                </c:pt>
                <c:pt idx="151">
                  <c:v>6.7949999999999999</c:v>
                </c:pt>
                <c:pt idx="152">
                  <c:v>6.84</c:v>
                </c:pt>
                <c:pt idx="153">
                  <c:v>6.8849999999999998</c:v>
                </c:pt>
                <c:pt idx="154">
                  <c:v>6.93</c:v>
                </c:pt>
                <c:pt idx="155">
                  <c:v>6.9750000000000005</c:v>
                </c:pt>
                <c:pt idx="156">
                  <c:v>7.0200000000000005</c:v>
                </c:pt>
                <c:pt idx="157">
                  <c:v>7.0650000000000004</c:v>
                </c:pt>
                <c:pt idx="158">
                  <c:v>7.11</c:v>
                </c:pt>
                <c:pt idx="159">
                  <c:v>7.1550000000000002</c:v>
                </c:pt>
                <c:pt idx="160">
                  <c:v>7.2</c:v>
                </c:pt>
                <c:pt idx="161">
                  <c:v>7.2450000000000001</c:v>
                </c:pt>
                <c:pt idx="162">
                  <c:v>7.2900000000000009</c:v>
                </c:pt>
                <c:pt idx="163">
                  <c:v>7.3349999999999991</c:v>
                </c:pt>
                <c:pt idx="164">
                  <c:v>7.38</c:v>
                </c:pt>
                <c:pt idx="165">
                  <c:v>7.4249999999999998</c:v>
                </c:pt>
                <c:pt idx="166">
                  <c:v>7.47</c:v>
                </c:pt>
                <c:pt idx="167">
                  <c:v>7.5149999999999997</c:v>
                </c:pt>
                <c:pt idx="168">
                  <c:v>7.56</c:v>
                </c:pt>
                <c:pt idx="169">
                  <c:v>7.6049999999999995</c:v>
                </c:pt>
                <c:pt idx="170">
                  <c:v>7.6499999999999995</c:v>
                </c:pt>
                <c:pt idx="171">
                  <c:v>7.6950000000000003</c:v>
                </c:pt>
                <c:pt idx="172">
                  <c:v>7.74</c:v>
                </c:pt>
                <c:pt idx="173">
                  <c:v>7.7850000000000001</c:v>
                </c:pt>
                <c:pt idx="174">
                  <c:v>7.83</c:v>
                </c:pt>
                <c:pt idx="175">
                  <c:v>7.875</c:v>
                </c:pt>
                <c:pt idx="176">
                  <c:v>7.92</c:v>
                </c:pt>
                <c:pt idx="177">
                  <c:v>7.9649999999999999</c:v>
                </c:pt>
                <c:pt idx="178">
                  <c:v>8.01</c:v>
                </c:pt>
                <c:pt idx="179">
                  <c:v>8.0549999999999997</c:v>
                </c:pt>
                <c:pt idx="180">
                  <c:v>8.1</c:v>
                </c:pt>
                <c:pt idx="181">
                  <c:v>8.1449999999999996</c:v>
                </c:pt>
                <c:pt idx="182">
                  <c:v>8.19</c:v>
                </c:pt>
                <c:pt idx="183">
                  <c:v>8.2349999999999994</c:v>
                </c:pt>
                <c:pt idx="184">
                  <c:v>8.2800000000000011</c:v>
                </c:pt>
                <c:pt idx="185">
                  <c:v>8.3250000000000011</c:v>
                </c:pt>
                <c:pt idx="186">
                  <c:v>8.370000000000001</c:v>
                </c:pt>
                <c:pt idx="187">
                  <c:v>8.4150000000000009</c:v>
                </c:pt>
                <c:pt idx="188">
                  <c:v>8.4599999999999991</c:v>
                </c:pt>
                <c:pt idx="189">
                  <c:v>8.504999999999999</c:v>
                </c:pt>
                <c:pt idx="190">
                  <c:v>8.5499999999999989</c:v>
                </c:pt>
                <c:pt idx="191">
                  <c:v>8.5949999999999989</c:v>
                </c:pt>
                <c:pt idx="192">
                  <c:v>8.64</c:v>
                </c:pt>
                <c:pt idx="193">
                  <c:v>8.6850000000000005</c:v>
                </c:pt>
                <c:pt idx="194">
                  <c:v>8.73</c:v>
                </c:pt>
                <c:pt idx="195">
                  <c:v>8.7750000000000004</c:v>
                </c:pt>
                <c:pt idx="196">
                  <c:v>8.82</c:v>
                </c:pt>
                <c:pt idx="197">
                  <c:v>8.8650000000000002</c:v>
                </c:pt>
                <c:pt idx="198">
                  <c:v>8.91</c:v>
                </c:pt>
                <c:pt idx="199">
                  <c:v>8.9550000000000001</c:v>
                </c:pt>
                <c:pt idx="200">
                  <c:v>9</c:v>
                </c:pt>
              </c:numCache>
            </c:numRef>
          </c:xVal>
          <c:yVal>
            <c:numRef>
              <c:f>'Power Calculations'!$AR$9:$AR$209</c:f>
              <c:numCache>
                <c:formatCode>0.0</c:formatCode>
                <c:ptCount val="201"/>
                <c:pt idx="0">
                  <c:v>2.7350776711546985</c:v>
                </c:pt>
                <c:pt idx="1">
                  <c:v>2.7398595419185523</c:v>
                </c:pt>
                <c:pt idx="2">
                  <c:v>2.7501350022505835</c:v>
                </c:pt>
                <c:pt idx="3">
                  <c:v>2.7659068981875627</c:v>
                </c:pt>
                <c:pt idx="4">
                  <c:v>2.7871787941204134</c:v>
                </c:pt>
                <c:pt idx="5">
                  <c:v>2.813954974121577</c:v>
                </c:pt>
                <c:pt idx="6">
                  <c:v>2.8462404435084014</c:v>
                </c:pt>
                <c:pt idx="7">
                  <c:v>2.8840409306435499</c:v>
                </c:pt>
                <c:pt idx="8">
                  <c:v>2.927362888973609</c:v>
                </c:pt>
                <c:pt idx="9">
                  <c:v>2.976213499307141</c:v>
                </c:pt>
                <c:pt idx="10">
                  <c:v>3.0306006723336809</c:v>
                </c:pt>
                <c:pt idx="11">
                  <c:v>3.0905330513852323</c:v>
                </c:pt>
                <c:pt idx="12">
                  <c:v>3.1560200154420448</c:v>
                </c:pt>
                <c:pt idx="13">
                  <c:v>3.2270716823845254</c:v>
                </c:pt>
                <c:pt idx="14">
                  <c:v>3.3036989124933887</c:v>
                </c:pt>
                <c:pt idx="15">
                  <c:v>3.3859133122002327</c:v>
                </c:pt>
                <c:pt idx="16">
                  <c:v>3.8897870799780723</c:v>
                </c:pt>
                <c:pt idx="17">
                  <c:v>4.4681660309772786</c:v>
                </c:pt>
                <c:pt idx="18">
                  <c:v>5.0345872492148178</c:v>
                </c:pt>
                <c:pt idx="19">
                  <c:v>5.5890758772409557</c:v>
                </c:pt>
                <c:pt idx="20">
                  <c:v>6.1316555414817842</c:v>
                </c:pt>
                <c:pt idx="21">
                  <c:v>6.6623483535805983</c:v>
                </c:pt>
                <c:pt idx="22">
                  <c:v>7.1811749112461678</c:v>
                </c:pt>
                <c:pt idx="23">
                  <c:v>7.6881542986065385</c:v>
                </c:pt>
                <c:pt idx="24">
                  <c:v>8.1833040860665136</c:v>
                </c:pt>
                <c:pt idx="25">
                  <c:v>8.6666403296668975</c:v>
                </c:pt>
                <c:pt idx="26">
                  <c:v>9.1381775699430641</c:v>
                </c:pt>
                <c:pt idx="27">
                  <c:v>9.5979288302801269</c:v>
                </c:pt>
                <c:pt idx="28">
                  <c:v>10.045905614761798</c:v>
                </c:pt>
                <c:pt idx="29">
                  <c:v>10.482117905509524</c:v>
                </c:pt>
                <c:pt idx="30">
                  <c:v>10.906574159508239</c:v>
                </c:pt>
                <c:pt idx="31">
                  <c:v>11.319281304914773</c:v>
                </c:pt>
                <c:pt idx="32">
                  <c:v>11.720244736844501</c:v>
                </c:pt>
                <c:pt idx="33">
                  <c:v>12.109468312631616</c:v>
                </c:pt>
                <c:pt idx="34">
                  <c:v>12.486954346557873</c:v>
                </c:pt>
                <c:pt idx="35">
                  <c:v>12.852703604044535</c:v>
                </c:pt>
                <c:pt idx="36">
                  <c:v>13.206715295301564</c:v>
                </c:pt>
                <c:pt idx="37">
                  <c:v>13.543024449398056</c:v>
                </c:pt>
                <c:pt idx="38">
                  <c:v>13.833406473856231</c:v>
                </c:pt>
                <c:pt idx="39">
                  <c:v>14.13017465823477</c:v>
                </c:pt>
                <c:pt idx="40">
                  <c:v>14.433367080815593</c:v>
                </c:pt>
                <c:pt idx="41">
                  <c:v>14.743022823698761</c:v>
                </c:pt>
                <c:pt idx="42">
                  <c:v>15.059181986414194</c:v>
                </c:pt>
                <c:pt idx="43">
                  <c:v>15.381885699954186</c:v>
                </c:pt>
                <c:pt idx="44">
                  <c:v>15.711176141236269</c:v>
                </c:pt>
                <c:pt idx="45">
                  <c:v>16.047096548006309</c:v>
                </c:pt>
                <c:pt idx="46">
                  <c:v>16.389691234191996</c:v>
                </c:pt>
                <c:pt idx="47">
                  <c:v>16.739005605717441</c:v>
                </c:pt>
                <c:pt idx="48">
                  <c:v>17.095086176789792</c:v>
                </c:pt>
                <c:pt idx="49">
                  <c:v>17.457980586669173</c:v>
                </c:pt>
                <c:pt idx="50">
                  <c:v>17.827737616933934</c:v>
                </c:pt>
                <c:pt idx="51">
                  <c:v>18.204407209253162</c:v>
                </c:pt>
                <c:pt idx="52">
                  <c:v>18.588040483679311</c:v>
                </c:pt>
                <c:pt idx="53">
                  <c:v>18.978689757473898</c:v>
                </c:pt>
                <c:pt idx="54">
                  <c:v>19.376408564479846</c:v>
                </c:pt>
                <c:pt idx="55">
                  <c:v>19.781251675054602</c:v>
                </c:pt>
                <c:pt idx="56">
                  <c:v>20.193275116578391</c:v>
                </c:pt>
                <c:pt idx="57">
                  <c:v>20.612536194552824</c:v>
                </c:pt>
                <c:pt idx="58">
                  <c:v>21.039093514305367</c:v>
                </c:pt>
                <c:pt idx="59">
                  <c:v>21.473007003315807</c:v>
                </c:pt>
                <c:pt idx="60">
                  <c:v>21.914337934181415</c:v>
                </c:pt>
                <c:pt idx="61">
                  <c:v>22.363148948238202</c:v>
                </c:pt>
                <c:pt idx="62">
                  <c:v>22.819504079856046</c:v>
                </c:pt>
                <c:pt idx="63">
                  <c:v>23.283468781426453</c:v>
                </c:pt>
                <c:pt idx="64">
                  <c:v>23.755109949061954</c:v>
                </c:pt>
                <c:pt idx="65">
                  <c:v>24.234495949027206</c:v>
                </c:pt>
                <c:pt idx="66">
                  <c:v>24.721696644922446</c:v>
                </c:pt>
                <c:pt idx="67">
                  <c:v>25.216783425640465</c:v>
                </c:pt>
                <c:pt idx="68">
                  <c:v>25.719829234119562</c:v>
                </c:pt>
                <c:pt idx="69">
                  <c:v>26.230908596915096</c:v>
                </c:pt>
                <c:pt idx="70">
                  <c:v>26.750097654613615</c:v>
                </c:pt>
                <c:pt idx="71">
                  <c:v>27.277474193114081</c:v>
                </c:pt>
                <c:pt idx="72">
                  <c:v>27.813117675801806</c:v>
                </c:pt>
                <c:pt idx="73">
                  <c:v>28.357109276641438</c:v>
                </c:pt>
                <c:pt idx="74">
                  <c:v>28.909531914216512</c:v>
                </c:pt>
                <c:pt idx="75">
                  <c:v>29.470470286743954</c:v>
                </c:pt>
                <c:pt idx="76">
                  <c:v>30.040010908092988</c:v>
                </c:pt>
                <c:pt idx="77">
                  <c:v>30.618242144839019</c:v>
                </c:pt>
                <c:pt idx="78">
                  <c:v>31.205254254384243</c:v>
                </c:pt>
                <c:pt idx="79">
                  <c:v>31.801139424177574</c:v>
                </c:pt>
                <c:pt idx="80">
                  <c:v>32.405991812068507</c:v>
                </c:pt>
                <c:pt idx="81">
                  <c:v>33.019907587829643</c:v>
                </c:pt>
                <c:pt idx="82">
                  <c:v>33.642984975884929</c:v>
                </c:pt>
                <c:pt idx="83">
                  <c:v>34.275324299281799</c:v>
                </c:pt>
                <c:pt idx="84">
                  <c:v>34.917028024946241</c:v>
                </c:pt>
                <c:pt idx="85">
                  <c:v>35.568200810262255</c:v>
                </c:pt>
                <c:pt idx="86">
                  <c:v>36.228949551018061</c:v>
                </c:pt>
                <c:pt idx="87">
                  <c:v>36.899383430763237</c:v>
                </c:pt>
                <c:pt idx="88">
                  <c:v>37.579613971622656</c:v>
                </c:pt>
                <c:pt idx="89">
                  <c:v>38.269755086615064</c:v>
                </c:pt>
                <c:pt idx="90">
                  <c:v>38.969923133525441</c:v>
                </c:pt>
                <c:pt idx="91">
                  <c:v>39.680236970383021</c:v>
                </c:pt>
                <c:pt idx="92">
                  <c:v>40.400818012597881</c:v>
                </c:pt>
                <c:pt idx="93">
                  <c:v>41.131790291812102</c:v>
                </c:pt>
                <c:pt idx="94">
                  <c:v>41.873280516522776</c:v>
                </c:pt>
                <c:pt idx="95">
                  <c:v>42.625418134537384</c:v>
                </c:pt>
                <c:pt idx="96">
                  <c:v>43.388335397323083</c:v>
                </c:pt>
                <c:pt idx="97">
                  <c:v>44.162167426315662</c:v>
                </c:pt>
                <c:pt idx="98">
                  <c:v>44.947052281255168</c:v>
                </c:pt>
                <c:pt idx="99">
                  <c:v>45.743131030618144</c:v>
                </c:pt>
                <c:pt idx="100">
                  <c:v>46.55054782422004</c:v>
                </c:pt>
                <c:pt idx="101">
                  <c:v>47.369449968063385</c:v>
                </c:pt>
                <c:pt idx="102">
                  <c:v>48.199988001510768</c:v>
                </c:pt>
                <c:pt idx="103">
                  <c:v>49.042315776865365</c:v>
                </c:pt>
                <c:pt idx="104">
                  <c:v>49.89659054144407</c:v>
                </c:pt>
                <c:pt idx="105">
                  <c:v>50.762973022233254</c:v>
                </c:pt>
                <c:pt idx="106">
                  <c:v>51.641627513219284</c:v>
                </c:pt>
                <c:pt idx="107">
                  <c:v>52.532721965491632</c:v>
                </c:pt>
                <c:pt idx="108">
                  <c:v>53.436428080218555</c:v>
                </c:pt>
                <c:pt idx="109">
                  <c:v>54.352921404601325</c:v>
                </c:pt>
                <c:pt idx="110">
                  <c:v>55.282381430916189</c:v>
                </c:pt>
                <c:pt idx="111">
                  <c:v>56.224991698758743</c:v>
                </c:pt>
                <c:pt idx="112">
                  <c:v>57.180939900609708</c:v>
                </c:pt>
                <c:pt idx="113">
                  <c:v>58.150417990846734</c:v>
                </c:pt>
                <c:pt idx="114">
                  <c:v>59.133622298332213</c:v>
                </c:pt>
                <c:pt idx="115">
                  <c:v>60.130753642711753</c:v>
                </c:pt>
                <c:pt idx="116">
                  <c:v>61.142017454565874</c:v>
                </c:pt>
                <c:pt idx="117">
                  <c:v>62.167623899561825</c:v>
                </c:pt>
                <c:pt idx="118">
                  <c:v>63.20778800675965</c:v>
                </c:pt>
                <c:pt idx="119">
                  <c:v>64.26272980123403</c:v>
                </c:pt>
                <c:pt idx="120">
                  <c:v>65.332674441179776</c:v>
                </c:pt>
                <c:pt idx="121">
                  <c:v>66.417852359676957</c:v>
                </c:pt>
                <c:pt idx="122">
                  <c:v>67.518499411299402</c:v>
                </c:pt>
                <c:pt idx="123">
                  <c:v>68.634857023758869</c:v>
                </c:pt>
                <c:pt idx="124">
                  <c:v>69.767172354785714</c:v>
                </c:pt>
                <c:pt idx="125">
                  <c:v>70.915698454456219</c:v>
                </c:pt>
                <c:pt idx="126">
                  <c:v>72.080694433186878</c:v>
                </c:pt>
                <c:pt idx="127">
                  <c:v>73.262425635625533</c:v>
                </c:pt>
                <c:pt idx="128">
                  <c:v>74.461163820680383</c:v>
                </c:pt>
                <c:pt idx="129">
                  <c:v>75.677187347939196</c:v>
                </c:pt>
                <c:pt idx="130">
                  <c:v>76.910781370743905</c:v>
                </c:pt>
                <c:pt idx="131">
                  <c:v>78.162238036195276</c:v>
                </c:pt>
                <c:pt idx="132">
                  <c:v>79.431856692380961</c:v>
                </c:pt>
                <c:pt idx="133">
                  <c:v>80.719944103128284</c:v>
                </c:pt>
                <c:pt idx="134">
                  <c:v>82.026814670602519</c:v>
                </c:pt>
                <c:pt idx="135">
                  <c:v>83.352790666084616</c:v>
                </c:pt>
                <c:pt idx="136">
                  <c:v>84.69820246927911</c:v>
                </c:pt>
                <c:pt idx="137">
                  <c:v>86.063388816521282</c:v>
                </c:pt>
                <c:pt idx="138">
                  <c:v>87.448697058269133</c:v>
                </c:pt>
                <c:pt idx="139">
                  <c:v>88.854483426288127</c:v>
                </c:pt>
                <c:pt idx="140">
                  <c:v>90.28111331095181</c:v>
                </c:pt>
                <c:pt idx="141">
                  <c:v>91.72896154911102</c:v>
                </c:pt>
                <c:pt idx="142">
                  <c:v>93.198412722997929</c:v>
                </c:pt>
                <c:pt idx="143">
                  <c:v>94.689861470663288</c:v>
                </c:pt>
                <c:pt idx="144">
                  <c:v>96.20371280846652</c:v>
                </c:pt>
                <c:pt idx="145">
                  <c:v>97.740382466165883</c:v>
                </c:pt>
                <c:pt idx="146">
                  <c:v>99.30029723518588</c:v>
                </c:pt>
                <c:pt idx="147">
                  <c:v>100.88389533066857</c:v>
                </c:pt>
                <c:pt idx="148">
                  <c:v>102.49162676794745</c:v>
                </c:pt>
                <c:pt idx="149">
                  <c:v>104.12395375411769</c:v>
                </c:pt>
                <c:pt idx="150">
                  <c:v>105.78135109541053</c:v>
                </c:pt>
                <c:pt idx="151">
                  <c:v>107.46430662112145</c:v>
                </c:pt>
                <c:pt idx="152">
                  <c:v>109.17332162487928</c:v>
                </c:pt>
                <c:pt idx="153">
                  <c:v>110.90891132408704</c:v>
                </c:pt>
                <c:pt idx="154">
                  <c:v>112.67160533841444</c:v>
                </c:pt>
                <c:pt idx="155">
                  <c:v>114.46194818826562</c:v>
                </c:pt>
                <c:pt idx="156">
                  <c:v>116.2804998142024</c:v>
                </c:pt>
                <c:pt idx="157">
                  <c:v>118.12783611835489</c:v>
                </c:pt>
                <c:pt idx="158">
                  <c:v>120.00454952891221</c:v>
                </c:pt>
                <c:pt idx="159">
                  <c:v>121.91124958884821</c:v>
                </c:pt>
                <c:pt idx="160">
                  <c:v>123.84856357010095</c:v>
                </c:pt>
                <c:pt idx="161">
                  <c:v>125.81713711450131</c:v>
                </c:pt>
                <c:pt idx="162">
                  <c:v>127.81763490281394</c:v>
                </c:pt>
                <c:pt idx="163">
                  <c:v>129.85074135334165</c:v>
                </c:pt>
                <c:pt idx="164">
                  <c:v>131.91716135162523</c:v>
                </c:pt>
                <c:pt idx="165">
                  <c:v>134.01762101286312</c:v>
                </c:pt>
                <c:pt idx="166">
                  <c:v>136.15286847877695</c:v>
                </c:pt>
                <c:pt idx="167">
                  <c:v>138.32367475074707</c:v>
                </c:pt>
                <c:pt idx="168">
                  <c:v>140.53083456115982</c:v>
                </c:pt>
                <c:pt idx="169">
                  <c:v>142.77516728502411</c:v>
                </c:pt>
                <c:pt idx="170">
                  <c:v>145.05751789404457</c:v>
                </c:pt>
                <c:pt idx="171">
                  <c:v>147.37875795547308</c:v>
                </c:pt>
                <c:pt idx="172">
                  <c:v>149.73978667821069</c:v>
                </c:pt>
                <c:pt idx="173">
                  <c:v>152.14153200878491</c:v>
                </c:pt>
                <c:pt idx="174">
                  <c:v>154.58495177999731</c:v>
                </c:pt>
                <c:pt idx="175">
                  <c:v>157.07103491521795</c:v>
                </c:pt>
                <c:pt idx="176">
                  <c:v>159.60080269149466</c:v>
                </c:pt>
                <c:pt idx="177">
                  <c:v>162.17531006485487</c:v>
                </c:pt>
                <c:pt idx="178">
                  <c:v>164.79564706139965</c:v>
                </c:pt>
                <c:pt idx="179">
                  <c:v>167.46294023803279</c:v>
                </c:pt>
                <c:pt idx="180">
                  <c:v>170.17835421692027</c:v>
                </c:pt>
                <c:pt idx="181">
                  <c:v>172.94309329806254</c:v>
                </c:pt>
                <c:pt idx="182">
                  <c:v>175.75840315465172</c:v>
                </c:pt>
                <c:pt idx="183">
                  <c:v>178.62557261621632</c:v>
                </c:pt>
                <c:pt idx="184">
                  <c:v>181.545935544901</c:v>
                </c:pt>
                <c:pt idx="185">
                  <c:v>184.52087281060284</c:v>
                </c:pt>
                <c:pt idx="186">
                  <c:v>187.55181437109653</c:v>
                </c:pt>
                <c:pt idx="187">
                  <c:v>190.6402414637121</c:v>
                </c:pt>
                <c:pt idx="188">
                  <c:v>193.7876889156089</c:v>
                </c:pt>
                <c:pt idx="189">
                  <c:v>196.99574758019685</c:v>
                </c:pt>
                <c:pt idx="190">
                  <c:v>200.26606690781688</c:v>
                </c:pt>
                <c:pt idx="191">
                  <c:v>203.6003576593844</c:v>
                </c:pt>
                <c:pt idx="192">
                  <c:v>207.0003947723641</c:v>
                </c:pt>
                <c:pt idx="193">
                  <c:v>210.46802038913739</c:v>
                </c:pt>
                <c:pt idx="194">
                  <c:v>214.0051470586067</c:v>
                </c:pt>
                <c:pt idx="195">
                  <c:v>217.61376112269755</c:v>
                </c:pt>
                <c:pt idx="196">
                  <c:v>221.2959263003475</c:v>
                </c:pt>
                <c:pt idx="197">
                  <c:v>225.05378748253659</c:v>
                </c:pt>
                <c:pt idx="198">
                  <c:v>228.88957475301029</c:v>
                </c:pt>
                <c:pt idx="199">
                  <c:v>232.80560765049881</c:v>
                </c:pt>
                <c:pt idx="200">
                  <c:v>236.80429968953578</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4.4999999999999998E-2</c:v>
                </c:pt>
                <c:pt idx="2">
                  <c:v>0.09</c:v>
                </c:pt>
                <c:pt idx="3">
                  <c:v>0.13500000000000001</c:v>
                </c:pt>
                <c:pt idx="4">
                  <c:v>0.18</c:v>
                </c:pt>
                <c:pt idx="5">
                  <c:v>0.22500000000000001</c:v>
                </c:pt>
                <c:pt idx="6">
                  <c:v>0.27</c:v>
                </c:pt>
                <c:pt idx="7">
                  <c:v>0.31500000000000006</c:v>
                </c:pt>
                <c:pt idx="8">
                  <c:v>0.36</c:v>
                </c:pt>
                <c:pt idx="9">
                  <c:v>0.40499999999999997</c:v>
                </c:pt>
                <c:pt idx="10">
                  <c:v>0.45</c:v>
                </c:pt>
                <c:pt idx="11">
                  <c:v>0.495</c:v>
                </c:pt>
                <c:pt idx="12">
                  <c:v>0.54</c:v>
                </c:pt>
                <c:pt idx="13">
                  <c:v>0.58499999999999996</c:v>
                </c:pt>
                <c:pt idx="14">
                  <c:v>0.63000000000000012</c:v>
                </c:pt>
                <c:pt idx="15">
                  <c:v>0.67499999999999993</c:v>
                </c:pt>
                <c:pt idx="16">
                  <c:v>0.72</c:v>
                </c:pt>
                <c:pt idx="17">
                  <c:v>0.76500000000000001</c:v>
                </c:pt>
                <c:pt idx="18">
                  <c:v>0.80999999999999994</c:v>
                </c:pt>
                <c:pt idx="19">
                  <c:v>0.85499999999999998</c:v>
                </c:pt>
                <c:pt idx="20">
                  <c:v>0.9</c:v>
                </c:pt>
                <c:pt idx="21">
                  <c:v>0.94499999999999995</c:v>
                </c:pt>
                <c:pt idx="22">
                  <c:v>0.99</c:v>
                </c:pt>
                <c:pt idx="23">
                  <c:v>1.0350000000000001</c:v>
                </c:pt>
                <c:pt idx="24">
                  <c:v>1.08</c:v>
                </c:pt>
                <c:pt idx="25">
                  <c:v>1.125</c:v>
                </c:pt>
                <c:pt idx="26">
                  <c:v>1.17</c:v>
                </c:pt>
                <c:pt idx="27">
                  <c:v>1.2150000000000001</c:v>
                </c:pt>
                <c:pt idx="28">
                  <c:v>1.2600000000000002</c:v>
                </c:pt>
                <c:pt idx="29">
                  <c:v>1.3049999999999999</c:v>
                </c:pt>
                <c:pt idx="30">
                  <c:v>1.3499999999999999</c:v>
                </c:pt>
                <c:pt idx="31">
                  <c:v>1.395</c:v>
                </c:pt>
                <c:pt idx="32">
                  <c:v>1.44</c:v>
                </c:pt>
                <c:pt idx="33">
                  <c:v>1.4850000000000001</c:v>
                </c:pt>
                <c:pt idx="34">
                  <c:v>1.53</c:v>
                </c:pt>
                <c:pt idx="35">
                  <c:v>1.575</c:v>
                </c:pt>
                <c:pt idx="36">
                  <c:v>1.6199999999999999</c:v>
                </c:pt>
                <c:pt idx="37">
                  <c:v>1.665</c:v>
                </c:pt>
                <c:pt idx="38">
                  <c:v>1.71</c:v>
                </c:pt>
                <c:pt idx="39">
                  <c:v>1.7550000000000001</c:v>
                </c:pt>
                <c:pt idx="40">
                  <c:v>1.8</c:v>
                </c:pt>
                <c:pt idx="41">
                  <c:v>1.845</c:v>
                </c:pt>
                <c:pt idx="42">
                  <c:v>1.89</c:v>
                </c:pt>
                <c:pt idx="43">
                  <c:v>1.9350000000000001</c:v>
                </c:pt>
                <c:pt idx="44">
                  <c:v>1.98</c:v>
                </c:pt>
                <c:pt idx="45">
                  <c:v>2.0249999999999999</c:v>
                </c:pt>
                <c:pt idx="46">
                  <c:v>2.0700000000000003</c:v>
                </c:pt>
                <c:pt idx="47">
                  <c:v>2.1149999999999998</c:v>
                </c:pt>
                <c:pt idx="48">
                  <c:v>2.16</c:v>
                </c:pt>
                <c:pt idx="49">
                  <c:v>2.2050000000000001</c:v>
                </c:pt>
                <c:pt idx="50">
                  <c:v>2.25</c:v>
                </c:pt>
                <c:pt idx="51">
                  <c:v>2.2949999999999999</c:v>
                </c:pt>
                <c:pt idx="52">
                  <c:v>2.34</c:v>
                </c:pt>
                <c:pt idx="53">
                  <c:v>2.3850000000000002</c:v>
                </c:pt>
                <c:pt idx="54">
                  <c:v>2.4300000000000002</c:v>
                </c:pt>
                <c:pt idx="55">
                  <c:v>2.4750000000000001</c:v>
                </c:pt>
                <c:pt idx="56">
                  <c:v>2.5200000000000005</c:v>
                </c:pt>
                <c:pt idx="57">
                  <c:v>2.5649999999999999</c:v>
                </c:pt>
                <c:pt idx="58">
                  <c:v>2.61</c:v>
                </c:pt>
                <c:pt idx="59">
                  <c:v>2.6549999999999998</c:v>
                </c:pt>
                <c:pt idx="60">
                  <c:v>2.6999999999999997</c:v>
                </c:pt>
                <c:pt idx="61">
                  <c:v>2.7450000000000001</c:v>
                </c:pt>
                <c:pt idx="62">
                  <c:v>2.79</c:v>
                </c:pt>
                <c:pt idx="63">
                  <c:v>2.835</c:v>
                </c:pt>
                <c:pt idx="64">
                  <c:v>2.88</c:v>
                </c:pt>
                <c:pt idx="65">
                  <c:v>2.9250000000000003</c:v>
                </c:pt>
                <c:pt idx="66">
                  <c:v>2.97</c:v>
                </c:pt>
                <c:pt idx="67">
                  <c:v>3.0150000000000001</c:v>
                </c:pt>
                <c:pt idx="68">
                  <c:v>3.06</c:v>
                </c:pt>
                <c:pt idx="69">
                  <c:v>3.1049999999999995</c:v>
                </c:pt>
                <c:pt idx="70">
                  <c:v>3.15</c:v>
                </c:pt>
                <c:pt idx="71">
                  <c:v>3.1949999999999998</c:v>
                </c:pt>
                <c:pt idx="72">
                  <c:v>3.2399999999999998</c:v>
                </c:pt>
                <c:pt idx="73">
                  <c:v>3.2850000000000001</c:v>
                </c:pt>
                <c:pt idx="74">
                  <c:v>3.33</c:v>
                </c:pt>
                <c:pt idx="75">
                  <c:v>3.375</c:v>
                </c:pt>
                <c:pt idx="76">
                  <c:v>3.42</c:v>
                </c:pt>
                <c:pt idx="77">
                  <c:v>3.4649999999999999</c:v>
                </c:pt>
                <c:pt idx="78">
                  <c:v>3.5100000000000002</c:v>
                </c:pt>
                <c:pt idx="79">
                  <c:v>3.5550000000000002</c:v>
                </c:pt>
                <c:pt idx="80">
                  <c:v>3.6</c:v>
                </c:pt>
                <c:pt idx="81">
                  <c:v>3.6450000000000005</c:v>
                </c:pt>
                <c:pt idx="82">
                  <c:v>3.69</c:v>
                </c:pt>
                <c:pt idx="83">
                  <c:v>3.7349999999999999</c:v>
                </c:pt>
                <c:pt idx="84">
                  <c:v>3.78</c:v>
                </c:pt>
                <c:pt idx="85">
                  <c:v>3.8249999999999997</c:v>
                </c:pt>
                <c:pt idx="86">
                  <c:v>3.87</c:v>
                </c:pt>
                <c:pt idx="87">
                  <c:v>3.915</c:v>
                </c:pt>
                <c:pt idx="88">
                  <c:v>3.96</c:v>
                </c:pt>
                <c:pt idx="89">
                  <c:v>4.0049999999999999</c:v>
                </c:pt>
                <c:pt idx="90">
                  <c:v>4.05</c:v>
                </c:pt>
                <c:pt idx="91">
                  <c:v>4.0949999999999998</c:v>
                </c:pt>
                <c:pt idx="92">
                  <c:v>4.1400000000000006</c:v>
                </c:pt>
                <c:pt idx="93">
                  <c:v>4.1850000000000005</c:v>
                </c:pt>
                <c:pt idx="94">
                  <c:v>4.2299999999999995</c:v>
                </c:pt>
                <c:pt idx="95">
                  <c:v>4.2749999999999995</c:v>
                </c:pt>
                <c:pt idx="96">
                  <c:v>4.32</c:v>
                </c:pt>
                <c:pt idx="97">
                  <c:v>4.3650000000000002</c:v>
                </c:pt>
                <c:pt idx="98">
                  <c:v>4.41</c:v>
                </c:pt>
                <c:pt idx="99">
                  <c:v>4.4550000000000001</c:v>
                </c:pt>
                <c:pt idx="100">
                  <c:v>4.5</c:v>
                </c:pt>
                <c:pt idx="101">
                  <c:v>4.5449999999999999</c:v>
                </c:pt>
                <c:pt idx="102">
                  <c:v>4.59</c:v>
                </c:pt>
                <c:pt idx="103">
                  <c:v>4.6349999999999998</c:v>
                </c:pt>
                <c:pt idx="104">
                  <c:v>4.68</c:v>
                </c:pt>
                <c:pt idx="105">
                  <c:v>4.7250000000000005</c:v>
                </c:pt>
                <c:pt idx="106">
                  <c:v>4.7700000000000005</c:v>
                </c:pt>
                <c:pt idx="107">
                  <c:v>4.8150000000000004</c:v>
                </c:pt>
                <c:pt idx="108">
                  <c:v>4.8600000000000003</c:v>
                </c:pt>
                <c:pt idx="109">
                  <c:v>4.9050000000000002</c:v>
                </c:pt>
                <c:pt idx="110">
                  <c:v>4.95</c:v>
                </c:pt>
                <c:pt idx="111">
                  <c:v>4.9950000000000001</c:v>
                </c:pt>
                <c:pt idx="112">
                  <c:v>5.0400000000000009</c:v>
                </c:pt>
                <c:pt idx="113">
                  <c:v>5.0849999999999991</c:v>
                </c:pt>
                <c:pt idx="114">
                  <c:v>5.13</c:v>
                </c:pt>
                <c:pt idx="115">
                  <c:v>5.1749999999999998</c:v>
                </c:pt>
                <c:pt idx="116">
                  <c:v>5.22</c:v>
                </c:pt>
                <c:pt idx="117">
                  <c:v>5.2649999999999997</c:v>
                </c:pt>
                <c:pt idx="118">
                  <c:v>5.31</c:v>
                </c:pt>
                <c:pt idx="119">
                  <c:v>5.3549999999999995</c:v>
                </c:pt>
                <c:pt idx="120">
                  <c:v>5.3999999999999995</c:v>
                </c:pt>
                <c:pt idx="121">
                  <c:v>5.4450000000000003</c:v>
                </c:pt>
                <c:pt idx="122">
                  <c:v>5.49</c:v>
                </c:pt>
                <c:pt idx="123">
                  <c:v>5.5350000000000001</c:v>
                </c:pt>
                <c:pt idx="124">
                  <c:v>5.58</c:v>
                </c:pt>
                <c:pt idx="125">
                  <c:v>5.625</c:v>
                </c:pt>
                <c:pt idx="126">
                  <c:v>5.67</c:v>
                </c:pt>
                <c:pt idx="127">
                  <c:v>5.7149999999999999</c:v>
                </c:pt>
                <c:pt idx="128">
                  <c:v>5.76</c:v>
                </c:pt>
                <c:pt idx="129">
                  <c:v>5.8049999999999997</c:v>
                </c:pt>
                <c:pt idx="130">
                  <c:v>5.8500000000000005</c:v>
                </c:pt>
                <c:pt idx="131">
                  <c:v>5.8950000000000005</c:v>
                </c:pt>
                <c:pt idx="132">
                  <c:v>5.94</c:v>
                </c:pt>
                <c:pt idx="133">
                  <c:v>5.9850000000000003</c:v>
                </c:pt>
                <c:pt idx="134">
                  <c:v>6.03</c:v>
                </c:pt>
                <c:pt idx="135">
                  <c:v>6.0750000000000002</c:v>
                </c:pt>
                <c:pt idx="136">
                  <c:v>6.12</c:v>
                </c:pt>
                <c:pt idx="137">
                  <c:v>6.1650000000000009</c:v>
                </c:pt>
                <c:pt idx="138">
                  <c:v>6.2099999999999991</c:v>
                </c:pt>
                <c:pt idx="139">
                  <c:v>6.2549999999999999</c:v>
                </c:pt>
                <c:pt idx="140">
                  <c:v>6.3</c:v>
                </c:pt>
                <c:pt idx="141">
                  <c:v>6.3449999999999998</c:v>
                </c:pt>
                <c:pt idx="142">
                  <c:v>6.39</c:v>
                </c:pt>
                <c:pt idx="143">
                  <c:v>6.4349999999999996</c:v>
                </c:pt>
                <c:pt idx="144">
                  <c:v>6.4799999999999995</c:v>
                </c:pt>
                <c:pt idx="145">
                  <c:v>6.5249999999999995</c:v>
                </c:pt>
                <c:pt idx="146">
                  <c:v>6.57</c:v>
                </c:pt>
                <c:pt idx="147">
                  <c:v>6.6150000000000002</c:v>
                </c:pt>
                <c:pt idx="148">
                  <c:v>6.66</c:v>
                </c:pt>
                <c:pt idx="149">
                  <c:v>6.7050000000000001</c:v>
                </c:pt>
                <c:pt idx="150">
                  <c:v>6.75</c:v>
                </c:pt>
                <c:pt idx="151">
                  <c:v>6.7949999999999999</c:v>
                </c:pt>
                <c:pt idx="152">
                  <c:v>6.84</c:v>
                </c:pt>
                <c:pt idx="153">
                  <c:v>6.8849999999999998</c:v>
                </c:pt>
                <c:pt idx="154">
                  <c:v>6.93</c:v>
                </c:pt>
                <c:pt idx="155">
                  <c:v>6.9750000000000005</c:v>
                </c:pt>
                <c:pt idx="156">
                  <c:v>7.0200000000000005</c:v>
                </c:pt>
                <c:pt idx="157">
                  <c:v>7.0650000000000004</c:v>
                </c:pt>
                <c:pt idx="158">
                  <c:v>7.11</c:v>
                </c:pt>
                <c:pt idx="159">
                  <c:v>7.1550000000000002</c:v>
                </c:pt>
                <c:pt idx="160">
                  <c:v>7.2</c:v>
                </c:pt>
                <c:pt idx="161">
                  <c:v>7.2450000000000001</c:v>
                </c:pt>
                <c:pt idx="162">
                  <c:v>7.2900000000000009</c:v>
                </c:pt>
                <c:pt idx="163">
                  <c:v>7.3349999999999991</c:v>
                </c:pt>
                <c:pt idx="164">
                  <c:v>7.38</c:v>
                </c:pt>
                <c:pt idx="165">
                  <c:v>7.4249999999999998</c:v>
                </c:pt>
                <c:pt idx="166">
                  <c:v>7.47</c:v>
                </c:pt>
                <c:pt idx="167">
                  <c:v>7.5149999999999997</c:v>
                </c:pt>
                <c:pt idx="168">
                  <c:v>7.56</c:v>
                </c:pt>
                <c:pt idx="169">
                  <c:v>7.6049999999999995</c:v>
                </c:pt>
                <c:pt idx="170">
                  <c:v>7.6499999999999995</c:v>
                </c:pt>
                <c:pt idx="171">
                  <c:v>7.6950000000000003</c:v>
                </c:pt>
                <c:pt idx="172">
                  <c:v>7.74</c:v>
                </c:pt>
                <c:pt idx="173">
                  <c:v>7.7850000000000001</c:v>
                </c:pt>
                <c:pt idx="174">
                  <c:v>7.83</c:v>
                </c:pt>
                <c:pt idx="175">
                  <c:v>7.875</c:v>
                </c:pt>
                <c:pt idx="176">
                  <c:v>7.92</c:v>
                </c:pt>
                <c:pt idx="177">
                  <c:v>7.9649999999999999</c:v>
                </c:pt>
                <c:pt idx="178">
                  <c:v>8.01</c:v>
                </c:pt>
                <c:pt idx="179">
                  <c:v>8.0549999999999997</c:v>
                </c:pt>
                <c:pt idx="180">
                  <c:v>8.1</c:v>
                </c:pt>
                <c:pt idx="181">
                  <c:v>8.1449999999999996</c:v>
                </c:pt>
                <c:pt idx="182">
                  <c:v>8.19</c:v>
                </c:pt>
                <c:pt idx="183">
                  <c:v>8.2349999999999994</c:v>
                </c:pt>
                <c:pt idx="184">
                  <c:v>8.2800000000000011</c:v>
                </c:pt>
                <c:pt idx="185">
                  <c:v>8.3250000000000011</c:v>
                </c:pt>
                <c:pt idx="186">
                  <c:v>8.370000000000001</c:v>
                </c:pt>
                <c:pt idx="187">
                  <c:v>8.4150000000000009</c:v>
                </c:pt>
                <c:pt idx="188">
                  <c:v>8.4599999999999991</c:v>
                </c:pt>
                <c:pt idx="189">
                  <c:v>8.504999999999999</c:v>
                </c:pt>
                <c:pt idx="190">
                  <c:v>8.5499999999999989</c:v>
                </c:pt>
                <c:pt idx="191">
                  <c:v>8.5949999999999989</c:v>
                </c:pt>
                <c:pt idx="192">
                  <c:v>8.64</c:v>
                </c:pt>
                <c:pt idx="193">
                  <c:v>8.6850000000000005</c:v>
                </c:pt>
                <c:pt idx="194">
                  <c:v>8.73</c:v>
                </c:pt>
                <c:pt idx="195">
                  <c:v>8.7750000000000004</c:v>
                </c:pt>
                <c:pt idx="196">
                  <c:v>8.82</c:v>
                </c:pt>
                <c:pt idx="197">
                  <c:v>8.8650000000000002</c:v>
                </c:pt>
                <c:pt idx="198">
                  <c:v>8.91</c:v>
                </c:pt>
                <c:pt idx="199">
                  <c:v>8.9550000000000001</c:v>
                </c:pt>
                <c:pt idx="200">
                  <c:v>9</c:v>
                </c:pt>
              </c:numCache>
            </c:numRef>
          </c:xVal>
          <c:yVal>
            <c:numRef>
              <c:f>'Power Calculations'!$AS$9:$AS$209</c:f>
              <c:numCache>
                <c:formatCode>0.0</c:formatCode>
                <c:ptCount val="201"/>
                <c:pt idx="0">
                  <c:v>0.78801714897845321</c:v>
                </c:pt>
                <c:pt idx="1">
                  <c:v>0.80467825937473814</c:v>
                </c:pt>
                <c:pt idx="2">
                  <c:v>0.82220673383424969</c:v>
                </c:pt>
                <c:pt idx="3">
                  <c:v>0.84060254470237772</c:v>
                </c:pt>
                <c:pt idx="4">
                  <c:v>0.85986568219386306</c:v>
                </c:pt>
                <c:pt idx="5">
                  <c:v>0.87999615438548329</c:v>
                </c:pt>
                <c:pt idx="6">
                  <c:v>0.9009939872096564</c:v>
                </c:pt>
                <c:pt idx="7">
                  <c:v>0.92285922444897039</c:v>
                </c:pt>
                <c:pt idx="8">
                  <c:v>0.94559192773162992</c:v>
                </c:pt>
                <c:pt idx="9">
                  <c:v>0.96919217652782641</c:v>
                </c:pt>
                <c:pt idx="10">
                  <c:v>0.99366006814702512</c:v>
                </c:pt>
                <c:pt idx="11">
                  <c:v>1.0189957177361717</c:v>
                </c:pt>
                <c:pt idx="12">
                  <c:v>1.0451992582788192</c:v>
                </c:pt>
                <c:pt idx="13">
                  <c:v>1.0722708405951684</c:v>
                </c:pt>
                <c:pt idx="14">
                  <c:v>1.1002106333430304</c:v>
                </c:pt>
                <c:pt idx="15">
                  <c:v>1.1290188230197036</c:v>
                </c:pt>
                <c:pt idx="16">
                  <c:v>1.1586956139647704</c:v>
                </c:pt>
                <c:pt idx="17">
                  <c:v>1.189241228363807</c:v>
                </c:pt>
                <c:pt idx="18">
                  <c:v>1.2206559062530162</c:v>
                </c:pt>
                <c:pt idx="19">
                  <c:v>1.2529399055247714</c:v>
                </c:pt>
                <c:pt idx="20">
                  <c:v>1.2860935019340822</c:v>
                </c:pt>
                <c:pt idx="21">
                  <c:v>1.3201169891059774</c:v>
                </c:pt>
                <c:pt idx="22">
                  <c:v>1.3550106785438039</c:v>
                </c:pt>
                <c:pt idx="23">
                  <c:v>1.3907748996384455</c:v>
                </c:pt>
                <c:pt idx="24">
                  <c:v>1.4274099996784637</c:v>
                </c:pt>
                <c:pt idx="25">
                  <c:v>1.4649163438611525</c:v>
                </c:pt>
                <c:pt idx="26">
                  <c:v>1.50329431530452</c:v>
                </c:pt>
                <c:pt idx="27">
                  <c:v>1.5425443150601867</c:v>
                </c:pt>
                <c:pt idx="28">
                  <c:v>1.5826667621272077</c:v>
                </c:pt>
                <c:pt idx="29">
                  <c:v>1.6236620934668196</c:v>
                </c:pt>
                <c:pt idx="30">
                  <c:v>1.6655307640181116</c:v>
                </c:pt>
                <c:pt idx="31">
                  <c:v>1.7082732467146182</c:v>
                </c:pt>
                <c:pt idx="32">
                  <c:v>1.7518900325018452</c:v>
                </c:pt>
                <c:pt idx="33">
                  <c:v>1.7963816303557181</c:v>
                </c:pt>
                <c:pt idx="34">
                  <c:v>1.8417485673019642</c:v>
                </c:pt>
                <c:pt idx="35">
                  <c:v>1.8879913884364241</c:v>
                </c:pt>
                <c:pt idx="36">
                  <c:v>1.9351106569462948</c:v>
                </c:pt>
                <c:pt idx="37">
                  <c:v>1.9850197824998463</c:v>
                </c:pt>
                <c:pt idx="38">
                  <c:v>2.050023503211384</c:v>
                </c:pt>
                <c:pt idx="39">
                  <c:v>2.1159097571659</c:v>
                </c:pt>
                <c:pt idx="40">
                  <c:v>2.1826793480339548</c:v>
                </c:pt>
                <c:pt idx="41">
                  <c:v>2.2503330978218319</c:v>
                </c:pt>
                <c:pt idx="42">
                  <c:v>2.3188718469042096</c:v>
                </c:pt>
                <c:pt idx="43">
                  <c:v>2.388296454057794</c:v>
                </c:pt>
                <c:pt idx="44">
                  <c:v>2.4586077964959037</c:v>
                </c:pt>
                <c:pt idx="45">
                  <c:v>2.5298067699040221</c:v>
                </c:pt>
                <c:pt idx="46">
                  <c:v>2.6018942884763128</c:v>
                </c:pt>
                <c:pt idx="47">
                  <c:v>2.6748712849530909</c:v>
                </c:pt>
                <c:pt idx="48">
                  <c:v>2.7487387106592824</c:v>
                </c:pt>
                <c:pt idx="49">
                  <c:v>2.8234975355438401</c:v>
                </c:pt>
                <c:pt idx="50">
                  <c:v>2.8991487482201466</c:v>
                </c:pt>
                <c:pt idx="51">
                  <c:v>2.9756933560073939</c:v>
                </c:pt>
                <c:pt idx="52">
                  <c:v>3.0531323849729439</c:v>
                </c:pt>
                <c:pt idx="53">
                  <c:v>3.1314668799756835</c:v>
                </c:pt>
                <c:pt idx="54">
                  <c:v>3.2106979047103574</c:v>
                </c:pt>
                <c:pt idx="55">
                  <c:v>3.2908265417529097</c:v>
                </c:pt>
                <c:pt idx="56">
                  <c:v>3.3718538926068224</c:v>
                </c:pt>
                <c:pt idx="57">
                  <c:v>3.4537810777504383</c:v>
                </c:pt>
                <c:pt idx="58">
                  <c:v>3.5366092366853219</c:v>
                </c:pt>
                <c:pt idx="59">
                  <c:v>3.6203395279855988</c:v>
                </c:pt>
                <c:pt idx="60">
                  <c:v>3.7049731293483372</c:v>
                </c:pt>
                <c:pt idx="61">
                  <c:v>3.7905112376449295</c:v>
                </c:pt>
                <c:pt idx="62">
                  <c:v>3.8769550689735093</c:v>
                </c:pt>
                <c:pt idx="63">
                  <c:v>3.9643058587123967</c:v>
                </c:pt>
                <c:pt idx="64">
                  <c:v>4.052564861574572</c:v>
                </c:pt>
                <c:pt idx="65">
                  <c:v>4.1417333516631887</c:v>
                </c:pt>
                <c:pt idx="66">
                  <c:v>4.2318126225281292</c:v>
                </c:pt>
                <c:pt idx="67">
                  <c:v>4.3228039872236232</c:v>
                </c:pt>
                <c:pt idx="68">
                  <c:v>4.4147087783668955</c:v>
                </c:pt>
                <c:pt idx="69">
                  <c:v>4.5075283481978889</c:v>
                </c:pt>
                <c:pt idx="70">
                  <c:v>4.601264068640055</c:v>
                </c:pt>
                <c:pt idx="71">
                  <c:v>4.6959173313621871</c:v>
                </c:pt>
                <c:pt idx="72">
                  <c:v>4.791489547841369</c:v>
                </c:pt>
                <c:pt idx="73">
                  <c:v>4.8879821494269784</c:v>
                </c:pt>
                <c:pt idx="74">
                  <c:v>4.98539658740577</c:v>
                </c:pt>
                <c:pt idx="75">
                  <c:v>5.0837343330680795</c:v>
                </c:pt>
                <c:pt idx="76">
                  <c:v>5.1829968777751025</c:v>
                </c:pt>
                <c:pt idx="77">
                  <c:v>5.2831857330272927</c:v>
                </c:pt>
                <c:pt idx="78">
                  <c:v>5.3843024305338556</c:v>
                </c:pt>
                <c:pt idx="79">
                  <c:v>5.4863485222833761</c:v>
                </c:pt>
                <c:pt idx="80">
                  <c:v>5.5893255806155597</c:v>
                </c:pt>
                <c:pt idx="81">
                  <c:v>5.6932351982941114</c:v>
                </c:pt>
                <c:pt idx="82">
                  <c:v>5.7980789885807349</c:v>
                </c:pt>
                <c:pt idx="83">
                  <c:v>5.9038585853103118</c:v>
                </c:pt>
                <c:pt idx="84">
                  <c:v>6.0105756429671908</c:v>
                </c:pt>
                <c:pt idx="85">
                  <c:v>6.1182318367626571</c:v>
                </c:pt>
                <c:pt idx="86">
                  <c:v>6.2268288627135648</c:v>
                </c:pt>
                <c:pt idx="87">
                  <c:v>6.3363684377221494</c:v>
                </c:pt>
                <c:pt idx="88">
                  <c:v>6.4468522996569906</c:v>
                </c:pt>
                <c:pt idx="89">
                  <c:v>6.5582822074352141</c:v>
                </c:pt>
                <c:pt idx="90">
                  <c:v>6.6706599411058267</c:v>
                </c:pt>
                <c:pt idx="91">
                  <c:v>6.783987301934312</c:v>
                </c:pt>
                <c:pt idx="92">
                  <c:v>6.8982661124884075</c:v>
                </c:pt>
                <c:pt idx="93">
                  <c:v>7.013498216725087</c:v>
                </c:pt>
                <c:pt idx="94">
                  <c:v>7.1296854800788223</c:v>
                </c:pt>
                <c:pt idx="95">
                  <c:v>7.2468297895510281</c:v>
                </c:pt>
                <c:pt idx="96">
                  <c:v>7.3649330538007742</c:v>
                </c:pt>
                <c:pt idx="97">
                  <c:v>7.4839972032367452</c:v>
                </c:pt>
                <c:pt idx="98">
                  <c:v>7.6040241901104828</c:v>
                </c:pt>
                <c:pt idx="99">
                  <c:v>7.725015988610866</c:v>
                </c:pt>
                <c:pt idx="100">
                  <c:v>7.846974594959887</c:v>
                </c:pt>
                <c:pt idx="101">
                  <c:v>7.9699020275097325</c:v>
                </c:pt>
                <c:pt idx="102">
                  <c:v>8.09380032684113</c:v>
                </c:pt>
                <c:pt idx="103">
                  <c:v>8.2186715558630326</c:v>
                </c:pt>
                <c:pt idx="104">
                  <c:v>8.3445177999136</c:v>
                </c:pt>
                <c:pt idx="105">
                  <c:v>8.4713411668625227</c:v>
                </c:pt>
                <c:pt idx="106">
                  <c:v>8.5991437872146719</c:v>
                </c:pt>
                <c:pt idx="107">
                  <c:v>8.7279278142151124</c:v>
                </c:pt>
                <c:pt idx="108">
                  <c:v>8.8576954239554322</c:v>
                </c:pt>
                <c:pt idx="109">
                  <c:v>8.9884488154815241</c:v>
                </c:pt>
                <c:pt idx="110">
                  <c:v>9.1201902109026296</c:v>
                </c:pt>
                <c:pt idx="111">
                  <c:v>9.2529218555018993</c:v>
                </c:pt>
                <c:pt idx="112">
                  <c:v>9.3866460178482374</c:v>
                </c:pt>
                <c:pt idx="113">
                  <c:v>9.5213649899096264</c:v>
                </c:pt>
                <c:pt idx="114">
                  <c:v>9.6570810871678816</c:v>
                </c:pt>
                <c:pt idx="115">
                  <c:v>9.793796648734773</c:v>
                </c:pt>
                <c:pt idx="116">
                  <c:v>9.9315140374696806</c:v>
                </c:pt>
                <c:pt idx="117">
                  <c:v>10.070235640098621</c:v>
                </c:pt>
                <c:pt idx="118">
                  <c:v>10.209963867334809</c:v>
                </c:pt>
                <c:pt idx="119">
                  <c:v>10.35070115400066</c:v>
                </c:pt>
                <c:pt idx="120">
                  <c:v>10.492449959151324</c:v>
                </c:pt>
                <c:pt idx="121">
                  <c:v>10.635212766199666</c:v>
                </c:pt>
                <c:pt idx="122">
                  <c:v>10.778992083042828</c:v>
                </c:pt>
                <c:pt idx="123">
                  <c:v>10.923790442190281</c:v>
                </c:pt>
                <c:pt idx="124">
                  <c:v>11.069610400893453</c:v>
                </c:pt>
                <c:pt idx="125">
                  <c:v>11.21645454127686</c:v>
                </c:pt>
                <c:pt idx="126">
                  <c:v>11.364325470470877</c:v>
                </c:pt>
                <c:pt idx="127">
                  <c:v>11.513225820746044</c:v>
                </c:pt>
                <c:pt idx="128">
                  <c:v>11.663158249648983</c:v>
                </c:pt>
                <c:pt idx="129">
                  <c:v>11.814125440139915</c:v>
                </c:pt>
                <c:pt idx="130">
                  <c:v>11.966130100731862</c:v>
                </c:pt>
                <c:pt idx="131">
                  <c:v>12.119174965631368</c:v>
                </c:pt>
                <c:pt idx="132">
                  <c:v>12.273262794881013</c:v>
                </c:pt>
                <c:pt idx="133">
                  <c:v>12.428396374503507</c:v>
                </c:pt>
                <c:pt idx="134">
                  <c:v>12.584578516647477</c:v>
                </c:pt>
                <c:pt idx="135">
                  <c:v>12.741812059734997</c:v>
                </c:pt>
                <c:pt idx="136">
                  <c:v>12.900099868610775</c:v>
                </c:pt>
                <c:pt idx="137">
                  <c:v>13.059444834693117</c:v>
                </c:pt>
                <c:pt idx="138">
                  <c:v>13.219849876126592</c:v>
                </c:pt>
                <c:pt idx="139">
                  <c:v>13.381317937936545</c:v>
                </c:pt>
                <c:pt idx="140">
                  <c:v>13.543851992185223</c:v>
                </c:pt>
                <c:pt idx="141">
                  <c:v>13.707455038129917</c:v>
                </c:pt>
                <c:pt idx="142">
                  <c:v>13.872130102382698</c:v>
                </c:pt>
                <c:pt idx="143">
                  <c:v>14.037880239072145</c:v>
                </c:pt>
                <c:pt idx="144">
                  <c:v>14.204708530006808</c:v>
                </c:pt>
                <c:pt idx="145">
                  <c:v>14.372618084840605</c:v>
                </c:pt>
                <c:pt idx="146">
                  <c:v>14.541612041240064</c:v>
                </c:pt>
                <c:pt idx="147">
                  <c:v>14.71169356505345</c:v>
                </c:pt>
                <c:pt idx="148">
                  <c:v>14.882865850481847</c:v>
                </c:pt>
                <c:pt idx="149">
                  <c:v>15.055132120252161</c:v>
                </c:pt>
                <c:pt idx="150">
                  <c:v>15.228495625792055</c:v>
                </c:pt>
                <c:pt idx="151">
                  <c:v>15.402959647406853</c:v>
                </c:pt>
                <c:pt idx="152">
                  <c:v>15.578527494458479</c:v>
                </c:pt>
                <c:pt idx="153">
                  <c:v>15.755202505546354</c:v>
                </c:pt>
                <c:pt idx="154">
                  <c:v>15.932988048690358</c:v>
                </c:pt>
                <c:pt idx="155">
                  <c:v>16.111887521515836</c:v>
                </c:pt>
                <c:pt idx="156">
                  <c:v>16.291904351440639</c:v>
                </c:pt>
                <c:pt idx="157">
                  <c:v>16.473041995864296</c:v>
                </c:pt>
                <c:pt idx="158">
                  <c:v>16.655303942359296</c:v>
                </c:pt>
                <c:pt idx="159">
                  <c:v>16.838693708864469</c:v>
                </c:pt>
                <c:pt idx="160">
                  <c:v>17.023214843880545</c:v>
                </c:pt>
                <c:pt idx="161">
                  <c:v>17.208870926667874</c:v>
                </c:pt>
                <c:pt idx="162">
                  <c:v>17.395665567446375</c:v>
                </c:pt>
                <c:pt idx="163">
                  <c:v>17.583602407597635</c:v>
                </c:pt>
                <c:pt idx="164">
                  <c:v>17.772685119869358</c:v>
                </c:pt>
                <c:pt idx="165">
                  <c:v>17.962917408581937</c:v>
                </c:pt>
                <c:pt idx="166">
                  <c:v>18.154303009837435</c:v>
                </c:pt>
                <c:pt idx="167">
                  <c:v>18.346845691730838</c:v>
                </c:pt>
                <c:pt idx="168">
                  <c:v>18.540549254563594</c:v>
                </c:pt>
                <c:pt idx="169">
                  <c:v>18.735417531059589</c:v>
                </c:pt>
                <c:pt idx="170">
                  <c:v>18.93145438658345</c:v>
                </c:pt>
                <c:pt idx="171">
                  <c:v>19.128663719361278</c:v>
                </c:pt>
                <c:pt idx="172">
                  <c:v>19.327049460703797</c:v>
                </c:pt>
                <c:pt idx="173">
                  <c:v>19.526615575231997</c:v>
                </c:pt>
                <c:pt idx="174">
                  <c:v>19.727366061105212</c:v>
                </c:pt>
                <c:pt idx="175">
                  <c:v>19.929304950251751</c:v>
                </c:pt>
                <c:pt idx="176">
                  <c:v>20.132436308602045</c:v>
                </c:pt>
                <c:pt idx="177">
                  <c:v>20.336764236324356</c:v>
                </c:pt>
                <c:pt idx="178">
                  <c:v>20.542292868063061</c:v>
                </c:pt>
                <c:pt idx="179">
                  <c:v>20.749026373179611</c:v>
                </c:pt>
                <c:pt idx="180">
                  <c:v>20.956968955996082</c:v>
                </c:pt>
                <c:pt idx="181">
                  <c:v>21.166124856041396</c:v>
                </c:pt>
                <c:pt idx="182">
                  <c:v>21.376498348300323</c:v>
                </c:pt>
                <c:pt idx="183">
                  <c:v>21.58809374346508</c:v>
                </c:pt>
                <c:pt idx="184">
                  <c:v>21.800915388189885</c:v>
                </c:pt>
                <c:pt idx="185">
                  <c:v>22.014967665348028</c:v>
                </c:pt>
                <c:pt idx="186">
                  <c:v>22.23025499429211</c:v>
                </c:pt>
                <c:pt idx="187">
                  <c:v>22.446781831116802</c:v>
                </c:pt>
                <c:pt idx="188">
                  <c:v>22.664552668924721</c:v>
                </c:pt>
                <c:pt idx="189">
                  <c:v>22.883572038095132</c:v>
                </c:pt>
                <c:pt idx="190">
                  <c:v>23.103844506555586</c:v>
                </c:pt>
                <c:pt idx="191">
                  <c:v>23.325374680056559</c:v>
                </c:pt>
                <c:pt idx="192">
                  <c:v>23.548167202449125</c:v>
                </c:pt>
                <c:pt idx="193">
                  <c:v>23.772226755965619</c:v>
                </c:pt>
                <c:pt idx="194">
                  <c:v>23.997558061503494</c:v>
                </c:pt>
                <c:pt idx="195">
                  <c:v>24.224165878912132</c:v>
                </c:pt>
                <c:pt idx="196">
                  <c:v>24.452055007282965</c:v>
                </c:pt>
                <c:pt idx="197">
                  <c:v>24.68123028524268</c:v>
                </c:pt>
                <c:pt idx="198">
                  <c:v>24.911696591249658</c:v>
                </c:pt>
                <c:pt idx="199">
                  <c:v>25.143458843893743</c:v>
                </c:pt>
                <c:pt idx="200">
                  <c:v>25.376522002199174</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4.4999999999999998E-2</c:v>
                </c:pt>
                <c:pt idx="2">
                  <c:v>0.09</c:v>
                </c:pt>
                <c:pt idx="3">
                  <c:v>0.13500000000000001</c:v>
                </c:pt>
                <c:pt idx="4">
                  <c:v>0.18</c:v>
                </c:pt>
                <c:pt idx="5">
                  <c:v>0.22500000000000001</c:v>
                </c:pt>
                <c:pt idx="6">
                  <c:v>0.27</c:v>
                </c:pt>
                <c:pt idx="7">
                  <c:v>0.31500000000000006</c:v>
                </c:pt>
                <c:pt idx="8">
                  <c:v>0.36</c:v>
                </c:pt>
                <c:pt idx="9">
                  <c:v>0.40499999999999997</c:v>
                </c:pt>
                <c:pt idx="10">
                  <c:v>0.45</c:v>
                </c:pt>
                <c:pt idx="11">
                  <c:v>0.495</c:v>
                </c:pt>
                <c:pt idx="12">
                  <c:v>0.54</c:v>
                </c:pt>
                <c:pt idx="13">
                  <c:v>0.58499999999999996</c:v>
                </c:pt>
                <c:pt idx="14">
                  <c:v>0.63000000000000012</c:v>
                </c:pt>
                <c:pt idx="15">
                  <c:v>0.67499999999999993</c:v>
                </c:pt>
                <c:pt idx="16">
                  <c:v>0.72</c:v>
                </c:pt>
                <c:pt idx="17">
                  <c:v>0.76500000000000001</c:v>
                </c:pt>
                <c:pt idx="18">
                  <c:v>0.80999999999999994</c:v>
                </c:pt>
                <c:pt idx="19">
                  <c:v>0.85499999999999998</c:v>
                </c:pt>
                <c:pt idx="20">
                  <c:v>0.9</c:v>
                </c:pt>
                <c:pt idx="21">
                  <c:v>0.94499999999999995</c:v>
                </c:pt>
                <c:pt idx="22">
                  <c:v>0.99</c:v>
                </c:pt>
                <c:pt idx="23">
                  <c:v>1.0350000000000001</c:v>
                </c:pt>
                <c:pt idx="24">
                  <c:v>1.08</c:v>
                </c:pt>
                <c:pt idx="25">
                  <c:v>1.125</c:v>
                </c:pt>
                <c:pt idx="26">
                  <c:v>1.17</c:v>
                </c:pt>
                <c:pt idx="27">
                  <c:v>1.2150000000000001</c:v>
                </c:pt>
                <c:pt idx="28">
                  <c:v>1.2600000000000002</c:v>
                </c:pt>
                <c:pt idx="29">
                  <c:v>1.3049999999999999</c:v>
                </c:pt>
                <c:pt idx="30">
                  <c:v>1.3499999999999999</c:v>
                </c:pt>
                <c:pt idx="31">
                  <c:v>1.395</c:v>
                </c:pt>
                <c:pt idx="32">
                  <c:v>1.44</c:v>
                </c:pt>
                <c:pt idx="33">
                  <c:v>1.4850000000000001</c:v>
                </c:pt>
                <c:pt idx="34">
                  <c:v>1.53</c:v>
                </c:pt>
                <c:pt idx="35">
                  <c:v>1.575</c:v>
                </c:pt>
                <c:pt idx="36">
                  <c:v>1.6199999999999999</c:v>
                </c:pt>
                <c:pt idx="37">
                  <c:v>1.665</c:v>
                </c:pt>
                <c:pt idx="38">
                  <c:v>1.71</c:v>
                </c:pt>
                <c:pt idx="39">
                  <c:v>1.7550000000000001</c:v>
                </c:pt>
                <c:pt idx="40">
                  <c:v>1.8</c:v>
                </c:pt>
                <c:pt idx="41">
                  <c:v>1.845</c:v>
                </c:pt>
                <c:pt idx="42">
                  <c:v>1.89</c:v>
                </c:pt>
                <c:pt idx="43">
                  <c:v>1.9350000000000001</c:v>
                </c:pt>
                <c:pt idx="44">
                  <c:v>1.98</c:v>
                </c:pt>
                <c:pt idx="45">
                  <c:v>2.0249999999999999</c:v>
                </c:pt>
                <c:pt idx="46">
                  <c:v>2.0700000000000003</c:v>
                </c:pt>
                <c:pt idx="47">
                  <c:v>2.1149999999999998</c:v>
                </c:pt>
                <c:pt idx="48">
                  <c:v>2.16</c:v>
                </c:pt>
                <c:pt idx="49">
                  <c:v>2.2050000000000001</c:v>
                </c:pt>
                <c:pt idx="50">
                  <c:v>2.25</c:v>
                </c:pt>
                <c:pt idx="51">
                  <c:v>2.2949999999999999</c:v>
                </c:pt>
                <c:pt idx="52">
                  <c:v>2.34</c:v>
                </c:pt>
                <c:pt idx="53">
                  <c:v>2.3850000000000002</c:v>
                </c:pt>
                <c:pt idx="54">
                  <c:v>2.4300000000000002</c:v>
                </c:pt>
                <c:pt idx="55">
                  <c:v>2.4750000000000001</c:v>
                </c:pt>
                <c:pt idx="56">
                  <c:v>2.5200000000000005</c:v>
                </c:pt>
                <c:pt idx="57">
                  <c:v>2.5649999999999999</c:v>
                </c:pt>
                <c:pt idx="58">
                  <c:v>2.61</c:v>
                </c:pt>
                <c:pt idx="59">
                  <c:v>2.6549999999999998</c:v>
                </c:pt>
                <c:pt idx="60">
                  <c:v>2.6999999999999997</c:v>
                </c:pt>
                <c:pt idx="61">
                  <c:v>2.7450000000000001</c:v>
                </c:pt>
                <c:pt idx="62">
                  <c:v>2.79</c:v>
                </c:pt>
                <c:pt idx="63">
                  <c:v>2.835</c:v>
                </c:pt>
                <c:pt idx="64">
                  <c:v>2.88</c:v>
                </c:pt>
                <c:pt idx="65">
                  <c:v>2.9250000000000003</c:v>
                </c:pt>
                <c:pt idx="66">
                  <c:v>2.97</c:v>
                </c:pt>
                <c:pt idx="67">
                  <c:v>3.0150000000000001</c:v>
                </c:pt>
                <c:pt idx="68">
                  <c:v>3.06</c:v>
                </c:pt>
                <c:pt idx="69">
                  <c:v>3.1049999999999995</c:v>
                </c:pt>
                <c:pt idx="70">
                  <c:v>3.15</c:v>
                </c:pt>
                <c:pt idx="71">
                  <c:v>3.1949999999999998</c:v>
                </c:pt>
                <c:pt idx="72">
                  <c:v>3.2399999999999998</c:v>
                </c:pt>
                <c:pt idx="73">
                  <c:v>3.2850000000000001</c:v>
                </c:pt>
                <c:pt idx="74">
                  <c:v>3.33</c:v>
                </c:pt>
                <c:pt idx="75">
                  <c:v>3.375</c:v>
                </c:pt>
                <c:pt idx="76">
                  <c:v>3.42</c:v>
                </c:pt>
                <c:pt idx="77">
                  <c:v>3.4649999999999999</c:v>
                </c:pt>
                <c:pt idx="78">
                  <c:v>3.5100000000000002</c:v>
                </c:pt>
                <c:pt idx="79">
                  <c:v>3.5550000000000002</c:v>
                </c:pt>
                <c:pt idx="80">
                  <c:v>3.6</c:v>
                </c:pt>
                <c:pt idx="81">
                  <c:v>3.6450000000000005</c:v>
                </c:pt>
                <c:pt idx="82">
                  <c:v>3.69</c:v>
                </c:pt>
                <c:pt idx="83">
                  <c:v>3.7349999999999999</c:v>
                </c:pt>
                <c:pt idx="84">
                  <c:v>3.78</c:v>
                </c:pt>
                <c:pt idx="85">
                  <c:v>3.8249999999999997</c:v>
                </c:pt>
                <c:pt idx="86">
                  <c:v>3.87</c:v>
                </c:pt>
                <c:pt idx="87">
                  <c:v>3.915</c:v>
                </c:pt>
                <c:pt idx="88">
                  <c:v>3.96</c:v>
                </c:pt>
                <c:pt idx="89">
                  <c:v>4.0049999999999999</c:v>
                </c:pt>
                <c:pt idx="90">
                  <c:v>4.05</c:v>
                </c:pt>
                <c:pt idx="91">
                  <c:v>4.0949999999999998</c:v>
                </c:pt>
                <c:pt idx="92">
                  <c:v>4.1400000000000006</c:v>
                </c:pt>
                <c:pt idx="93">
                  <c:v>4.1850000000000005</c:v>
                </c:pt>
                <c:pt idx="94">
                  <c:v>4.2299999999999995</c:v>
                </c:pt>
                <c:pt idx="95">
                  <c:v>4.2749999999999995</c:v>
                </c:pt>
                <c:pt idx="96">
                  <c:v>4.32</c:v>
                </c:pt>
                <c:pt idx="97">
                  <c:v>4.3650000000000002</c:v>
                </c:pt>
                <c:pt idx="98">
                  <c:v>4.41</c:v>
                </c:pt>
                <c:pt idx="99">
                  <c:v>4.4550000000000001</c:v>
                </c:pt>
                <c:pt idx="100">
                  <c:v>4.5</c:v>
                </c:pt>
                <c:pt idx="101">
                  <c:v>4.5449999999999999</c:v>
                </c:pt>
                <c:pt idx="102">
                  <c:v>4.59</c:v>
                </c:pt>
                <c:pt idx="103">
                  <c:v>4.6349999999999998</c:v>
                </c:pt>
                <c:pt idx="104">
                  <c:v>4.68</c:v>
                </c:pt>
                <c:pt idx="105">
                  <c:v>4.7250000000000005</c:v>
                </c:pt>
                <c:pt idx="106">
                  <c:v>4.7700000000000005</c:v>
                </c:pt>
                <c:pt idx="107">
                  <c:v>4.8150000000000004</c:v>
                </c:pt>
                <c:pt idx="108">
                  <c:v>4.8600000000000003</c:v>
                </c:pt>
                <c:pt idx="109">
                  <c:v>4.9050000000000002</c:v>
                </c:pt>
                <c:pt idx="110">
                  <c:v>4.95</c:v>
                </c:pt>
                <c:pt idx="111">
                  <c:v>4.9950000000000001</c:v>
                </c:pt>
                <c:pt idx="112">
                  <c:v>5.0400000000000009</c:v>
                </c:pt>
                <c:pt idx="113">
                  <c:v>5.0849999999999991</c:v>
                </c:pt>
                <c:pt idx="114">
                  <c:v>5.13</c:v>
                </c:pt>
                <c:pt idx="115">
                  <c:v>5.1749999999999998</c:v>
                </c:pt>
                <c:pt idx="116">
                  <c:v>5.22</c:v>
                </c:pt>
                <c:pt idx="117">
                  <c:v>5.2649999999999997</c:v>
                </c:pt>
                <c:pt idx="118">
                  <c:v>5.31</c:v>
                </c:pt>
                <c:pt idx="119">
                  <c:v>5.3549999999999995</c:v>
                </c:pt>
                <c:pt idx="120">
                  <c:v>5.3999999999999995</c:v>
                </c:pt>
                <c:pt idx="121">
                  <c:v>5.4450000000000003</c:v>
                </c:pt>
                <c:pt idx="122">
                  <c:v>5.49</c:v>
                </c:pt>
                <c:pt idx="123">
                  <c:v>5.5350000000000001</c:v>
                </c:pt>
                <c:pt idx="124">
                  <c:v>5.58</c:v>
                </c:pt>
                <c:pt idx="125">
                  <c:v>5.625</c:v>
                </c:pt>
                <c:pt idx="126">
                  <c:v>5.67</c:v>
                </c:pt>
                <c:pt idx="127">
                  <c:v>5.7149999999999999</c:v>
                </c:pt>
                <c:pt idx="128">
                  <c:v>5.76</c:v>
                </c:pt>
                <c:pt idx="129">
                  <c:v>5.8049999999999997</c:v>
                </c:pt>
                <c:pt idx="130">
                  <c:v>5.8500000000000005</c:v>
                </c:pt>
                <c:pt idx="131">
                  <c:v>5.8950000000000005</c:v>
                </c:pt>
                <c:pt idx="132">
                  <c:v>5.94</c:v>
                </c:pt>
                <c:pt idx="133">
                  <c:v>5.9850000000000003</c:v>
                </c:pt>
                <c:pt idx="134">
                  <c:v>6.03</c:v>
                </c:pt>
                <c:pt idx="135">
                  <c:v>6.0750000000000002</c:v>
                </c:pt>
                <c:pt idx="136">
                  <c:v>6.12</c:v>
                </c:pt>
                <c:pt idx="137">
                  <c:v>6.1650000000000009</c:v>
                </c:pt>
                <c:pt idx="138">
                  <c:v>6.2099999999999991</c:v>
                </c:pt>
                <c:pt idx="139">
                  <c:v>6.2549999999999999</c:v>
                </c:pt>
                <c:pt idx="140">
                  <c:v>6.3</c:v>
                </c:pt>
                <c:pt idx="141">
                  <c:v>6.3449999999999998</c:v>
                </c:pt>
                <c:pt idx="142">
                  <c:v>6.39</c:v>
                </c:pt>
                <c:pt idx="143">
                  <c:v>6.4349999999999996</c:v>
                </c:pt>
                <c:pt idx="144">
                  <c:v>6.4799999999999995</c:v>
                </c:pt>
                <c:pt idx="145">
                  <c:v>6.5249999999999995</c:v>
                </c:pt>
                <c:pt idx="146">
                  <c:v>6.57</c:v>
                </c:pt>
                <c:pt idx="147">
                  <c:v>6.6150000000000002</c:v>
                </c:pt>
                <c:pt idx="148">
                  <c:v>6.66</c:v>
                </c:pt>
                <c:pt idx="149">
                  <c:v>6.7050000000000001</c:v>
                </c:pt>
                <c:pt idx="150">
                  <c:v>6.75</c:v>
                </c:pt>
                <c:pt idx="151">
                  <c:v>6.7949999999999999</c:v>
                </c:pt>
                <c:pt idx="152">
                  <c:v>6.84</c:v>
                </c:pt>
                <c:pt idx="153">
                  <c:v>6.8849999999999998</c:v>
                </c:pt>
                <c:pt idx="154">
                  <c:v>6.93</c:v>
                </c:pt>
                <c:pt idx="155">
                  <c:v>6.9750000000000005</c:v>
                </c:pt>
                <c:pt idx="156">
                  <c:v>7.0200000000000005</c:v>
                </c:pt>
                <c:pt idx="157">
                  <c:v>7.0650000000000004</c:v>
                </c:pt>
                <c:pt idx="158">
                  <c:v>7.11</c:v>
                </c:pt>
                <c:pt idx="159">
                  <c:v>7.1550000000000002</c:v>
                </c:pt>
                <c:pt idx="160">
                  <c:v>7.2</c:v>
                </c:pt>
                <c:pt idx="161">
                  <c:v>7.2450000000000001</c:v>
                </c:pt>
                <c:pt idx="162">
                  <c:v>7.2900000000000009</c:v>
                </c:pt>
                <c:pt idx="163">
                  <c:v>7.3349999999999991</c:v>
                </c:pt>
                <c:pt idx="164">
                  <c:v>7.38</c:v>
                </c:pt>
                <c:pt idx="165">
                  <c:v>7.4249999999999998</c:v>
                </c:pt>
                <c:pt idx="166">
                  <c:v>7.47</c:v>
                </c:pt>
                <c:pt idx="167">
                  <c:v>7.5149999999999997</c:v>
                </c:pt>
                <c:pt idx="168">
                  <c:v>7.56</c:v>
                </c:pt>
                <c:pt idx="169">
                  <c:v>7.6049999999999995</c:v>
                </c:pt>
                <c:pt idx="170">
                  <c:v>7.6499999999999995</c:v>
                </c:pt>
                <c:pt idx="171">
                  <c:v>7.6950000000000003</c:v>
                </c:pt>
                <c:pt idx="172">
                  <c:v>7.74</c:v>
                </c:pt>
                <c:pt idx="173">
                  <c:v>7.7850000000000001</c:v>
                </c:pt>
                <c:pt idx="174">
                  <c:v>7.83</c:v>
                </c:pt>
                <c:pt idx="175">
                  <c:v>7.875</c:v>
                </c:pt>
                <c:pt idx="176">
                  <c:v>7.92</c:v>
                </c:pt>
                <c:pt idx="177">
                  <c:v>7.9649999999999999</c:v>
                </c:pt>
                <c:pt idx="178">
                  <c:v>8.01</c:v>
                </c:pt>
                <c:pt idx="179">
                  <c:v>8.0549999999999997</c:v>
                </c:pt>
                <c:pt idx="180">
                  <c:v>8.1</c:v>
                </c:pt>
                <c:pt idx="181">
                  <c:v>8.1449999999999996</c:v>
                </c:pt>
                <c:pt idx="182">
                  <c:v>8.19</c:v>
                </c:pt>
                <c:pt idx="183">
                  <c:v>8.2349999999999994</c:v>
                </c:pt>
                <c:pt idx="184">
                  <c:v>8.2800000000000011</c:v>
                </c:pt>
                <c:pt idx="185">
                  <c:v>8.3250000000000011</c:v>
                </c:pt>
                <c:pt idx="186">
                  <c:v>8.370000000000001</c:v>
                </c:pt>
                <c:pt idx="187">
                  <c:v>8.4150000000000009</c:v>
                </c:pt>
                <c:pt idx="188">
                  <c:v>8.4599999999999991</c:v>
                </c:pt>
                <c:pt idx="189">
                  <c:v>8.504999999999999</c:v>
                </c:pt>
                <c:pt idx="190">
                  <c:v>8.5499999999999989</c:v>
                </c:pt>
                <c:pt idx="191">
                  <c:v>8.5949999999999989</c:v>
                </c:pt>
                <c:pt idx="192">
                  <c:v>8.64</c:v>
                </c:pt>
                <c:pt idx="193">
                  <c:v>8.6850000000000005</c:v>
                </c:pt>
                <c:pt idx="194">
                  <c:v>8.73</c:v>
                </c:pt>
                <c:pt idx="195">
                  <c:v>8.7750000000000004</c:v>
                </c:pt>
                <c:pt idx="196">
                  <c:v>8.82</c:v>
                </c:pt>
                <c:pt idx="197">
                  <c:v>8.8650000000000002</c:v>
                </c:pt>
                <c:pt idx="198">
                  <c:v>8.91</c:v>
                </c:pt>
                <c:pt idx="199">
                  <c:v>8.9550000000000001</c:v>
                </c:pt>
                <c:pt idx="200">
                  <c:v>9</c:v>
                </c:pt>
              </c:numCache>
            </c:numRef>
          </c:xVal>
          <c:yVal>
            <c:numRef>
              <c:f>'Power Calculations'!$AC$9:$AC$209</c:f>
              <c:numCache>
                <c:formatCode>0.0000</c:formatCode>
                <c:ptCount val="201"/>
                <c:pt idx="0">
                  <c:v>4.9728684930085428E-2</c:v>
                </c:pt>
                <c:pt idx="1">
                  <c:v>4.9815628034882771E-2</c:v>
                </c:pt>
                <c:pt idx="2">
                  <c:v>5.0002454586374243E-2</c:v>
                </c:pt>
                <c:pt idx="3">
                  <c:v>5.0289216330682958E-2</c:v>
                </c:pt>
                <c:pt idx="4">
                  <c:v>5.0675978074916604E-2</c:v>
                </c:pt>
                <c:pt idx="5">
                  <c:v>5.1162817711301399E-2</c:v>
                </c:pt>
                <c:pt idx="6">
                  <c:v>5.1749826245607297E-2</c:v>
                </c:pt>
                <c:pt idx="7">
                  <c:v>5.2437107829882729E-2</c:v>
                </c:pt>
                <c:pt idx="8">
                  <c:v>5.3224779799520165E-2</c:v>
                </c:pt>
                <c:pt idx="9">
                  <c:v>5.4112972714675293E-2</c:v>
                </c:pt>
                <c:pt idx="10">
                  <c:v>5.5101830406066928E-2</c:v>
                </c:pt>
                <c:pt idx="11">
                  <c:v>5.6191510025186041E-2</c:v>
                </c:pt>
                <c:pt idx="12">
                  <c:v>5.7382182098946272E-2</c:v>
                </c:pt>
                <c:pt idx="13">
                  <c:v>5.8674030588809552E-2</c:v>
                </c:pt>
                <c:pt idx="14">
                  <c:v>6.0067252954425249E-2</c:v>
                </c:pt>
                <c:pt idx="15">
                  <c:v>6.1562060221822416E-2</c:v>
                </c:pt>
                <c:pt idx="16">
                  <c:v>7.0723401454146767E-2</c:v>
                </c:pt>
                <c:pt idx="17">
                  <c:v>8.1239382381405059E-2</c:v>
                </c:pt>
                <c:pt idx="18">
                  <c:v>9.1537949985723954E-2</c:v>
                </c:pt>
                <c:pt idx="19">
                  <c:v>0.10161956140438101</c:v>
                </c:pt>
                <c:pt idx="20">
                  <c:v>0.11148464620875971</c:v>
                </c:pt>
                <c:pt idx="21">
                  <c:v>0.12113360642873815</c:v>
                </c:pt>
                <c:pt idx="22">
                  <c:v>0.13056681656811214</c:v>
                </c:pt>
                <c:pt idx="23">
                  <c:v>0.13978462361102797</c:v>
                </c:pt>
                <c:pt idx="24">
                  <c:v>0.14878734701939114</c:v>
                </c:pt>
                <c:pt idx="25">
                  <c:v>0.15757527872121632</c:v>
                </c:pt>
                <c:pt idx="26">
                  <c:v>0.16614868308987388</c:v>
                </c:pt>
                <c:pt idx="27">
                  <c:v>0.17450779691418414</c:v>
                </c:pt>
                <c:pt idx="28">
                  <c:v>0.18265282935930544</c:v>
                </c:pt>
                <c:pt idx="29">
                  <c:v>0.19058396191835497</c:v>
                </c:pt>
                <c:pt idx="30">
                  <c:v>0.19830134835469526</c:v>
                </c:pt>
                <c:pt idx="31">
                  <c:v>0.20580511463481405</c:v>
                </c:pt>
                <c:pt idx="32">
                  <c:v>0.21309535885171821</c:v>
                </c:pt>
                <c:pt idx="33">
                  <c:v>0.22017215113875666</c:v>
                </c:pt>
                <c:pt idx="34">
                  <c:v>0.22703553357377951</c:v>
                </c:pt>
                <c:pt idx="35">
                  <c:v>0.23368552007353699</c:v>
                </c:pt>
                <c:pt idx="36">
                  <c:v>0.24012209627821024</c:v>
                </c:pt>
                <c:pt idx="37">
                  <c:v>0.24623680817087373</c:v>
                </c:pt>
                <c:pt idx="38">
                  <c:v>0.25151648134284055</c:v>
                </c:pt>
                <c:pt idx="39">
                  <c:v>0.25691226651335947</c:v>
                </c:pt>
                <c:pt idx="40">
                  <c:v>0.26242485601482896</c:v>
                </c:pt>
                <c:pt idx="41">
                  <c:v>0.26805496043088656</c:v>
                </c:pt>
                <c:pt idx="42">
                  <c:v>0.27380330884389442</c:v>
                </c:pt>
                <c:pt idx="43">
                  <c:v>0.27967064909007611</c:v>
                </c:pt>
                <c:pt idx="44">
                  <c:v>0.28565774802247762</c:v>
                </c:pt>
                <c:pt idx="45">
                  <c:v>0.29176539178193289</c:v>
                </c:pt>
                <c:pt idx="46">
                  <c:v>0.29799438607621809</c:v>
                </c:pt>
                <c:pt idx="47">
                  <c:v>0.30434555646758982</c:v>
                </c:pt>
                <c:pt idx="48">
                  <c:v>0.31081974866890533</c:v>
                </c:pt>
                <c:pt idx="49">
                  <c:v>0.31741782884853043</c:v>
                </c:pt>
                <c:pt idx="50">
                  <c:v>0.32414068394425333</c:v>
                </c:pt>
                <c:pt idx="51">
                  <c:v>0.33098922198642111</c:v>
                </c:pt>
                <c:pt idx="52">
                  <c:v>0.3379643724305329</c:v>
                </c:pt>
                <c:pt idx="53">
                  <c:v>0.34506708649952544</c:v>
                </c:pt>
                <c:pt idx="54">
                  <c:v>0.35229833753599721</c:v>
                </c:pt>
                <c:pt idx="55">
                  <c:v>0.35965912136462913</c:v>
                </c:pt>
                <c:pt idx="56">
                  <c:v>0.36715045666506163</c:v>
                </c:pt>
                <c:pt idx="57">
                  <c:v>0.37477338535550586</c:v>
                </c:pt>
                <c:pt idx="58">
                  <c:v>0.38252897298737032</c:v>
                </c:pt>
                <c:pt idx="59">
                  <c:v>0.39041830915119652</c:v>
                </c:pt>
                <c:pt idx="60">
                  <c:v>0.39844250789420754</c:v>
                </c:pt>
                <c:pt idx="61">
                  <c:v>0.4066027081497855</c:v>
                </c:pt>
                <c:pt idx="62">
                  <c:v>0.41490007417920083</c:v>
                </c:pt>
                <c:pt idx="63">
                  <c:v>0.42333579602593552</c:v>
                </c:pt>
                <c:pt idx="64">
                  <c:v>0.43191108998294458</c:v>
                </c:pt>
                <c:pt idx="65">
                  <c:v>0.4406271990732219</c:v>
                </c:pt>
                <c:pt idx="66">
                  <c:v>0.44948539354404449</c:v>
                </c:pt>
                <c:pt idx="67">
                  <c:v>0.45848697137528116</c:v>
                </c:pt>
                <c:pt idx="68">
                  <c:v>0.46763325880217382</c:v>
                </c:pt>
                <c:pt idx="69">
                  <c:v>0.47692561085300178</c:v>
                </c:pt>
                <c:pt idx="70">
                  <c:v>0.48636541190206573</c:v>
                </c:pt>
                <c:pt idx="71">
                  <c:v>0.49595407623843785</c:v>
                </c:pt>
                <c:pt idx="72">
                  <c:v>0.50569304865094189</c:v>
                </c:pt>
                <c:pt idx="73">
                  <c:v>0.51558380502984436</c:v>
                </c:pt>
                <c:pt idx="74">
                  <c:v>0.52562785298575476</c:v>
                </c:pt>
                <c:pt idx="75">
                  <c:v>0.53582673248625368</c:v>
                </c:pt>
                <c:pt idx="76">
                  <c:v>0.54618201651078158</c:v>
                </c:pt>
                <c:pt idx="77">
                  <c:v>0.55669531172434583</c:v>
                </c:pt>
                <c:pt idx="78">
                  <c:v>0.56736825917062261</c:v>
                </c:pt>
                <c:pt idx="79">
                  <c:v>0.57820253498504681</c:v>
                </c:pt>
                <c:pt idx="80">
                  <c:v>0.58919985112851825</c:v>
                </c:pt>
                <c:pt idx="81">
                  <c:v>0.6003619561423571</c:v>
                </c:pt>
                <c:pt idx="82">
                  <c:v>0.61169063592518047</c:v>
                </c:pt>
                <c:pt idx="83">
                  <c:v>0.6231877145323963</c:v>
                </c:pt>
                <c:pt idx="84">
                  <c:v>0.63485505499902262</c:v>
                </c:pt>
                <c:pt idx="85">
                  <c:v>0.64669456018658644</c:v>
                </c:pt>
                <c:pt idx="86">
                  <c:v>0.65870817365487389</c:v>
                </c:pt>
                <c:pt idx="87">
                  <c:v>0.67089788055933164</c:v>
                </c:pt>
                <c:pt idx="88">
                  <c:v>0.68326570857495739</c:v>
                </c:pt>
                <c:pt idx="89">
                  <c:v>0.69581372884754655</c:v>
                </c:pt>
                <c:pt idx="90">
                  <c:v>0.7085440569731899</c:v>
                </c:pt>
                <c:pt idx="91">
                  <c:v>0.72145885400696397</c:v>
                </c:pt>
                <c:pt idx="92">
                  <c:v>0.73456032750177969</c:v>
                </c:pt>
                <c:pt idx="93">
                  <c:v>0.74785073257840184</c:v>
                </c:pt>
                <c:pt idx="94">
                  <c:v>0.76133237302768686</c:v>
                </c:pt>
                <c:pt idx="95">
                  <c:v>0.7750076024461342</c:v>
                </c:pt>
                <c:pt idx="96">
                  <c:v>0.78887882540587417</c:v>
                </c:pt>
                <c:pt idx="97">
                  <c:v>0.80294849866028473</c:v>
                </c:pt>
                <c:pt idx="98">
                  <c:v>0.8172191323864576</c:v>
                </c:pt>
                <c:pt idx="99">
                  <c:v>0.83169329146578441</c:v>
                </c:pt>
                <c:pt idx="100">
                  <c:v>0.84637359680400071</c:v>
                </c:pt>
                <c:pt idx="101">
                  <c:v>0.86126272669206161</c:v>
                </c:pt>
                <c:pt idx="102">
                  <c:v>0.87636341820928665</c:v>
                </c:pt>
                <c:pt idx="103">
                  <c:v>0.89167846867027933</c:v>
                </c:pt>
                <c:pt idx="104">
                  <c:v>0.90721073711716493</c:v>
                </c:pt>
                <c:pt idx="105">
                  <c:v>0.92296314585878647</c:v>
                </c:pt>
                <c:pt idx="106">
                  <c:v>0.93893868205853237</c:v>
                </c:pt>
                <c:pt idx="107">
                  <c:v>0.95514039937257511</c:v>
                </c:pt>
                <c:pt idx="108">
                  <c:v>0.97157141964033733</c:v>
                </c:pt>
                <c:pt idx="109">
                  <c:v>0.98823493462911505</c:v>
                </c:pt>
                <c:pt idx="110">
                  <c:v>1.0051342078348398</c:v>
                </c:pt>
                <c:pt idx="111">
                  <c:v>1.0222725763410681</c:v>
                </c:pt>
                <c:pt idx="112">
                  <c:v>1.0396534527383583</c:v>
                </c:pt>
                <c:pt idx="113">
                  <c:v>1.0572803271063043</c:v>
                </c:pt>
                <c:pt idx="114">
                  <c:v>1.0751567690605857</c:v>
                </c:pt>
                <c:pt idx="115">
                  <c:v>1.0932864298674865</c:v>
                </c:pt>
                <c:pt idx="116">
                  <c:v>1.1116730446284704</c:v>
                </c:pt>
                <c:pt idx="117">
                  <c:v>1.1303204345374878</c:v>
                </c:pt>
                <c:pt idx="118">
                  <c:v>1.1492325092138118</c:v>
                </c:pt>
                <c:pt idx="119">
                  <c:v>1.168413269113346</c:v>
                </c:pt>
                <c:pt idx="120">
                  <c:v>1.1878668080214505</c:v>
                </c:pt>
                <c:pt idx="121">
                  <c:v>1.20759731563049</c:v>
                </c:pt>
                <c:pt idx="122">
                  <c:v>1.2276090802054436</c:v>
                </c:pt>
                <c:pt idx="123">
                  <c:v>1.2479064913410705</c:v>
                </c:pt>
                <c:pt idx="124">
                  <c:v>1.2684940428142857</c:v>
                </c:pt>
                <c:pt idx="125">
                  <c:v>1.2893763355355676</c:v>
                </c:pt>
                <c:pt idx="126">
                  <c:v>1.3105580806033978</c:v>
                </c:pt>
                <c:pt idx="127">
                  <c:v>1.3320441024659189</c:v>
                </c:pt>
                <c:pt idx="128">
                  <c:v>1.3538393421941888</c:v>
                </c:pt>
                <c:pt idx="129">
                  <c:v>1.3759488608716217</c:v>
                </c:pt>
                <c:pt idx="130">
                  <c:v>1.3983778431044347</c:v>
                </c:pt>
                <c:pt idx="131">
                  <c:v>1.4211316006580959</c:v>
                </c:pt>
                <c:pt idx="132">
                  <c:v>1.4442155762251083</c:v>
                </c:pt>
                <c:pt idx="133">
                  <c:v>1.4676353473296051</c:v>
                </c:pt>
                <c:pt idx="134">
                  <c:v>1.4913966303745911</c:v>
                </c:pt>
                <c:pt idx="135">
                  <c:v>1.515505284837902</c:v>
                </c:pt>
                <c:pt idx="136">
                  <c:v>1.5399673176232564</c:v>
                </c:pt>
                <c:pt idx="137">
                  <c:v>1.5647888875731142</c:v>
                </c:pt>
                <c:pt idx="138">
                  <c:v>1.5899763101503479</c:v>
                </c:pt>
                <c:pt idx="139">
                  <c:v>1.6155360622961477</c:v>
                </c:pt>
                <c:pt idx="140">
                  <c:v>1.6414747874718512</c:v>
                </c:pt>
                <c:pt idx="141">
                  <c:v>1.6677993008929277</c:v>
                </c:pt>
                <c:pt idx="142">
                  <c:v>1.6945165949635987</c:v>
                </c:pt>
                <c:pt idx="143">
                  <c:v>1.7216338449211506</c:v>
                </c:pt>
                <c:pt idx="144">
                  <c:v>1.7491584146993913</c:v>
                </c:pt>
                <c:pt idx="145">
                  <c:v>1.7770978630211978</c:v>
                </c:pt>
                <c:pt idx="146">
                  <c:v>1.8054599497306525</c:v>
                </c:pt>
                <c:pt idx="147">
                  <c:v>1.8342526423757921</c:v>
                </c:pt>
                <c:pt idx="148">
                  <c:v>1.8634841230535899</c:v>
                </c:pt>
                <c:pt idx="149">
                  <c:v>1.8931627955294126</c:v>
                </c:pt>
                <c:pt idx="150">
                  <c:v>1.9232972926438279</c:v>
                </c:pt>
                <c:pt idx="151">
                  <c:v>1.9538964840203901</c:v>
                </c:pt>
                <c:pt idx="152">
                  <c:v>1.9849694840887142</c:v>
                </c:pt>
                <c:pt idx="153">
                  <c:v>2.0165256604379462</c:v>
                </c:pt>
                <c:pt idx="154">
                  <c:v>2.048574642516626</c:v>
                </c:pt>
                <c:pt idx="155">
                  <c:v>2.0811263306957386</c:v>
                </c:pt>
                <c:pt idx="156">
                  <c:v>2.1141909057127708</c:v>
                </c:pt>
                <c:pt idx="157">
                  <c:v>2.1477788385155434</c:v>
                </c:pt>
                <c:pt idx="158">
                  <c:v>2.1819009005256764</c:v>
                </c:pt>
                <c:pt idx="159">
                  <c:v>2.2165681743426946</c:v>
                </c:pt>
                <c:pt idx="160">
                  <c:v>2.2517920649109264</c:v>
                </c:pt>
                <c:pt idx="161">
                  <c:v>2.287584311172751</c:v>
                </c:pt>
                <c:pt idx="162">
                  <c:v>2.3239569982329806</c:v>
                </c:pt>
                <c:pt idx="163">
                  <c:v>2.3609225700607572</c:v>
                </c:pt>
                <c:pt idx="164">
                  <c:v>2.3984938427568223</c:v>
                </c:pt>
                <c:pt idx="165">
                  <c:v>2.436684018415693</c:v>
                </c:pt>
                <c:pt idx="166">
                  <c:v>2.4755066996141264</c:v>
                </c:pt>
                <c:pt idx="167">
                  <c:v>2.5149759045590376</c:v>
                </c:pt>
                <c:pt idx="168">
                  <c:v>2.5551060829301786</c:v>
                </c:pt>
                <c:pt idx="169">
                  <c:v>2.5959121324549841</c:v>
                </c:pt>
                <c:pt idx="170">
                  <c:v>2.6374094162553559</c:v>
                </c:pt>
                <c:pt idx="171">
                  <c:v>2.6796137810086016</c:v>
                </c:pt>
                <c:pt idx="172">
                  <c:v>2.7225415759674672</c:v>
                </c:pt>
                <c:pt idx="173">
                  <c:v>2.7662096728869985</c:v>
                </c:pt>
                <c:pt idx="174">
                  <c:v>2.810635486909042</c:v>
                </c:pt>
                <c:pt idx="175">
                  <c:v>2.8558369984585084</c:v>
                </c:pt>
                <c:pt idx="176">
                  <c:v>2.9018327762089937</c:v>
                </c:pt>
                <c:pt idx="177">
                  <c:v>2.9486420011791794</c:v>
                </c:pt>
                <c:pt idx="178">
                  <c:v>2.9962844920254481</c:v>
                </c:pt>
                <c:pt idx="179">
                  <c:v>3.0447807316005959</c:v>
                </c:pt>
                <c:pt idx="180">
                  <c:v>3.0941518948530957</c:v>
                </c:pt>
                <c:pt idx="181">
                  <c:v>3.1444198781465915</c:v>
                </c:pt>
                <c:pt idx="182">
                  <c:v>3.1956073300845764</c:v>
                </c:pt>
                <c:pt idx="183">
                  <c:v>3.2477376839312058</c:v>
                </c:pt>
                <c:pt idx="184">
                  <c:v>3.3008351917254726</c:v>
                </c:pt>
                <c:pt idx="185">
                  <c:v>3.3549249601927791</c:v>
                </c:pt>
                <c:pt idx="186">
                  <c:v>3.4100329885653915</c:v>
                </c:pt>
                <c:pt idx="187">
                  <c:v>3.4661862084311292</c:v>
                </c:pt>
                <c:pt idx="188">
                  <c:v>3.5234125257383435</c:v>
                </c:pt>
                <c:pt idx="189">
                  <c:v>3.5817408650944884</c:v>
                </c:pt>
                <c:pt idx="190">
                  <c:v>3.6412012165057615</c:v>
                </c:pt>
                <c:pt idx="191">
                  <c:v>3.7018246847160801</c:v>
                </c:pt>
                <c:pt idx="192">
                  <c:v>3.763643541315711</c:v>
                </c:pt>
                <c:pt idx="193">
                  <c:v>3.8266912798024979</c:v>
                </c:pt>
                <c:pt idx="194">
                  <c:v>3.8910026737928489</c:v>
                </c:pt>
                <c:pt idx="195">
                  <c:v>3.9566138385945009</c:v>
                </c:pt>
                <c:pt idx="196">
                  <c:v>4.0235622963699544</c:v>
                </c:pt>
                <c:pt idx="197">
                  <c:v>4.0918870451370291</c:v>
                </c:pt>
                <c:pt idx="198">
                  <c:v>4.1616286318729143</c:v>
                </c:pt>
                <c:pt idx="199">
                  <c:v>4.2328292300090693</c:v>
                </c:pt>
                <c:pt idx="200">
                  <c:v>4.3055327216279231</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4.4999999999999998E-2</c:v>
                </c:pt>
                <c:pt idx="2">
                  <c:v>0.09</c:v>
                </c:pt>
                <c:pt idx="3">
                  <c:v>0.13500000000000001</c:v>
                </c:pt>
                <c:pt idx="4">
                  <c:v>0.18</c:v>
                </c:pt>
                <c:pt idx="5">
                  <c:v>0.22500000000000001</c:v>
                </c:pt>
                <c:pt idx="6">
                  <c:v>0.27</c:v>
                </c:pt>
                <c:pt idx="7">
                  <c:v>0.31500000000000006</c:v>
                </c:pt>
                <c:pt idx="8">
                  <c:v>0.36</c:v>
                </c:pt>
                <c:pt idx="9">
                  <c:v>0.40499999999999997</c:v>
                </c:pt>
                <c:pt idx="10">
                  <c:v>0.45</c:v>
                </c:pt>
                <c:pt idx="11">
                  <c:v>0.495</c:v>
                </c:pt>
                <c:pt idx="12">
                  <c:v>0.54</c:v>
                </c:pt>
                <c:pt idx="13">
                  <c:v>0.58499999999999996</c:v>
                </c:pt>
                <c:pt idx="14">
                  <c:v>0.63000000000000012</c:v>
                </c:pt>
                <c:pt idx="15">
                  <c:v>0.67499999999999993</c:v>
                </c:pt>
                <c:pt idx="16">
                  <c:v>0.72</c:v>
                </c:pt>
                <c:pt idx="17">
                  <c:v>0.76500000000000001</c:v>
                </c:pt>
                <c:pt idx="18">
                  <c:v>0.80999999999999994</c:v>
                </c:pt>
                <c:pt idx="19">
                  <c:v>0.85499999999999998</c:v>
                </c:pt>
                <c:pt idx="20">
                  <c:v>0.9</c:v>
                </c:pt>
                <c:pt idx="21">
                  <c:v>0.94499999999999995</c:v>
                </c:pt>
                <c:pt idx="22">
                  <c:v>0.99</c:v>
                </c:pt>
                <c:pt idx="23">
                  <c:v>1.0350000000000001</c:v>
                </c:pt>
                <c:pt idx="24">
                  <c:v>1.08</c:v>
                </c:pt>
                <c:pt idx="25">
                  <c:v>1.125</c:v>
                </c:pt>
                <c:pt idx="26">
                  <c:v>1.17</c:v>
                </c:pt>
                <c:pt idx="27">
                  <c:v>1.2150000000000001</c:v>
                </c:pt>
                <c:pt idx="28">
                  <c:v>1.2600000000000002</c:v>
                </c:pt>
                <c:pt idx="29">
                  <c:v>1.3049999999999999</c:v>
                </c:pt>
                <c:pt idx="30">
                  <c:v>1.3499999999999999</c:v>
                </c:pt>
                <c:pt idx="31">
                  <c:v>1.395</c:v>
                </c:pt>
                <c:pt idx="32">
                  <c:v>1.44</c:v>
                </c:pt>
                <c:pt idx="33">
                  <c:v>1.4850000000000001</c:v>
                </c:pt>
                <c:pt idx="34">
                  <c:v>1.53</c:v>
                </c:pt>
                <c:pt idx="35">
                  <c:v>1.575</c:v>
                </c:pt>
                <c:pt idx="36">
                  <c:v>1.6199999999999999</c:v>
                </c:pt>
                <c:pt idx="37">
                  <c:v>1.665</c:v>
                </c:pt>
                <c:pt idx="38">
                  <c:v>1.71</c:v>
                </c:pt>
                <c:pt idx="39">
                  <c:v>1.7550000000000001</c:v>
                </c:pt>
                <c:pt idx="40">
                  <c:v>1.8</c:v>
                </c:pt>
                <c:pt idx="41">
                  <c:v>1.845</c:v>
                </c:pt>
                <c:pt idx="42">
                  <c:v>1.89</c:v>
                </c:pt>
                <c:pt idx="43">
                  <c:v>1.9350000000000001</c:v>
                </c:pt>
                <c:pt idx="44">
                  <c:v>1.98</c:v>
                </c:pt>
                <c:pt idx="45">
                  <c:v>2.0249999999999999</c:v>
                </c:pt>
                <c:pt idx="46">
                  <c:v>2.0700000000000003</c:v>
                </c:pt>
                <c:pt idx="47">
                  <c:v>2.1149999999999998</c:v>
                </c:pt>
                <c:pt idx="48">
                  <c:v>2.16</c:v>
                </c:pt>
                <c:pt idx="49">
                  <c:v>2.2050000000000001</c:v>
                </c:pt>
                <c:pt idx="50">
                  <c:v>2.25</c:v>
                </c:pt>
                <c:pt idx="51">
                  <c:v>2.2949999999999999</c:v>
                </c:pt>
                <c:pt idx="52">
                  <c:v>2.34</c:v>
                </c:pt>
                <c:pt idx="53">
                  <c:v>2.3850000000000002</c:v>
                </c:pt>
                <c:pt idx="54">
                  <c:v>2.4300000000000002</c:v>
                </c:pt>
                <c:pt idx="55">
                  <c:v>2.4750000000000001</c:v>
                </c:pt>
                <c:pt idx="56">
                  <c:v>2.5200000000000005</c:v>
                </c:pt>
                <c:pt idx="57">
                  <c:v>2.5649999999999999</c:v>
                </c:pt>
                <c:pt idx="58">
                  <c:v>2.61</c:v>
                </c:pt>
                <c:pt idx="59">
                  <c:v>2.6549999999999998</c:v>
                </c:pt>
                <c:pt idx="60">
                  <c:v>2.6999999999999997</c:v>
                </c:pt>
                <c:pt idx="61">
                  <c:v>2.7450000000000001</c:v>
                </c:pt>
                <c:pt idx="62">
                  <c:v>2.79</c:v>
                </c:pt>
                <c:pt idx="63">
                  <c:v>2.835</c:v>
                </c:pt>
                <c:pt idx="64">
                  <c:v>2.88</c:v>
                </c:pt>
                <c:pt idx="65">
                  <c:v>2.9250000000000003</c:v>
                </c:pt>
                <c:pt idx="66">
                  <c:v>2.97</c:v>
                </c:pt>
                <c:pt idx="67">
                  <c:v>3.0150000000000001</c:v>
                </c:pt>
                <c:pt idx="68">
                  <c:v>3.06</c:v>
                </c:pt>
                <c:pt idx="69">
                  <c:v>3.1049999999999995</c:v>
                </c:pt>
                <c:pt idx="70">
                  <c:v>3.15</c:v>
                </c:pt>
                <c:pt idx="71">
                  <c:v>3.1949999999999998</c:v>
                </c:pt>
                <c:pt idx="72">
                  <c:v>3.2399999999999998</c:v>
                </c:pt>
                <c:pt idx="73">
                  <c:v>3.2850000000000001</c:v>
                </c:pt>
                <c:pt idx="74">
                  <c:v>3.33</c:v>
                </c:pt>
                <c:pt idx="75">
                  <c:v>3.375</c:v>
                </c:pt>
                <c:pt idx="76">
                  <c:v>3.42</c:v>
                </c:pt>
                <c:pt idx="77">
                  <c:v>3.4649999999999999</c:v>
                </c:pt>
                <c:pt idx="78">
                  <c:v>3.5100000000000002</c:v>
                </c:pt>
                <c:pt idx="79">
                  <c:v>3.5550000000000002</c:v>
                </c:pt>
                <c:pt idx="80">
                  <c:v>3.6</c:v>
                </c:pt>
                <c:pt idx="81">
                  <c:v>3.6450000000000005</c:v>
                </c:pt>
                <c:pt idx="82">
                  <c:v>3.69</c:v>
                </c:pt>
                <c:pt idx="83">
                  <c:v>3.7349999999999999</c:v>
                </c:pt>
                <c:pt idx="84">
                  <c:v>3.78</c:v>
                </c:pt>
                <c:pt idx="85">
                  <c:v>3.8249999999999997</c:v>
                </c:pt>
                <c:pt idx="86">
                  <c:v>3.87</c:v>
                </c:pt>
                <c:pt idx="87">
                  <c:v>3.915</c:v>
                </c:pt>
                <c:pt idx="88">
                  <c:v>3.96</c:v>
                </c:pt>
                <c:pt idx="89">
                  <c:v>4.0049999999999999</c:v>
                </c:pt>
                <c:pt idx="90">
                  <c:v>4.05</c:v>
                </c:pt>
                <c:pt idx="91">
                  <c:v>4.0949999999999998</c:v>
                </c:pt>
                <c:pt idx="92">
                  <c:v>4.1400000000000006</c:v>
                </c:pt>
                <c:pt idx="93">
                  <c:v>4.1850000000000005</c:v>
                </c:pt>
                <c:pt idx="94">
                  <c:v>4.2299999999999995</c:v>
                </c:pt>
                <c:pt idx="95">
                  <c:v>4.2749999999999995</c:v>
                </c:pt>
                <c:pt idx="96">
                  <c:v>4.32</c:v>
                </c:pt>
                <c:pt idx="97">
                  <c:v>4.3650000000000002</c:v>
                </c:pt>
                <c:pt idx="98">
                  <c:v>4.41</c:v>
                </c:pt>
                <c:pt idx="99">
                  <c:v>4.4550000000000001</c:v>
                </c:pt>
                <c:pt idx="100">
                  <c:v>4.5</c:v>
                </c:pt>
                <c:pt idx="101">
                  <c:v>4.5449999999999999</c:v>
                </c:pt>
                <c:pt idx="102">
                  <c:v>4.59</c:v>
                </c:pt>
                <c:pt idx="103">
                  <c:v>4.6349999999999998</c:v>
                </c:pt>
                <c:pt idx="104">
                  <c:v>4.68</c:v>
                </c:pt>
                <c:pt idx="105">
                  <c:v>4.7250000000000005</c:v>
                </c:pt>
                <c:pt idx="106">
                  <c:v>4.7700000000000005</c:v>
                </c:pt>
                <c:pt idx="107">
                  <c:v>4.8150000000000004</c:v>
                </c:pt>
                <c:pt idx="108">
                  <c:v>4.8600000000000003</c:v>
                </c:pt>
                <c:pt idx="109">
                  <c:v>4.9050000000000002</c:v>
                </c:pt>
                <c:pt idx="110">
                  <c:v>4.95</c:v>
                </c:pt>
                <c:pt idx="111">
                  <c:v>4.9950000000000001</c:v>
                </c:pt>
                <c:pt idx="112">
                  <c:v>5.0400000000000009</c:v>
                </c:pt>
                <c:pt idx="113">
                  <c:v>5.0849999999999991</c:v>
                </c:pt>
                <c:pt idx="114">
                  <c:v>5.13</c:v>
                </c:pt>
                <c:pt idx="115">
                  <c:v>5.1749999999999998</c:v>
                </c:pt>
                <c:pt idx="116">
                  <c:v>5.22</c:v>
                </c:pt>
                <c:pt idx="117">
                  <c:v>5.2649999999999997</c:v>
                </c:pt>
                <c:pt idx="118">
                  <c:v>5.31</c:v>
                </c:pt>
                <c:pt idx="119">
                  <c:v>5.3549999999999995</c:v>
                </c:pt>
                <c:pt idx="120">
                  <c:v>5.3999999999999995</c:v>
                </c:pt>
                <c:pt idx="121">
                  <c:v>5.4450000000000003</c:v>
                </c:pt>
                <c:pt idx="122">
                  <c:v>5.49</c:v>
                </c:pt>
                <c:pt idx="123">
                  <c:v>5.5350000000000001</c:v>
                </c:pt>
                <c:pt idx="124">
                  <c:v>5.58</c:v>
                </c:pt>
                <c:pt idx="125">
                  <c:v>5.625</c:v>
                </c:pt>
                <c:pt idx="126">
                  <c:v>5.67</c:v>
                </c:pt>
                <c:pt idx="127">
                  <c:v>5.7149999999999999</c:v>
                </c:pt>
                <c:pt idx="128">
                  <c:v>5.76</c:v>
                </c:pt>
                <c:pt idx="129">
                  <c:v>5.8049999999999997</c:v>
                </c:pt>
                <c:pt idx="130">
                  <c:v>5.8500000000000005</c:v>
                </c:pt>
                <c:pt idx="131">
                  <c:v>5.8950000000000005</c:v>
                </c:pt>
                <c:pt idx="132">
                  <c:v>5.94</c:v>
                </c:pt>
                <c:pt idx="133">
                  <c:v>5.9850000000000003</c:v>
                </c:pt>
                <c:pt idx="134">
                  <c:v>6.03</c:v>
                </c:pt>
                <c:pt idx="135">
                  <c:v>6.0750000000000002</c:v>
                </c:pt>
                <c:pt idx="136">
                  <c:v>6.12</c:v>
                </c:pt>
                <c:pt idx="137">
                  <c:v>6.1650000000000009</c:v>
                </c:pt>
                <c:pt idx="138">
                  <c:v>6.2099999999999991</c:v>
                </c:pt>
                <c:pt idx="139">
                  <c:v>6.2549999999999999</c:v>
                </c:pt>
                <c:pt idx="140">
                  <c:v>6.3</c:v>
                </c:pt>
                <c:pt idx="141">
                  <c:v>6.3449999999999998</c:v>
                </c:pt>
                <c:pt idx="142">
                  <c:v>6.39</c:v>
                </c:pt>
                <c:pt idx="143">
                  <c:v>6.4349999999999996</c:v>
                </c:pt>
                <c:pt idx="144">
                  <c:v>6.4799999999999995</c:v>
                </c:pt>
                <c:pt idx="145">
                  <c:v>6.5249999999999995</c:v>
                </c:pt>
                <c:pt idx="146">
                  <c:v>6.57</c:v>
                </c:pt>
                <c:pt idx="147">
                  <c:v>6.6150000000000002</c:v>
                </c:pt>
                <c:pt idx="148">
                  <c:v>6.66</c:v>
                </c:pt>
                <c:pt idx="149">
                  <c:v>6.7050000000000001</c:v>
                </c:pt>
                <c:pt idx="150">
                  <c:v>6.75</c:v>
                </c:pt>
                <c:pt idx="151">
                  <c:v>6.7949999999999999</c:v>
                </c:pt>
                <c:pt idx="152">
                  <c:v>6.84</c:v>
                </c:pt>
                <c:pt idx="153">
                  <c:v>6.8849999999999998</c:v>
                </c:pt>
                <c:pt idx="154">
                  <c:v>6.93</c:v>
                </c:pt>
                <c:pt idx="155">
                  <c:v>6.9750000000000005</c:v>
                </c:pt>
                <c:pt idx="156">
                  <c:v>7.0200000000000005</c:v>
                </c:pt>
                <c:pt idx="157">
                  <c:v>7.0650000000000004</c:v>
                </c:pt>
                <c:pt idx="158">
                  <c:v>7.11</c:v>
                </c:pt>
                <c:pt idx="159">
                  <c:v>7.1550000000000002</c:v>
                </c:pt>
                <c:pt idx="160">
                  <c:v>7.2</c:v>
                </c:pt>
                <c:pt idx="161">
                  <c:v>7.2450000000000001</c:v>
                </c:pt>
                <c:pt idx="162">
                  <c:v>7.2900000000000009</c:v>
                </c:pt>
                <c:pt idx="163">
                  <c:v>7.3349999999999991</c:v>
                </c:pt>
                <c:pt idx="164">
                  <c:v>7.38</c:v>
                </c:pt>
                <c:pt idx="165">
                  <c:v>7.4249999999999998</c:v>
                </c:pt>
                <c:pt idx="166">
                  <c:v>7.47</c:v>
                </c:pt>
                <c:pt idx="167">
                  <c:v>7.5149999999999997</c:v>
                </c:pt>
                <c:pt idx="168">
                  <c:v>7.56</c:v>
                </c:pt>
                <c:pt idx="169">
                  <c:v>7.6049999999999995</c:v>
                </c:pt>
                <c:pt idx="170">
                  <c:v>7.6499999999999995</c:v>
                </c:pt>
                <c:pt idx="171">
                  <c:v>7.6950000000000003</c:v>
                </c:pt>
                <c:pt idx="172">
                  <c:v>7.74</c:v>
                </c:pt>
                <c:pt idx="173">
                  <c:v>7.7850000000000001</c:v>
                </c:pt>
                <c:pt idx="174">
                  <c:v>7.83</c:v>
                </c:pt>
                <c:pt idx="175">
                  <c:v>7.875</c:v>
                </c:pt>
                <c:pt idx="176">
                  <c:v>7.92</c:v>
                </c:pt>
                <c:pt idx="177">
                  <c:v>7.9649999999999999</c:v>
                </c:pt>
                <c:pt idx="178">
                  <c:v>8.01</c:v>
                </c:pt>
                <c:pt idx="179">
                  <c:v>8.0549999999999997</c:v>
                </c:pt>
                <c:pt idx="180">
                  <c:v>8.1</c:v>
                </c:pt>
                <c:pt idx="181">
                  <c:v>8.1449999999999996</c:v>
                </c:pt>
                <c:pt idx="182">
                  <c:v>8.19</c:v>
                </c:pt>
                <c:pt idx="183">
                  <c:v>8.2349999999999994</c:v>
                </c:pt>
                <c:pt idx="184">
                  <c:v>8.2800000000000011</c:v>
                </c:pt>
                <c:pt idx="185">
                  <c:v>8.3250000000000011</c:v>
                </c:pt>
                <c:pt idx="186">
                  <c:v>8.370000000000001</c:v>
                </c:pt>
                <c:pt idx="187">
                  <c:v>8.4150000000000009</c:v>
                </c:pt>
                <c:pt idx="188">
                  <c:v>8.4599999999999991</c:v>
                </c:pt>
                <c:pt idx="189">
                  <c:v>8.504999999999999</c:v>
                </c:pt>
                <c:pt idx="190">
                  <c:v>8.5499999999999989</c:v>
                </c:pt>
                <c:pt idx="191">
                  <c:v>8.5949999999999989</c:v>
                </c:pt>
                <c:pt idx="192">
                  <c:v>8.64</c:v>
                </c:pt>
                <c:pt idx="193">
                  <c:v>8.6850000000000005</c:v>
                </c:pt>
                <c:pt idx="194">
                  <c:v>8.73</c:v>
                </c:pt>
                <c:pt idx="195">
                  <c:v>8.7750000000000004</c:v>
                </c:pt>
                <c:pt idx="196">
                  <c:v>8.82</c:v>
                </c:pt>
                <c:pt idx="197">
                  <c:v>8.8650000000000002</c:v>
                </c:pt>
                <c:pt idx="198">
                  <c:v>8.91</c:v>
                </c:pt>
                <c:pt idx="199">
                  <c:v>8.9550000000000001</c:v>
                </c:pt>
                <c:pt idx="200">
                  <c:v>9</c:v>
                </c:pt>
              </c:numCache>
            </c:numRef>
          </c:xVal>
          <c:yVal>
            <c:numRef>
              <c:f>'Power Calculations'!$AG$9:$AG$209</c:f>
              <c:numCache>
                <c:formatCode>0.0000</c:formatCode>
                <c:ptCount val="201"/>
                <c:pt idx="0">
                  <c:v>1.970042872446133E-2</c:v>
                </c:pt>
                <c:pt idx="1">
                  <c:v>2.0116956484368453E-2</c:v>
                </c:pt>
                <c:pt idx="2">
                  <c:v>2.0555168345856242E-2</c:v>
                </c:pt>
                <c:pt idx="3">
                  <c:v>2.1015063617559442E-2</c:v>
                </c:pt>
                <c:pt idx="4">
                  <c:v>2.1496642054846575E-2</c:v>
                </c:pt>
                <c:pt idx="5">
                  <c:v>2.1999903859637081E-2</c:v>
                </c:pt>
                <c:pt idx="6">
                  <c:v>2.2524849680241411E-2</c:v>
                </c:pt>
                <c:pt idx="7">
                  <c:v>2.3071480611224261E-2</c:v>
                </c:pt>
                <c:pt idx="8">
                  <c:v>2.3639798193290748E-2</c:v>
                </c:pt>
                <c:pt idx="9">
                  <c:v>2.4229804413195659E-2</c:v>
                </c:pt>
                <c:pt idx="10">
                  <c:v>2.4841501703675627E-2</c:v>
                </c:pt>
                <c:pt idx="11">
                  <c:v>2.5474892943404295E-2</c:v>
                </c:pt>
                <c:pt idx="12">
                  <c:v>2.6129981456970482E-2</c:v>
                </c:pt>
                <c:pt idx="13">
                  <c:v>2.6806771014879213E-2</c:v>
                </c:pt>
                <c:pt idx="14">
                  <c:v>2.7505265833575758E-2</c:v>
                </c:pt>
                <c:pt idx="15">
                  <c:v>2.822547057549259E-2</c:v>
                </c:pt>
                <c:pt idx="16">
                  <c:v>2.8967390349119257E-2</c:v>
                </c:pt>
                <c:pt idx="17">
                  <c:v>2.9731030709095177E-2</c:v>
                </c:pt>
                <c:pt idx="18">
                  <c:v>3.0516397656325404E-2</c:v>
                </c:pt>
                <c:pt idx="19">
                  <c:v>3.1323497638119285E-2</c:v>
                </c:pt>
                <c:pt idx="20">
                  <c:v>3.2152337548352054E-2</c:v>
                </c:pt>
                <c:pt idx="21">
                  <c:v>3.3002924727649437E-2</c:v>
                </c:pt>
                <c:pt idx="22">
                  <c:v>3.3875266963595094E-2</c:v>
                </c:pt>
                <c:pt idx="23">
                  <c:v>3.476937249096114E-2</c:v>
                </c:pt>
                <c:pt idx="24">
                  <c:v>3.5685249991961591E-2</c:v>
                </c:pt>
                <c:pt idx="25">
                  <c:v>3.6622908596528815E-2</c:v>
                </c:pt>
                <c:pt idx="26">
                  <c:v>3.7582357882613E-2</c:v>
                </c:pt>
                <c:pt idx="27">
                  <c:v>3.8563607876504667E-2</c:v>
                </c:pt>
                <c:pt idx="28">
                  <c:v>3.9566669053180195E-2</c:v>
                </c:pt>
                <c:pt idx="29">
                  <c:v>4.0591552336670486E-2</c:v>
                </c:pt>
                <c:pt idx="30">
                  <c:v>4.1638269100452791E-2</c:v>
                </c:pt>
                <c:pt idx="31">
                  <c:v>4.2706831167865458E-2</c:v>
                </c:pt>
                <c:pt idx="32">
                  <c:v>4.379725081254613E-2</c:v>
                </c:pt>
                <c:pt idx="33">
                  <c:v>4.4909540758892953E-2</c:v>
                </c:pt>
                <c:pt idx="34">
                  <c:v>4.6043714182549107E-2</c:v>
                </c:pt>
                <c:pt idx="35">
                  <c:v>4.7199784710910603E-2</c:v>
                </c:pt>
                <c:pt idx="36">
                  <c:v>4.8377766423657369E-2</c:v>
                </c:pt>
                <c:pt idx="37">
                  <c:v>4.962549456249616E-2</c:v>
                </c:pt>
                <c:pt idx="38">
                  <c:v>5.1250587580284605E-2</c:v>
                </c:pt>
                <c:pt idx="39">
                  <c:v>5.2897743929147506E-2</c:v>
                </c:pt>
                <c:pt idx="40">
                  <c:v>5.4566983700848871E-2</c:v>
                </c:pt>
                <c:pt idx="41">
                  <c:v>5.6258327445545792E-2</c:v>
                </c:pt>
                <c:pt idx="42">
                  <c:v>5.7971796172605242E-2</c:v>
                </c:pt>
                <c:pt idx="43">
                  <c:v>5.9707411351444847E-2</c:v>
                </c:pt>
                <c:pt idx="44">
                  <c:v>6.1465194912397596E-2</c:v>
                </c:pt>
                <c:pt idx="45">
                  <c:v>6.3245169247600555E-2</c:v>
                </c:pt>
                <c:pt idx="46">
                  <c:v>6.5047357211907825E-2</c:v>
                </c:pt>
                <c:pt idx="47">
                  <c:v>6.6871782123827272E-2</c:v>
                </c:pt>
                <c:pt idx="48">
                  <c:v>6.8718467766482064E-2</c:v>
                </c:pt>
                <c:pt idx="49">
                  <c:v>7.0587438388596005E-2</c:v>
                </c:pt>
                <c:pt idx="50">
                  <c:v>7.2478718705503667E-2</c:v>
                </c:pt>
                <c:pt idx="51">
                  <c:v>7.4392333900184848E-2</c:v>
                </c:pt>
                <c:pt idx="52">
                  <c:v>7.6328309624323604E-2</c:v>
                </c:pt>
                <c:pt idx="53">
                  <c:v>7.8286671999392085E-2</c:v>
                </c:pt>
                <c:pt idx="54">
                  <c:v>8.0267447617758933E-2</c:v>
                </c:pt>
                <c:pt idx="55">
                  <c:v>8.2270663543822745E-2</c:v>
                </c:pt>
                <c:pt idx="56">
                  <c:v>8.4296347315170564E-2</c:v>
                </c:pt>
                <c:pt idx="57">
                  <c:v>8.6344526943760963E-2</c:v>
                </c:pt>
                <c:pt idx="58">
                  <c:v>8.8415230917133047E-2</c:v>
                </c:pt>
                <c:pt idx="59">
                  <c:v>9.0508488199639969E-2</c:v>
                </c:pt>
                <c:pt idx="60">
                  <c:v>9.2624328233708433E-2</c:v>
                </c:pt>
                <c:pt idx="61">
                  <c:v>9.476278094112324E-2</c:v>
                </c:pt>
                <c:pt idx="62">
                  <c:v>9.6923876724337735E-2</c:v>
                </c:pt>
                <c:pt idx="63">
                  <c:v>9.9107646467809923E-2</c:v>
                </c:pt>
                <c:pt idx="64">
                  <c:v>0.10131412153936431</c:v>
                </c:pt>
                <c:pt idx="65">
                  <c:v>0.10354333379157972</c:v>
                </c:pt>
                <c:pt idx="66">
                  <c:v>0.10579531556320323</c:v>
                </c:pt>
                <c:pt idx="67">
                  <c:v>0.10807009968059059</c:v>
                </c:pt>
                <c:pt idx="68">
                  <c:v>0.11036771945917238</c:v>
                </c:pt>
                <c:pt idx="69">
                  <c:v>0.11268820870494722</c:v>
                </c:pt>
                <c:pt idx="70">
                  <c:v>0.11503160171600137</c:v>
                </c:pt>
                <c:pt idx="71">
                  <c:v>0.11739793328405468</c:v>
                </c:pt>
                <c:pt idx="72">
                  <c:v>0.11978723869603422</c:v>
                </c:pt>
                <c:pt idx="73">
                  <c:v>0.12219955373567445</c:v>
                </c:pt>
                <c:pt idx="74">
                  <c:v>0.12463491468514425</c:v>
                </c:pt>
                <c:pt idx="75">
                  <c:v>0.12709335832670199</c:v>
                </c:pt>
                <c:pt idx="76">
                  <c:v>0.12957492194437756</c:v>
                </c:pt>
                <c:pt idx="77">
                  <c:v>0.13207964332568231</c:v>
                </c:pt>
                <c:pt idx="78">
                  <c:v>0.1346075607633464</c:v>
                </c:pt>
                <c:pt idx="79">
                  <c:v>0.13715871305708441</c:v>
                </c:pt>
                <c:pt idx="80">
                  <c:v>0.13973313951538899</c:v>
                </c:pt>
                <c:pt idx="81">
                  <c:v>0.14233087995735277</c:v>
                </c:pt>
                <c:pt idx="82">
                  <c:v>0.14495197471451837</c:v>
                </c:pt>
                <c:pt idx="83">
                  <c:v>0.1475964646327578</c:v>
                </c:pt>
                <c:pt idx="84">
                  <c:v>0.15026439107417977</c:v>
                </c:pt>
                <c:pt idx="85">
                  <c:v>0.15295579591906644</c:v>
                </c:pt>
                <c:pt idx="86">
                  <c:v>0.15567072156783912</c:v>
                </c:pt>
                <c:pt idx="87">
                  <c:v>0.15840921094305374</c:v>
                </c:pt>
                <c:pt idx="88">
                  <c:v>0.16117130749142478</c:v>
                </c:pt>
                <c:pt idx="89">
                  <c:v>0.16395705518588036</c:v>
                </c:pt>
                <c:pt idx="90">
                  <c:v>0.16676649852764566</c:v>
                </c:pt>
                <c:pt idx="91">
                  <c:v>0.16959968254835781</c:v>
                </c:pt>
                <c:pt idx="92">
                  <c:v>0.17245665281221018</c:v>
                </c:pt>
                <c:pt idx="93">
                  <c:v>0.17533745541812717</c:v>
                </c:pt>
                <c:pt idx="94">
                  <c:v>0.17824213700197056</c:v>
                </c:pt>
                <c:pt idx="95">
                  <c:v>0.1811707447387757</c:v>
                </c:pt>
                <c:pt idx="96">
                  <c:v>0.18412332634501935</c:v>
                </c:pt>
                <c:pt idx="97">
                  <c:v>0.18709993008091863</c:v>
                </c:pt>
                <c:pt idx="98">
                  <c:v>0.19010060475276208</c:v>
                </c:pt>
                <c:pt idx="99">
                  <c:v>0.19312539971527165</c:v>
                </c:pt>
                <c:pt idx="100">
                  <c:v>0.19617436487399717</c:v>
                </c:pt>
                <c:pt idx="101">
                  <c:v>0.1992475506877433</c:v>
                </c:pt>
                <c:pt idx="102">
                  <c:v>0.20234500817102824</c:v>
                </c:pt>
                <c:pt idx="103">
                  <c:v>0.20546678889657582</c:v>
                </c:pt>
                <c:pt idx="104">
                  <c:v>0.20861294499784</c:v>
                </c:pt>
                <c:pt idx="105">
                  <c:v>0.21178352917156307</c:v>
                </c:pt>
                <c:pt idx="106">
                  <c:v>0.21497859468036681</c:v>
                </c:pt>
                <c:pt idx="107">
                  <c:v>0.21819819535537779</c:v>
                </c:pt>
                <c:pt idx="108">
                  <c:v>0.22144238559888582</c:v>
                </c:pt>
                <c:pt idx="109">
                  <c:v>0.22471122038703809</c:v>
                </c:pt>
                <c:pt idx="110">
                  <c:v>0.22800475527256575</c:v>
                </c:pt>
                <c:pt idx="111">
                  <c:v>0.23132304638754747</c:v>
                </c:pt>
                <c:pt idx="112">
                  <c:v>0.23466615044620595</c:v>
                </c:pt>
                <c:pt idx="113">
                  <c:v>0.23803412474774066</c:v>
                </c:pt>
                <c:pt idx="114">
                  <c:v>0.24142702717919706</c:v>
                </c:pt>
                <c:pt idx="115">
                  <c:v>0.24484491621836935</c:v>
                </c:pt>
                <c:pt idx="116">
                  <c:v>0.24828785093674202</c:v>
                </c:pt>
                <c:pt idx="117">
                  <c:v>0.25175589100246554</c:v>
                </c:pt>
                <c:pt idx="118">
                  <c:v>0.2552490966833702</c:v>
                </c:pt>
                <c:pt idx="119">
                  <c:v>0.25876752885001653</c:v>
                </c:pt>
                <c:pt idx="120">
                  <c:v>0.26231124897878311</c:v>
                </c:pt>
                <c:pt idx="121">
                  <c:v>0.26588031915499166</c:v>
                </c:pt>
                <c:pt idx="122">
                  <c:v>0.26947480207607072</c:v>
                </c:pt>
                <c:pt idx="123">
                  <c:v>0.27309476105475705</c:v>
                </c:pt>
                <c:pt idx="124">
                  <c:v>0.27674026002233632</c:v>
                </c:pt>
                <c:pt idx="125">
                  <c:v>0.28041136353192153</c:v>
                </c:pt>
                <c:pt idx="126">
                  <c:v>0.28410813676177193</c:v>
                </c:pt>
                <c:pt idx="127">
                  <c:v>0.28783064551865112</c:v>
                </c:pt>
                <c:pt idx="128">
                  <c:v>0.2915789562412246</c:v>
                </c:pt>
                <c:pt idx="129">
                  <c:v>0.29535313600349788</c:v>
                </c:pt>
                <c:pt idx="130">
                  <c:v>0.29915325251829655</c:v>
                </c:pt>
                <c:pt idx="131">
                  <c:v>0.30297937414078419</c:v>
                </c:pt>
                <c:pt idx="132">
                  <c:v>0.30683156987202531</c:v>
                </c:pt>
                <c:pt idx="133">
                  <c:v>0.31070990936258769</c:v>
                </c:pt>
                <c:pt idx="134">
                  <c:v>0.31461446291618694</c:v>
                </c:pt>
                <c:pt idx="135">
                  <c:v>0.3185453014933749</c:v>
                </c:pt>
                <c:pt idx="136">
                  <c:v>0.32250249671526937</c:v>
                </c:pt>
                <c:pt idx="137">
                  <c:v>0.32648612086732792</c:v>
                </c:pt>
                <c:pt idx="138">
                  <c:v>0.33049624690316481</c:v>
                </c:pt>
                <c:pt idx="139">
                  <c:v>0.33453294844841364</c:v>
                </c:pt>
                <c:pt idx="140">
                  <c:v>0.33859629980463057</c:v>
                </c:pt>
                <c:pt idx="141">
                  <c:v>0.34268637595324791</c:v>
                </c:pt>
                <c:pt idx="142">
                  <c:v>0.34680325255956745</c:v>
                </c:pt>
                <c:pt idx="143">
                  <c:v>0.35094700597680362</c:v>
                </c:pt>
                <c:pt idx="144">
                  <c:v>0.35511771325017022</c:v>
                </c:pt>
                <c:pt idx="145">
                  <c:v>0.35931545212101512</c:v>
                </c:pt>
                <c:pt idx="146">
                  <c:v>0.3635403010310016</c:v>
                </c:pt>
                <c:pt idx="147">
                  <c:v>0.36779233912633624</c:v>
                </c:pt>
                <c:pt idx="148">
                  <c:v>0.3720716462620462</c:v>
                </c:pt>
                <c:pt idx="149">
                  <c:v>0.37637830300630404</c:v>
                </c:pt>
                <c:pt idx="150">
                  <c:v>0.38071239064480139</c:v>
                </c:pt>
                <c:pt idx="151">
                  <c:v>0.38507399118517133</c:v>
                </c:pt>
                <c:pt idx="152">
                  <c:v>0.38946318736146196</c:v>
                </c:pt>
                <c:pt idx="153">
                  <c:v>0.39388006263865882</c:v>
                </c:pt>
                <c:pt idx="154">
                  <c:v>0.39832470121725894</c:v>
                </c:pt>
                <c:pt idx="155">
                  <c:v>0.40279718803789594</c:v>
                </c:pt>
                <c:pt idx="156">
                  <c:v>0.40729760878601601</c:v>
                </c:pt>
                <c:pt idx="157">
                  <c:v>0.41182604989660743</c:v>
                </c:pt>
                <c:pt idx="158">
                  <c:v>0.41638259855898241</c:v>
                </c:pt>
                <c:pt idx="159">
                  <c:v>0.42096734272161174</c:v>
                </c:pt>
                <c:pt idx="160">
                  <c:v>0.42558037109701363</c:v>
                </c:pt>
                <c:pt idx="161">
                  <c:v>0.43022177316669685</c:v>
                </c:pt>
                <c:pt idx="162">
                  <c:v>0.43489163918615942</c:v>
                </c:pt>
                <c:pt idx="163">
                  <c:v>0.4395900601899409</c:v>
                </c:pt>
                <c:pt idx="164">
                  <c:v>0.44431712799673395</c:v>
                </c:pt>
                <c:pt idx="165">
                  <c:v>0.44907293521454839</c:v>
                </c:pt>
                <c:pt idx="166">
                  <c:v>0.4538575752459359</c:v>
                </c:pt>
                <c:pt idx="167">
                  <c:v>0.45867114229327094</c:v>
                </c:pt>
                <c:pt idx="168">
                  <c:v>0.46351373136408985</c:v>
                </c:pt>
                <c:pt idx="169">
                  <c:v>0.46838543827648976</c:v>
                </c:pt>
                <c:pt idx="170">
                  <c:v>0.47328635966458626</c:v>
                </c:pt>
                <c:pt idx="171">
                  <c:v>0.47821659298403196</c:v>
                </c:pt>
                <c:pt idx="172">
                  <c:v>0.48317623651759489</c:v>
                </c:pt>
                <c:pt idx="173">
                  <c:v>0.4881653893807999</c:v>
                </c:pt>
                <c:pt idx="174">
                  <c:v>0.49318415152763029</c:v>
                </c:pt>
                <c:pt idx="175">
                  <c:v>0.49823262375629379</c:v>
                </c:pt>
                <c:pt idx="176">
                  <c:v>0.50331090771505116</c:v>
                </c:pt>
                <c:pt idx="177">
                  <c:v>0.5084191059081089</c:v>
                </c:pt>
                <c:pt idx="178">
                  <c:v>0.51355732170157653</c:v>
                </c:pt>
                <c:pt idx="179">
                  <c:v>0.51872565932949022</c:v>
                </c:pt>
                <c:pt idx="180">
                  <c:v>0.52392422389990201</c:v>
                </c:pt>
                <c:pt idx="181">
                  <c:v>0.52915312140103488</c:v>
                </c:pt>
                <c:pt idx="182">
                  <c:v>0.53441245870750809</c:v>
                </c:pt>
                <c:pt idx="183">
                  <c:v>0.53970234358662705</c:v>
                </c:pt>
                <c:pt idx="184">
                  <c:v>0.54502288470474713</c:v>
                </c:pt>
                <c:pt idx="185">
                  <c:v>0.55037419163370072</c:v>
                </c:pt>
                <c:pt idx="186">
                  <c:v>0.55575637485730278</c:v>
                </c:pt>
                <c:pt idx="187">
                  <c:v>0.56116954577792</c:v>
                </c:pt>
                <c:pt idx="188">
                  <c:v>0.56661381672311806</c:v>
                </c:pt>
                <c:pt idx="189">
                  <c:v>0.57208930095237831</c:v>
                </c:pt>
                <c:pt idx="190">
                  <c:v>0.57759611266388966</c:v>
                </c:pt>
                <c:pt idx="191">
                  <c:v>0.58313436700141397</c:v>
                </c:pt>
                <c:pt idx="192">
                  <c:v>0.58870418006122816</c:v>
                </c:pt>
                <c:pt idx="193">
                  <c:v>0.59430566889914049</c:v>
                </c:pt>
                <c:pt idx="194">
                  <c:v>0.59993895153758736</c:v>
                </c:pt>
                <c:pt idx="195">
                  <c:v>0.60560414697280329</c:v>
                </c:pt>
                <c:pt idx="196">
                  <c:v>0.61130137518207417</c:v>
                </c:pt>
                <c:pt idx="197">
                  <c:v>0.61703075713106703</c:v>
                </c:pt>
                <c:pt idx="198">
                  <c:v>0.62279241478124148</c:v>
                </c:pt>
                <c:pt idx="199">
                  <c:v>0.62858647109734356</c:v>
                </c:pt>
                <c:pt idx="200">
                  <c:v>0.63441305005497939</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4.4999999999999998E-2</c:v>
                </c:pt>
                <c:pt idx="2">
                  <c:v>0.09</c:v>
                </c:pt>
                <c:pt idx="3">
                  <c:v>0.13500000000000001</c:v>
                </c:pt>
                <c:pt idx="4">
                  <c:v>0.18</c:v>
                </c:pt>
                <c:pt idx="5">
                  <c:v>0.22500000000000001</c:v>
                </c:pt>
                <c:pt idx="6">
                  <c:v>0.27</c:v>
                </c:pt>
                <c:pt idx="7">
                  <c:v>0.31500000000000006</c:v>
                </c:pt>
                <c:pt idx="8">
                  <c:v>0.36</c:v>
                </c:pt>
                <c:pt idx="9">
                  <c:v>0.40499999999999997</c:v>
                </c:pt>
                <c:pt idx="10">
                  <c:v>0.45</c:v>
                </c:pt>
                <c:pt idx="11">
                  <c:v>0.495</c:v>
                </c:pt>
                <c:pt idx="12">
                  <c:v>0.54</c:v>
                </c:pt>
                <c:pt idx="13">
                  <c:v>0.58499999999999996</c:v>
                </c:pt>
                <c:pt idx="14">
                  <c:v>0.63000000000000012</c:v>
                </c:pt>
                <c:pt idx="15">
                  <c:v>0.67499999999999993</c:v>
                </c:pt>
                <c:pt idx="16">
                  <c:v>0.72</c:v>
                </c:pt>
                <c:pt idx="17">
                  <c:v>0.76500000000000001</c:v>
                </c:pt>
                <c:pt idx="18">
                  <c:v>0.80999999999999994</c:v>
                </c:pt>
                <c:pt idx="19">
                  <c:v>0.85499999999999998</c:v>
                </c:pt>
                <c:pt idx="20">
                  <c:v>0.9</c:v>
                </c:pt>
                <c:pt idx="21">
                  <c:v>0.94499999999999995</c:v>
                </c:pt>
                <c:pt idx="22">
                  <c:v>0.99</c:v>
                </c:pt>
                <c:pt idx="23">
                  <c:v>1.0350000000000001</c:v>
                </c:pt>
                <c:pt idx="24">
                  <c:v>1.08</c:v>
                </c:pt>
                <c:pt idx="25">
                  <c:v>1.125</c:v>
                </c:pt>
                <c:pt idx="26">
                  <c:v>1.17</c:v>
                </c:pt>
                <c:pt idx="27">
                  <c:v>1.2150000000000001</c:v>
                </c:pt>
                <c:pt idx="28">
                  <c:v>1.2600000000000002</c:v>
                </c:pt>
                <c:pt idx="29">
                  <c:v>1.3049999999999999</c:v>
                </c:pt>
                <c:pt idx="30">
                  <c:v>1.3499999999999999</c:v>
                </c:pt>
                <c:pt idx="31">
                  <c:v>1.395</c:v>
                </c:pt>
                <c:pt idx="32">
                  <c:v>1.44</c:v>
                </c:pt>
                <c:pt idx="33">
                  <c:v>1.4850000000000001</c:v>
                </c:pt>
                <c:pt idx="34">
                  <c:v>1.53</c:v>
                </c:pt>
                <c:pt idx="35">
                  <c:v>1.575</c:v>
                </c:pt>
                <c:pt idx="36">
                  <c:v>1.6199999999999999</c:v>
                </c:pt>
                <c:pt idx="37">
                  <c:v>1.665</c:v>
                </c:pt>
                <c:pt idx="38">
                  <c:v>1.71</c:v>
                </c:pt>
                <c:pt idx="39">
                  <c:v>1.7550000000000001</c:v>
                </c:pt>
                <c:pt idx="40">
                  <c:v>1.8</c:v>
                </c:pt>
                <c:pt idx="41">
                  <c:v>1.845</c:v>
                </c:pt>
                <c:pt idx="42">
                  <c:v>1.89</c:v>
                </c:pt>
                <c:pt idx="43">
                  <c:v>1.9350000000000001</c:v>
                </c:pt>
                <c:pt idx="44">
                  <c:v>1.98</c:v>
                </c:pt>
                <c:pt idx="45">
                  <c:v>2.0249999999999999</c:v>
                </c:pt>
                <c:pt idx="46">
                  <c:v>2.0700000000000003</c:v>
                </c:pt>
                <c:pt idx="47">
                  <c:v>2.1149999999999998</c:v>
                </c:pt>
                <c:pt idx="48">
                  <c:v>2.16</c:v>
                </c:pt>
                <c:pt idx="49">
                  <c:v>2.2050000000000001</c:v>
                </c:pt>
                <c:pt idx="50">
                  <c:v>2.25</c:v>
                </c:pt>
                <c:pt idx="51">
                  <c:v>2.2949999999999999</c:v>
                </c:pt>
                <c:pt idx="52">
                  <c:v>2.34</c:v>
                </c:pt>
                <c:pt idx="53">
                  <c:v>2.3850000000000002</c:v>
                </c:pt>
                <c:pt idx="54">
                  <c:v>2.4300000000000002</c:v>
                </c:pt>
                <c:pt idx="55">
                  <c:v>2.4750000000000001</c:v>
                </c:pt>
                <c:pt idx="56">
                  <c:v>2.5200000000000005</c:v>
                </c:pt>
                <c:pt idx="57">
                  <c:v>2.5649999999999999</c:v>
                </c:pt>
                <c:pt idx="58">
                  <c:v>2.61</c:v>
                </c:pt>
                <c:pt idx="59">
                  <c:v>2.6549999999999998</c:v>
                </c:pt>
                <c:pt idx="60">
                  <c:v>2.6999999999999997</c:v>
                </c:pt>
                <c:pt idx="61">
                  <c:v>2.7450000000000001</c:v>
                </c:pt>
                <c:pt idx="62">
                  <c:v>2.79</c:v>
                </c:pt>
                <c:pt idx="63">
                  <c:v>2.835</c:v>
                </c:pt>
                <c:pt idx="64">
                  <c:v>2.88</c:v>
                </c:pt>
                <c:pt idx="65">
                  <c:v>2.9250000000000003</c:v>
                </c:pt>
                <c:pt idx="66">
                  <c:v>2.97</c:v>
                </c:pt>
                <c:pt idx="67">
                  <c:v>3.0150000000000001</c:v>
                </c:pt>
                <c:pt idx="68">
                  <c:v>3.06</c:v>
                </c:pt>
                <c:pt idx="69">
                  <c:v>3.1049999999999995</c:v>
                </c:pt>
                <c:pt idx="70">
                  <c:v>3.15</c:v>
                </c:pt>
                <c:pt idx="71">
                  <c:v>3.1949999999999998</c:v>
                </c:pt>
                <c:pt idx="72">
                  <c:v>3.2399999999999998</c:v>
                </c:pt>
                <c:pt idx="73">
                  <c:v>3.2850000000000001</c:v>
                </c:pt>
                <c:pt idx="74">
                  <c:v>3.33</c:v>
                </c:pt>
                <c:pt idx="75">
                  <c:v>3.375</c:v>
                </c:pt>
                <c:pt idx="76">
                  <c:v>3.42</c:v>
                </c:pt>
                <c:pt idx="77">
                  <c:v>3.4649999999999999</c:v>
                </c:pt>
                <c:pt idx="78">
                  <c:v>3.5100000000000002</c:v>
                </c:pt>
                <c:pt idx="79">
                  <c:v>3.5550000000000002</c:v>
                </c:pt>
                <c:pt idx="80">
                  <c:v>3.6</c:v>
                </c:pt>
                <c:pt idx="81">
                  <c:v>3.6450000000000005</c:v>
                </c:pt>
                <c:pt idx="82">
                  <c:v>3.69</c:v>
                </c:pt>
                <c:pt idx="83">
                  <c:v>3.7349999999999999</c:v>
                </c:pt>
                <c:pt idx="84">
                  <c:v>3.78</c:v>
                </c:pt>
                <c:pt idx="85">
                  <c:v>3.8249999999999997</c:v>
                </c:pt>
                <c:pt idx="86">
                  <c:v>3.87</c:v>
                </c:pt>
                <c:pt idx="87">
                  <c:v>3.915</c:v>
                </c:pt>
                <c:pt idx="88">
                  <c:v>3.96</c:v>
                </c:pt>
                <c:pt idx="89">
                  <c:v>4.0049999999999999</c:v>
                </c:pt>
                <c:pt idx="90">
                  <c:v>4.05</c:v>
                </c:pt>
                <c:pt idx="91">
                  <c:v>4.0949999999999998</c:v>
                </c:pt>
                <c:pt idx="92">
                  <c:v>4.1400000000000006</c:v>
                </c:pt>
                <c:pt idx="93">
                  <c:v>4.1850000000000005</c:v>
                </c:pt>
                <c:pt idx="94">
                  <c:v>4.2299999999999995</c:v>
                </c:pt>
                <c:pt idx="95">
                  <c:v>4.2749999999999995</c:v>
                </c:pt>
                <c:pt idx="96">
                  <c:v>4.32</c:v>
                </c:pt>
                <c:pt idx="97">
                  <c:v>4.3650000000000002</c:v>
                </c:pt>
                <c:pt idx="98">
                  <c:v>4.41</c:v>
                </c:pt>
                <c:pt idx="99">
                  <c:v>4.4550000000000001</c:v>
                </c:pt>
                <c:pt idx="100">
                  <c:v>4.5</c:v>
                </c:pt>
                <c:pt idx="101">
                  <c:v>4.5449999999999999</c:v>
                </c:pt>
                <c:pt idx="102">
                  <c:v>4.59</c:v>
                </c:pt>
                <c:pt idx="103">
                  <c:v>4.6349999999999998</c:v>
                </c:pt>
                <c:pt idx="104">
                  <c:v>4.68</c:v>
                </c:pt>
                <c:pt idx="105">
                  <c:v>4.7250000000000005</c:v>
                </c:pt>
                <c:pt idx="106">
                  <c:v>4.7700000000000005</c:v>
                </c:pt>
                <c:pt idx="107">
                  <c:v>4.8150000000000004</c:v>
                </c:pt>
                <c:pt idx="108">
                  <c:v>4.8600000000000003</c:v>
                </c:pt>
                <c:pt idx="109">
                  <c:v>4.9050000000000002</c:v>
                </c:pt>
                <c:pt idx="110">
                  <c:v>4.95</c:v>
                </c:pt>
                <c:pt idx="111">
                  <c:v>4.9950000000000001</c:v>
                </c:pt>
                <c:pt idx="112">
                  <c:v>5.0400000000000009</c:v>
                </c:pt>
                <c:pt idx="113">
                  <c:v>5.0849999999999991</c:v>
                </c:pt>
                <c:pt idx="114">
                  <c:v>5.13</c:v>
                </c:pt>
                <c:pt idx="115">
                  <c:v>5.1749999999999998</c:v>
                </c:pt>
                <c:pt idx="116">
                  <c:v>5.22</c:v>
                </c:pt>
                <c:pt idx="117">
                  <c:v>5.2649999999999997</c:v>
                </c:pt>
                <c:pt idx="118">
                  <c:v>5.31</c:v>
                </c:pt>
                <c:pt idx="119">
                  <c:v>5.3549999999999995</c:v>
                </c:pt>
                <c:pt idx="120">
                  <c:v>5.3999999999999995</c:v>
                </c:pt>
                <c:pt idx="121">
                  <c:v>5.4450000000000003</c:v>
                </c:pt>
                <c:pt idx="122">
                  <c:v>5.49</c:v>
                </c:pt>
                <c:pt idx="123">
                  <c:v>5.5350000000000001</c:v>
                </c:pt>
                <c:pt idx="124">
                  <c:v>5.58</c:v>
                </c:pt>
                <c:pt idx="125">
                  <c:v>5.625</c:v>
                </c:pt>
                <c:pt idx="126">
                  <c:v>5.67</c:v>
                </c:pt>
                <c:pt idx="127">
                  <c:v>5.7149999999999999</c:v>
                </c:pt>
                <c:pt idx="128">
                  <c:v>5.76</c:v>
                </c:pt>
                <c:pt idx="129">
                  <c:v>5.8049999999999997</c:v>
                </c:pt>
                <c:pt idx="130">
                  <c:v>5.8500000000000005</c:v>
                </c:pt>
                <c:pt idx="131">
                  <c:v>5.8950000000000005</c:v>
                </c:pt>
                <c:pt idx="132">
                  <c:v>5.94</c:v>
                </c:pt>
                <c:pt idx="133">
                  <c:v>5.9850000000000003</c:v>
                </c:pt>
                <c:pt idx="134">
                  <c:v>6.03</c:v>
                </c:pt>
                <c:pt idx="135">
                  <c:v>6.0750000000000002</c:v>
                </c:pt>
                <c:pt idx="136">
                  <c:v>6.12</c:v>
                </c:pt>
                <c:pt idx="137">
                  <c:v>6.1650000000000009</c:v>
                </c:pt>
                <c:pt idx="138">
                  <c:v>6.2099999999999991</c:v>
                </c:pt>
                <c:pt idx="139">
                  <c:v>6.2549999999999999</c:v>
                </c:pt>
                <c:pt idx="140">
                  <c:v>6.3</c:v>
                </c:pt>
                <c:pt idx="141">
                  <c:v>6.3449999999999998</c:v>
                </c:pt>
                <c:pt idx="142">
                  <c:v>6.39</c:v>
                </c:pt>
                <c:pt idx="143">
                  <c:v>6.4349999999999996</c:v>
                </c:pt>
                <c:pt idx="144">
                  <c:v>6.4799999999999995</c:v>
                </c:pt>
                <c:pt idx="145">
                  <c:v>6.5249999999999995</c:v>
                </c:pt>
                <c:pt idx="146">
                  <c:v>6.57</c:v>
                </c:pt>
                <c:pt idx="147">
                  <c:v>6.6150000000000002</c:v>
                </c:pt>
                <c:pt idx="148">
                  <c:v>6.66</c:v>
                </c:pt>
                <c:pt idx="149">
                  <c:v>6.7050000000000001</c:v>
                </c:pt>
                <c:pt idx="150">
                  <c:v>6.75</c:v>
                </c:pt>
                <c:pt idx="151">
                  <c:v>6.7949999999999999</c:v>
                </c:pt>
                <c:pt idx="152">
                  <c:v>6.84</c:v>
                </c:pt>
                <c:pt idx="153">
                  <c:v>6.8849999999999998</c:v>
                </c:pt>
                <c:pt idx="154">
                  <c:v>6.93</c:v>
                </c:pt>
                <c:pt idx="155">
                  <c:v>6.9750000000000005</c:v>
                </c:pt>
                <c:pt idx="156">
                  <c:v>7.0200000000000005</c:v>
                </c:pt>
                <c:pt idx="157">
                  <c:v>7.0650000000000004</c:v>
                </c:pt>
                <c:pt idx="158">
                  <c:v>7.11</c:v>
                </c:pt>
                <c:pt idx="159">
                  <c:v>7.1550000000000002</c:v>
                </c:pt>
                <c:pt idx="160">
                  <c:v>7.2</c:v>
                </c:pt>
                <c:pt idx="161">
                  <c:v>7.2450000000000001</c:v>
                </c:pt>
                <c:pt idx="162">
                  <c:v>7.2900000000000009</c:v>
                </c:pt>
                <c:pt idx="163">
                  <c:v>7.3349999999999991</c:v>
                </c:pt>
                <c:pt idx="164">
                  <c:v>7.38</c:v>
                </c:pt>
                <c:pt idx="165">
                  <c:v>7.4249999999999998</c:v>
                </c:pt>
                <c:pt idx="166">
                  <c:v>7.47</c:v>
                </c:pt>
                <c:pt idx="167">
                  <c:v>7.5149999999999997</c:v>
                </c:pt>
                <c:pt idx="168">
                  <c:v>7.56</c:v>
                </c:pt>
                <c:pt idx="169">
                  <c:v>7.6049999999999995</c:v>
                </c:pt>
                <c:pt idx="170">
                  <c:v>7.6499999999999995</c:v>
                </c:pt>
                <c:pt idx="171">
                  <c:v>7.6950000000000003</c:v>
                </c:pt>
                <c:pt idx="172">
                  <c:v>7.74</c:v>
                </c:pt>
                <c:pt idx="173">
                  <c:v>7.7850000000000001</c:v>
                </c:pt>
                <c:pt idx="174">
                  <c:v>7.83</c:v>
                </c:pt>
                <c:pt idx="175">
                  <c:v>7.875</c:v>
                </c:pt>
                <c:pt idx="176">
                  <c:v>7.92</c:v>
                </c:pt>
                <c:pt idx="177">
                  <c:v>7.9649999999999999</c:v>
                </c:pt>
                <c:pt idx="178">
                  <c:v>8.01</c:v>
                </c:pt>
                <c:pt idx="179">
                  <c:v>8.0549999999999997</c:v>
                </c:pt>
                <c:pt idx="180">
                  <c:v>8.1</c:v>
                </c:pt>
                <c:pt idx="181">
                  <c:v>8.1449999999999996</c:v>
                </c:pt>
                <c:pt idx="182">
                  <c:v>8.19</c:v>
                </c:pt>
                <c:pt idx="183">
                  <c:v>8.2349999999999994</c:v>
                </c:pt>
                <c:pt idx="184">
                  <c:v>8.2800000000000011</c:v>
                </c:pt>
                <c:pt idx="185">
                  <c:v>8.3250000000000011</c:v>
                </c:pt>
                <c:pt idx="186">
                  <c:v>8.370000000000001</c:v>
                </c:pt>
                <c:pt idx="187">
                  <c:v>8.4150000000000009</c:v>
                </c:pt>
                <c:pt idx="188">
                  <c:v>8.4599999999999991</c:v>
                </c:pt>
                <c:pt idx="189">
                  <c:v>8.504999999999999</c:v>
                </c:pt>
                <c:pt idx="190">
                  <c:v>8.5499999999999989</c:v>
                </c:pt>
                <c:pt idx="191">
                  <c:v>8.5949999999999989</c:v>
                </c:pt>
                <c:pt idx="192">
                  <c:v>8.64</c:v>
                </c:pt>
                <c:pt idx="193">
                  <c:v>8.6850000000000005</c:v>
                </c:pt>
                <c:pt idx="194">
                  <c:v>8.73</c:v>
                </c:pt>
                <c:pt idx="195">
                  <c:v>8.7750000000000004</c:v>
                </c:pt>
                <c:pt idx="196">
                  <c:v>8.82</c:v>
                </c:pt>
                <c:pt idx="197">
                  <c:v>8.8650000000000002</c:v>
                </c:pt>
                <c:pt idx="198">
                  <c:v>8.91</c:v>
                </c:pt>
                <c:pt idx="199">
                  <c:v>8.9550000000000001</c:v>
                </c:pt>
                <c:pt idx="200">
                  <c:v>9</c:v>
                </c:pt>
              </c:numCache>
            </c:numRef>
          </c:xVal>
          <c:yVal>
            <c:numRef>
              <c:f>'Power Calculations'!$Q$9:$Q$209</c:f>
              <c:numCache>
                <c:formatCode>0.0000</c:formatCode>
                <c:ptCount val="201"/>
                <c:pt idx="0">
                  <c:v>0.20080221140363827</c:v>
                </c:pt>
                <c:pt idx="1">
                  <c:v>0.2008041508479608</c:v>
                </c:pt>
                <c:pt idx="2">
                  <c:v>0.20080965478879861</c:v>
                </c:pt>
                <c:pt idx="3">
                  <c:v>0.20081872323557773</c:v>
                </c:pt>
                <c:pt idx="4">
                  <c:v>0.20083135620382245</c:v>
                </c:pt>
                <c:pt idx="5">
                  <c:v>0.20084755371515561</c:v>
                </c:pt>
                <c:pt idx="6">
                  <c:v>0.20086731579729847</c:v>
                </c:pt>
                <c:pt idx="7">
                  <c:v>0.20089064248407096</c:v>
                </c:pt>
                <c:pt idx="8">
                  <c:v>0.20091753381539182</c:v>
                </c:pt>
                <c:pt idx="9">
                  <c:v>0.20094798983727868</c:v>
                </c:pt>
                <c:pt idx="10">
                  <c:v>0.20098201060184845</c:v>
                </c:pt>
                <c:pt idx="11">
                  <c:v>0.20101959616731727</c:v>
                </c:pt>
                <c:pt idx="12">
                  <c:v>0.20106074659800099</c:v>
                </c:pt>
                <c:pt idx="13">
                  <c:v>0.20110546196431534</c:v>
                </c:pt>
                <c:pt idx="14">
                  <c:v>0.20115374234277622</c:v>
                </c:pt>
                <c:pt idx="15">
                  <c:v>0.20120558781600012</c:v>
                </c:pt>
                <c:pt idx="16">
                  <c:v>0.20126099847270437</c:v>
                </c:pt>
                <c:pt idx="17">
                  <c:v>0.20131997440770755</c:v>
                </c:pt>
                <c:pt idx="18">
                  <c:v>0.20138251572192994</c:v>
                </c:pt>
                <c:pt idx="19">
                  <c:v>0.20144862252239393</c:v>
                </c:pt>
                <c:pt idx="20">
                  <c:v>0.20151829492222439</c:v>
                </c:pt>
                <c:pt idx="21">
                  <c:v>0.20159153304064928</c:v>
                </c:pt>
                <c:pt idx="22">
                  <c:v>0.20166833700300016</c:v>
                </c:pt>
                <c:pt idx="23">
                  <c:v>0.20174870694071259</c:v>
                </c:pt>
                <c:pt idx="24">
                  <c:v>0.2018326429913268</c:v>
                </c:pt>
                <c:pt idx="25">
                  <c:v>0.20192014529848831</c:v>
                </c:pt>
                <c:pt idx="26">
                  <c:v>0.20201121401194844</c:v>
                </c:pt>
                <c:pt idx="27">
                  <c:v>0.202105849287565</c:v>
                </c:pt>
                <c:pt idx="28">
                  <c:v>0.20220405128730298</c:v>
                </c:pt>
                <c:pt idx="29">
                  <c:v>0.20230582017923524</c:v>
                </c:pt>
                <c:pt idx="30">
                  <c:v>0.20241115613754318</c:v>
                </c:pt>
                <c:pt idx="31">
                  <c:v>0.20252005934251749</c:v>
                </c:pt>
                <c:pt idx="32">
                  <c:v>0.20263252998055906</c:v>
                </c:pt>
                <c:pt idx="33">
                  <c:v>0.20274856824417953</c:v>
                </c:pt>
                <c:pt idx="34">
                  <c:v>0.20286817433200233</c:v>
                </c:pt>
                <c:pt idx="35">
                  <c:v>0.20299134844876343</c:v>
                </c:pt>
                <c:pt idx="36">
                  <c:v>0.20311809080531223</c:v>
                </c:pt>
                <c:pt idx="37">
                  <c:v>0.20324840161861252</c:v>
                </c:pt>
                <c:pt idx="38">
                  <c:v>0.20338228111174331</c:v>
                </c:pt>
                <c:pt idx="39">
                  <c:v>0.20351972951389979</c:v>
                </c:pt>
                <c:pt idx="40">
                  <c:v>0.20366074706039444</c:v>
                </c:pt>
                <c:pt idx="41">
                  <c:v>0.20380533399265791</c:v>
                </c:pt>
                <c:pt idx="42">
                  <c:v>0.20395349055824011</c:v>
                </c:pt>
                <c:pt idx="43">
                  <c:v>0.20410521701081122</c:v>
                </c:pt>
                <c:pt idx="44">
                  <c:v>0.20426051361016287</c:v>
                </c:pt>
                <c:pt idx="45">
                  <c:v>0.20441938062220913</c:v>
                </c:pt>
                <c:pt idx="46">
                  <c:v>0.20458181831898775</c:v>
                </c:pt>
                <c:pt idx="47">
                  <c:v>0.20474782697866131</c:v>
                </c:pt>
                <c:pt idx="48">
                  <c:v>0.20491740688551832</c:v>
                </c:pt>
                <c:pt idx="49">
                  <c:v>0.20509055832997458</c:v>
                </c:pt>
                <c:pt idx="50">
                  <c:v>0.20526728160857427</c:v>
                </c:pt>
                <c:pt idx="51">
                  <c:v>0.20544757702399138</c:v>
                </c:pt>
                <c:pt idx="52">
                  <c:v>0.20563144488503088</c:v>
                </c:pt>
                <c:pt idx="53">
                  <c:v>0.20581888550663011</c:v>
                </c:pt>
                <c:pt idx="54">
                  <c:v>0.2060098992098601</c:v>
                </c:pt>
                <c:pt idx="55">
                  <c:v>0.20620448632192692</c:v>
                </c:pt>
                <c:pt idx="56">
                  <c:v>0.20640264717617321</c:v>
                </c:pt>
                <c:pt idx="57">
                  <c:v>0.2066043821120794</c:v>
                </c:pt>
                <c:pt idx="58">
                  <c:v>0.2068096914752654</c:v>
                </c:pt>
                <c:pt idx="59">
                  <c:v>0.20701857561749182</c:v>
                </c:pt>
                <c:pt idx="60">
                  <c:v>0.20723103489666175</c:v>
                </c:pt>
                <c:pt idx="61">
                  <c:v>0.20744706967682211</c:v>
                </c:pt>
                <c:pt idx="62">
                  <c:v>0.20766668032816524</c:v>
                </c:pt>
                <c:pt idx="63">
                  <c:v>0.20788986722703051</c:v>
                </c:pt>
                <c:pt idx="64">
                  <c:v>0.208116630755906</c:v>
                </c:pt>
                <c:pt idx="65">
                  <c:v>0.20834697130343002</c:v>
                </c:pt>
                <c:pt idx="66">
                  <c:v>0.20858088926439283</c:v>
                </c:pt>
                <c:pt idx="67">
                  <c:v>0.20881838503973832</c:v>
                </c:pt>
                <c:pt idx="68">
                  <c:v>0.20905945903656578</c:v>
                </c:pt>
                <c:pt idx="69">
                  <c:v>0.20930411166813162</c:v>
                </c:pt>
                <c:pt idx="70">
                  <c:v>0.20955234335385106</c:v>
                </c:pt>
                <c:pt idx="71">
                  <c:v>0.20980415451930007</c:v>
                </c:pt>
                <c:pt idx="72">
                  <c:v>0.21005954559621709</c:v>
                </c:pt>
                <c:pt idx="73">
                  <c:v>0.2103185170225049</c:v>
                </c:pt>
                <c:pt idx="74">
                  <c:v>0.21058106924223258</c:v>
                </c:pt>
                <c:pt idx="75">
                  <c:v>0.21084720270563731</c:v>
                </c:pt>
                <c:pt idx="76">
                  <c:v>0.21111691786912634</c:v>
                </c:pt>
                <c:pt idx="77">
                  <c:v>0.21139021519527895</c:v>
                </c:pt>
                <c:pt idx="78">
                  <c:v>0.21166709515284846</c:v>
                </c:pt>
                <c:pt idx="79">
                  <c:v>0.21194755821676423</c:v>
                </c:pt>
                <c:pt idx="80">
                  <c:v>0.21223160486813364</c:v>
                </c:pt>
                <c:pt idx="81">
                  <c:v>0.21251923559424429</c:v>
                </c:pt>
                <c:pt idx="82">
                  <c:v>0.2128104508885659</c:v>
                </c:pt>
                <c:pt idx="83">
                  <c:v>0.21310525125075261</c:v>
                </c:pt>
                <c:pt idx="84">
                  <c:v>0.21340363718664507</c:v>
                </c:pt>
                <c:pt idx="85">
                  <c:v>0.2137056092082725</c:v>
                </c:pt>
                <c:pt idx="86">
                  <c:v>0.21401116783385513</c:v>
                </c:pt>
                <c:pt idx="87">
                  <c:v>0.21432031358780612</c:v>
                </c:pt>
                <c:pt idx="88">
                  <c:v>0.21463304700073407</c:v>
                </c:pt>
                <c:pt idx="89">
                  <c:v>0.21494936860944525</c:v>
                </c:pt>
                <c:pt idx="90">
                  <c:v>0.2152692789569457</c:v>
                </c:pt>
                <c:pt idx="91">
                  <c:v>0.21559277859244391</c:v>
                </c:pt>
                <c:pt idx="92">
                  <c:v>0.21591986807135286</c:v>
                </c:pt>
                <c:pt idx="93">
                  <c:v>0.21625054795529261</c:v>
                </c:pt>
                <c:pt idx="94">
                  <c:v>0.21658481881209263</c:v>
                </c:pt>
                <c:pt idx="95">
                  <c:v>0.21692268121579425</c:v>
                </c:pt>
                <c:pt idx="96">
                  <c:v>0.21726413574665321</c:v>
                </c:pt>
                <c:pt idx="97">
                  <c:v>0.21760918299114193</c:v>
                </c:pt>
                <c:pt idx="98">
                  <c:v>0.21795782354195237</c:v>
                </c:pt>
                <c:pt idx="99">
                  <c:v>0.21831005799799824</c:v>
                </c:pt>
                <c:pt idx="100">
                  <c:v>0.21866588696441783</c:v>
                </c:pt>
                <c:pt idx="101">
                  <c:v>0.21902531105257647</c:v>
                </c:pt>
                <c:pt idx="102">
                  <c:v>0.21938833088006926</c:v>
                </c:pt>
                <c:pt idx="103">
                  <c:v>0.2197549470707236</c:v>
                </c:pt>
                <c:pt idx="104">
                  <c:v>0.22012516025460202</c:v>
                </c:pt>
                <c:pt idx="105">
                  <c:v>0.22049897106800478</c:v>
                </c:pt>
                <c:pt idx="106">
                  <c:v>0.22087638015347266</c:v>
                </c:pt>
                <c:pt idx="107">
                  <c:v>0.22125738815978976</c:v>
                </c:pt>
                <c:pt idx="108">
                  <c:v>0.22164199574198618</c:v>
                </c:pt>
                <c:pt idx="109">
                  <c:v>0.22203020356134098</c:v>
                </c:pt>
                <c:pt idx="110">
                  <c:v>0.22242201228538494</c:v>
                </c:pt>
                <c:pt idx="111">
                  <c:v>0.22281742258790344</c:v>
                </c:pt>
                <c:pt idx="112">
                  <c:v>0.22321643514893943</c:v>
                </c:pt>
                <c:pt idx="113">
                  <c:v>0.22361905065479629</c:v>
                </c:pt>
                <c:pt idx="114">
                  <c:v>0.22402526979804077</c:v>
                </c:pt>
                <c:pt idx="115">
                  <c:v>0.2244350932775061</c:v>
                </c:pt>
                <c:pt idx="116">
                  <c:v>0.22484852179829487</c:v>
                </c:pt>
                <c:pt idx="117">
                  <c:v>0.22526555607178211</c:v>
                </c:pt>
                <c:pt idx="118">
                  <c:v>0.22568619681561838</c:v>
                </c:pt>
                <c:pt idx="119">
                  <c:v>0.2261104447537329</c:v>
                </c:pt>
                <c:pt idx="120">
                  <c:v>0.22653830061633654</c:v>
                </c:pt>
                <c:pt idx="121">
                  <c:v>0.22696976513992514</c:v>
                </c:pt>
                <c:pt idx="122">
                  <c:v>0.22740483906728257</c:v>
                </c:pt>
                <c:pt idx="123">
                  <c:v>0.22784352314748391</c:v>
                </c:pt>
                <c:pt idx="124">
                  <c:v>0.22828581813589888</c:v>
                </c:pt>
                <c:pt idx="125">
                  <c:v>0.22873172479419482</c:v>
                </c:pt>
                <c:pt idx="126">
                  <c:v>0.22918124389034025</c:v>
                </c:pt>
                <c:pt idx="127">
                  <c:v>0.22963437619860796</c:v>
                </c:pt>
                <c:pt idx="128">
                  <c:v>0.23009112249957853</c:v>
                </c:pt>
                <c:pt idx="129">
                  <c:v>0.23055148358014355</c:v>
                </c:pt>
                <c:pt idx="130">
                  <c:v>0.23101546023350919</c:v>
                </c:pt>
                <c:pt idx="131">
                  <c:v>0.23148305325919938</c:v>
                </c:pt>
                <c:pt idx="132">
                  <c:v>0.23195426346305964</c:v>
                </c:pt>
                <c:pt idx="133">
                  <c:v>0.23242909165726008</c:v>
                </c:pt>
                <c:pt idx="134">
                  <c:v>0.23290753866029945</c:v>
                </c:pt>
                <c:pt idx="135">
                  <c:v>0.23338960529700817</c:v>
                </c:pt>
                <c:pt idx="136">
                  <c:v>0.2338752923985522</c:v>
                </c:pt>
                <c:pt idx="137">
                  <c:v>0.23436460080243665</c:v>
                </c:pt>
                <c:pt idx="138">
                  <c:v>0.2348575313525092</c:v>
                </c:pt>
                <c:pt idx="139">
                  <c:v>0.23535408489896392</c:v>
                </c:pt>
                <c:pt idx="140">
                  <c:v>0.23585426229834486</c:v>
                </c:pt>
                <c:pt idx="141">
                  <c:v>0.2363580644135499</c:v>
                </c:pt>
                <c:pt idx="142">
                  <c:v>0.2368654921138342</c:v>
                </c:pt>
                <c:pt idx="143">
                  <c:v>0.2373765462748143</c:v>
                </c:pt>
                <c:pt idx="144">
                  <c:v>0.23789122777847169</c:v>
                </c:pt>
                <c:pt idx="145">
                  <c:v>0.23840953751315666</c:v>
                </c:pt>
                <c:pt idx="146">
                  <c:v>0.23893147637359227</c:v>
                </c:pt>
                <c:pt idx="147">
                  <c:v>0.23945704526087805</c:v>
                </c:pt>
                <c:pt idx="148">
                  <c:v>0.23998624508249403</c:v>
                </c:pt>
                <c:pt idx="149">
                  <c:v>0.24051907675230463</c:v>
                </c:pt>
                <c:pt idx="150">
                  <c:v>0.24105554119056266</c:v>
                </c:pt>
                <c:pt idx="151">
                  <c:v>0.24159563932391323</c:v>
                </c:pt>
                <c:pt idx="152">
                  <c:v>0.24213937208539787</c:v>
                </c:pt>
                <c:pt idx="153">
                  <c:v>0.24268674041445842</c:v>
                </c:pt>
                <c:pt idx="154">
                  <c:v>0.24323774525694131</c:v>
                </c:pt>
                <c:pt idx="155">
                  <c:v>0.24379238756510158</c:v>
                </c:pt>
                <c:pt idx="156">
                  <c:v>0.24435066829760688</c:v>
                </c:pt>
                <c:pt idx="157">
                  <c:v>0.24491258841954178</c:v>
                </c:pt>
                <c:pt idx="158">
                  <c:v>0.24547814890241204</c:v>
                </c:pt>
                <c:pt idx="159">
                  <c:v>0.24604735072414857</c:v>
                </c:pt>
                <c:pt idx="160">
                  <c:v>0.24662019486911191</c:v>
                </c:pt>
                <c:pt idx="161">
                  <c:v>0.24719668232809633</c:v>
                </c:pt>
                <c:pt idx="162">
                  <c:v>0.24777681409833435</c:v>
                </c:pt>
                <c:pt idx="163">
                  <c:v>0.24836059118350085</c:v>
                </c:pt>
                <c:pt idx="164">
                  <c:v>0.24894801459371757</c:v>
                </c:pt>
                <c:pt idx="165">
                  <c:v>0.24953908534555738</c:v>
                </c:pt>
                <c:pt idx="166">
                  <c:v>0.25013380446204891</c:v>
                </c:pt>
                <c:pt idx="167">
                  <c:v>0.25073217297268074</c:v>
                </c:pt>
                <c:pt idx="168">
                  <c:v>0.25133419191340617</c:v>
                </c:pt>
                <c:pt idx="169">
                  <c:v>0.25193986232664733</c:v>
                </c:pt>
                <c:pt idx="170">
                  <c:v>0.25254918526130021</c:v>
                </c:pt>
                <c:pt idx="171">
                  <c:v>0.25316216177273876</c:v>
                </c:pt>
                <c:pt idx="172">
                  <c:v>0.2537787929228198</c:v>
                </c:pt>
                <c:pt idx="173">
                  <c:v>0.25439907977988746</c:v>
                </c:pt>
                <c:pt idx="174">
                  <c:v>0.25502302341877797</c:v>
                </c:pt>
                <c:pt idx="175">
                  <c:v>0.25565062492082435</c:v>
                </c:pt>
                <c:pt idx="176">
                  <c:v>0.25628188537386082</c:v>
                </c:pt>
                <c:pt idx="177">
                  <c:v>0.25691680587222809</c:v>
                </c:pt>
                <c:pt idx="178">
                  <c:v>0.25755538751677748</c:v>
                </c:pt>
                <c:pt idx="179">
                  <c:v>0.25819763141487628</c:v>
                </c:pt>
                <c:pt idx="180">
                  <c:v>0.25884353868041232</c:v>
                </c:pt>
                <c:pt idx="181">
                  <c:v>0.2594931104337988</c:v>
                </c:pt>
                <c:pt idx="182">
                  <c:v>0.26014634780197926</c:v>
                </c:pt>
                <c:pt idx="183">
                  <c:v>0.26080325191843245</c:v>
                </c:pt>
                <c:pt idx="184">
                  <c:v>0.26146382392317746</c:v>
                </c:pt>
                <c:pt idx="185">
                  <c:v>0.26212806496277824</c:v>
                </c:pt>
                <c:pt idx="186">
                  <c:v>0.26279597619034922</c:v>
                </c:pt>
                <c:pt idx="187">
                  <c:v>0.26346755876555983</c:v>
                </c:pt>
                <c:pt idx="188">
                  <c:v>0.26414281385463984</c:v>
                </c:pt>
                <c:pt idx="189">
                  <c:v>0.26482174263038444</c:v>
                </c:pt>
                <c:pt idx="190">
                  <c:v>0.26550434627215924</c:v>
                </c:pt>
                <c:pt idx="191">
                  <c:v>0.26619062596590554</c:v>
                </c:pt>
                <c:pt idx="192">
                  <c:v>0.26688058290414546</c:v>
                </c:pt>
                <c:pt idx="193">
                  <c:v>0.2675742182859871</c:v>
                </c:pt>
                <c:pt idx="194">
                  <c:v>0.26827153331713</c:v>
                </c:pt>
                <c:pt idx="195">
                  <c:v>0.26897252920987014</c:v>
                </c:pt>
                <c:pt idx="196">
                  <c:v>0.26967720718310551</c:v>
                </c:pt>
                <c:pt idx="197">
                  <c:v>0.27038556846234119</c:v>
                </c:pt>
                <c:pt idx="198">
                  <c:v>0.27109761427969481</c:v>
                </c:pt>
                <c:pt idx="199">
                  <c:v>0.27181334587390227</c:v>
                </c:pt>
                <c:pt idx="200">
                  <c:v>0.27253276449032243</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4.4999999999999998E-2</c:v>
                </c:pt>
                <c:pt idx="2">
                  <c:v>0.09</c:v>
                </c:pt>
                <c:pt idx="3">
                  <c:v>0.13500000000000001</c:v>
                </c:pt>
                <c:pt idx="4">
                  <c:v>0.18</c:v>
                </c:pt>
                <c:pt idx="5">
                  <c:v>0.22500000000000001</c:v>
                </c:pt>
                <c:pt idx="6">
                  <c:v>0.27</c:v>
                </c:pt>
                <c:pt idx="7">
                  <c:v>0.31500000000000006</c:v>
                </c:pt>
                <c:pt idx="8">
                  <c:v>0.36</c:v>
                </c:pt>
                <c:pt idx="9">
                  <c:v>0.40499999999999997</c:v>
                </c:pt>
                <c:pt idx="10">
                  <c:v>0.45</c:v>
                </c:pt>
                <c:pt idx="11">
                  <c:v>0.495</c:v>
                </c:pt>
                <c:pt idx="12">
                  <c:v>0.54</c:v>
                </c:pt>
                <c:pt idx="13">
                  <c:v>0.58499999999999996</c:v>
                </c:pt>
                <c:pt idx="14">
                  <c:v>0.63000000000000012</c:v>
                </c:pt>
                <c:pt idx="15">
                  <c:v>0.67499999999999993</c:v>
                </c:pt>
                <c:pt idx="16">
                  <c:v>0.72</c:v>
                </c:pt>
                <c:pt idx="17">
                  <c:v>0.76500000000000001</c:v>
                </c:pt>
                <c:pt idx="18">
                  <c:v>0.80999999999999994</c:v>
                </c:pt>
                <c:pt idx="19">
                  <c:v>0.85499999999999998</c:v>
                </c:pt>
                <c:pt idx="20">
                  <c:v>0.9</c:v>
                </c:pt>
                <c:pt idx="21">
                  <c:v>0.94499999999999995</c:v>
                </c:pt>
                <c:pt idx="22">
                  <c:v>0.99</c:v>
                </c:pt>
                <c:pt idx="23">
                  <c:v>1.0350000000000001</c:v>
                </c:pt>
                <c:pt idx="24">
                  <c:v>1.08</c:v>
                </c:pt>
                <c:pt idx="25">
                  <c:v>1.125</c:v>
                </c:pt>
                <c:pt idx="26">
                  <c:v>1.17</c:v>
                </c:pt>
                <c:pt idx="27">
                  <c:v>1.2150000000000001</c:v>
                </c:pt>
                <c:pt idx="28">
                  <c:v>1.2600000000000002</c:v>
                </c:pt>
                <c:pt idx="29">
                  <c:v>1.3049999999999999</c:v>
                </c:pt>
                <c:pt idx="30">
                  <c:v>1.3499999999999999</c:v>
                </c:pt>
                <c:pt idx="31">
                  <c:v>1.395</c:v>
                </c:pt>
                <c:pt idx="32">
                  <c:v>1.44</c:v>
                </c:pt>
                <c:pt idx="33">
                  <c:v>1.4850000000000001</c:v>
                </c:pt>
                <c:pt idx="34">
                  <c:v>1.53</c:v>
                </c:pt>
                <c:pt idx="35">
                  <c:v>1.575</c:v>
                </c:pt>
                <c:pt idx="36">
                  <c:v>1.6199999999999999</c:v>
                </c:pt>
                <c:pt idx="37">
                  <c:v>1.665</c:v>
                </c:pt>
                <c:pt idx="38">
                  <c:v>1.71</c:v>
                </c:pt>
                <c:pt idx="39">
                  <c:v>1.7550000000000001</c:v>
                </c:pt>
                <c:pt idx="40">
                  <c:v>1.8</c:v>
                </c:pt>
                <c:pt idx="41">
                  <c:v>1.845</c:v>
                </c:pt>
                <c:pt idx="42">
                  <c:v>1.89</c:v>
                </c:pt>
                <c:pt idx="43">
                  <c:v>1.9350000000000001</c:v>
                </c:pt>
                <c:pt idx="44">
                  <c:v>1.98</c:v>
                </c:pt>
                <c:pt idx="45">
                  <c:v>2.0249999999999999</c:v>
                </c:pt>
                <c:pt idx="46">
                  <c:v>2.0700000000000003</c:v>
                </c:pt>
                <c:pt idx="47">
                  <c:v>2.1149999999999998</c:v>
                </c:pt>
                <c:pt idx="48">
                  <c:v>2.16</c:v>
                </c:pt>
                <c:pt idx="49">
                  <c:v>2.2050000000000001</c:v>
                </c:pt>
                <c:pt idx="50">
                  <c:v>2.25</c:v>
                </c:pt>
                <c:pt idx="51">
                  <c:v>2.2949999999999999</c:v>
                </c:pt>
                <c:pt idx="52">
                  <c:v>2.34</c:v>
                </c:pt>
                <c:pt idx="53">
                  <c:v>2.3850000000000002</c:v>
                </c:pt>
                <c:pt idx="54">
                  <c:v>2.4300000000000002</c:v>
                </c:pt>
                <c:pt idx="55">
                  <c:v>2.4750000000000001</c:v>
                </c:pt>
                <c:pt idx="56">
                  <c:v>2.5200000000000005</c:v>
                </c:pt>
                <c:pt idx="57">
                  <c:v>2.5649999999999999</c:v>
                </c:pt>
                <c:pt idx="58">
                  <c:v>2.61</c:v>
                </c:pt>
                <c:pt idx="59">
                  <c:v>2.6549999999999998</c:v>
                </c:pt>
                <c:pt idx="60">
                  <c:v>2.6999999999999997</c:v>
                </c:pt>
                <c:pt idx="61">
                  <c:v>2.7450000000000001</c:v>
                </c:pt>
                <c:pt idx="62">
                  <c:v>2.79</c:v>
                </c:pt>
                <c:pt idx="63">
                  <c:v>2.835</c:v>
                </c:pt>
                <c:pt idx="64">
                  <c:v>2.88</c:v>
                </c:pt>
                <c:pt idx="65">
                  <c:v>2.9250000000000003</c:v>
                </c:pt>
                <c:pt idx="66">
                  <c:v>2.97</c:v>
                </c:pt>
                <c:pt idx="67">
                  <c:v>3.0150000000000001</c:v>
                </c:pt>
                <c:pt idx="68">
                  <c:v>3.06</c:v>
                </c:pt>
                <c:pt idx="69">
                  <c:v>3.1049999999999995</c:v>
                </c:pt>
                <c:pt idx="70">
                  <c:v>3.15</c:v>
                </c:pt>
                <c:pt idx="71">
                  <c:v>3.1949999999999998</c:v>
                </c:pt>
                <c:pt idx="72">
                  <c:v>3.2399999999999998</c:v>
                </c:pt>
                <c:pt idx="73">
                  <c:v>3.2850000000000001</c:v>
                </c:pt>
                <c:pt idx="74">
                  <c:v>3.33</c:v>
                </c:pt>
                <c:pt idx="75">
                  <c:v>3.375</c:v>
                </c:pt>
                <c:pt idx="76">
                  <c:v>3.42</c:v>
                </c:pt>
                <c:pt idx="77">
                  <c:v>3.4649999999999999</c:v>
                </c:pt>
                <c:pt idx="78">
                  <c:v>3.5100000000000002</c:v>
                </c:pt>
                <c:pt idx="79">
                  <c:v>3.5550000000000002</c:v>
                </c:pt>
                <c:pt idx="80">
                  <c:v>3.6</c:v>
                </c:pt>
                <c:pt idx="81">
                  <c:v>3.6450000000000005</c:v>
                </c:pt>
                <c:pt idx="82">
                  <c:v>3.69</c:v>
                </c:pt>
                <c:pt idx="83">
                  <c:v>3.7349999999999999</c:v>
                </c:pt>
                <c:pt idx="84">
                  <c:v>3.78</c:v>
                </c:pt>
                <c:pt idx="85">
                  <c:v>3.8249999999999997</c:v>
                </c:pt>
                <c:pt idx="86">
                  <c:v>3.87</c:v>
                </c:pt>
                <c:pt idx="87">
                  <c:v>3.915</c:v>
                </c:pt>
                <c:pt idx="88">
                  <c:v>3.96</c:v>
                </c:pt>
                <c:pt idx="89">
                  <c:v>4.0049999999999999</c:v>
                </c:pt>
                <c:pt idx="90">
                  <c:v>4.05</c:v>
                </c:pt>
                <c:pt idx="91">
                  <c:v>4.0949999999999998</c:v>
                </c:pt>
                <c:pt idx="92">
                  <c:v>4.1400000000000006</c:v>
                </c:pt>
                <c:pt idx="93">
                  <c:v>4.1850000000000005</c:v>
                </c:pt>
                <c:pt idx="94">
                  <c:v>4.2299999999999995</c:v>
                </c:pt>
                <c:pt idx="95">
                  <c:v>4.2749999999999995</c:v>
                </c:pt>
                <c:pt idx="96">
                  <c:v>4.32</c:v>
                </c:pt>
                <c:pt idx="97">
                  <c:v>4.3650000000000002</c:v>
                </c:pt>
                <c:pt idx="98">
                  <c:v>4.41</c:v>
                </c:pt>
                <c:pt idx="99">
                  <c:v>4.4550000000000001</c:v>
                </c:pt>
                <c:pt idx="100">
                  <c:v>4.5</c:v>
                </c:pt>
                <c:pt idx="101">
                  <c:v>4.5449999999999999</c:v>
                </c:pt>
                <c:pt idx="102">
                  <c:v>4.59</c:v>
                </c:pt>
                <c:pt idx="103">
                  <c:v>4.6349999999999998</c:v>
                </c:pt>
                <c:pt idx="104">
                  <c:v>4.68</c:v>
                </c:pt>
                <c:pt idx="105">
                  <c:v>4.7250000000000005</c:v>
                </c:pt>
                <c:pt idx="106">
                  <c:v>4.7700000000000005</c:v>
                </c:pt>
                <c:pt idx="107">
                  <c:v>4.8150000000000004</c:v>
                </c:pt>
                <c:pt idx="108">
                  <c:v>4.8600000000000003</c:v>
                </c:pt>
                <c:pt idx="109">
                  <c:v>4.9050000000000002</c:v>
                </c:pt>
                <c:pt idx="110">
                  <c:v>4.95</c:v>
                </c:pt>
                <c:pt idx="111">
                  <c:v>4.9950000000000001</c:v>
                </c:pt>
                <c:pt idx="112">
                  <c:v>5.0400000000000009</c:v>
                </c:pt>
                <c:pt idx="113">
                  <c:v>5.0849999999999991</c:v>
                </c:pt>
                <c:pt idx="114">
                  <c:v>5.13</c:v>
                </c:pt>
                <c:pt idx="115">
                  <c:v>5.1749999999999998</c:v>
                </c:pt>
                <c:pt idx="116">
                  <c:v>5.22</c:v>
                </c:pt>
                <c:pt idx="117">
                  <c:v>5.2649999999999997</c:v>
                </c:pt>
                <c:pt idx="118">
                  <c:v>5.31</c:v>
                </c:pt>
                <c:pt idx="119">
                  <c:v>5.3549999999999995</c:v>
                </c:pt>
                <c:pt idx="120">
                  <c:v>5.3999999999999995</c:v>
                </c:pt>
                <c:pt idx="121">
                  <c:v>5.4450000000000003</c:v>
                </c:pt>
                <c:pt idx="122">
                  <c:v>5.49</c:v>
                </c:pt>
                <c:pt idx="123">
                  <c:v>5.5350000000000001</c:v>
                </c:pt>
                <c:pt idx="124">
                  <c:v>5.58</c:v>
                </c:pt>
                <c:pt idx="125">
                  <c:v>5.625</c:v>
                </c:pt>
                <c:pt idx="126">
                  <c:v>5.67</c:v>
                </c:pt>
                <c:pt idx="127">
                  <c:v>5.7149999999999999</c:v>
                </c:pt>
                <c:pt idx="128">
                  <c:v>5.76</c:v>
                </c:pt>
                <c:pt idx="129">
                  <c:v>5.8049999999999997</c:v>
                </c:pt>
                <c:pt idx="130">
                  <c:v>5.8500000000000005</c:v>
                </c:pt>
                <c:pt idx="131">
                  <c:v>5.8950000000000005</c:v>
                </c:pt>
                <c:pt idx="132">
                  <c:v>5.94</c:v>
                </c:pt>
                <c:pt idx="133">
                  <c:v>5.9850000000000003</c:v>
                </c:pt>
                <c:pt idx="134">
                  <c:v>6.03</c:v>
                </c:pt>
                <c:pt idx="135">
                  <c:v>6.0750000000000002</c:v>
                </c:pt>
                <c:pt idx="136">
                  <c:v>6.12</c:v>
                </c:pt>
                <c:pt idx="137">
                  <c:v>6.1650000000000009</c:v>
                </c:pt>
                <c:pt idx="138">
                  <c:v>6.2099999999999991</c:v>
                </c:pt>
                <c:pt idx="139">
                  <c:v>6.2549999999999999</c:v>
                </c:pt>
                <c:pt idx="140">
                  <c:v>6.3</c:v>
                </c:pt>
                <c:pt idx="141">
                  <c:v>6.3449999999999998</c:v>
                </c:pt>
                <c:pt idx="142">
                  <c:v>6.39</c:v>
                </c:pt>
                <c:pt idx="143">
                  <c:v>6.4349999999999996</c:v>
                </c:pt>
                <c:pt idx="144">
                  <c:v>6.4799999999999995</c:v>
                </c:pt>
                <c:pt idx="145">
                  <c:v>6.5249999999999995</c:v>
                </c:pt>
                <c:pt idx="146">
                  <c:v>6.57</c:v>
                </c:pt>
                <c:pt idx="147">
                  <c:v>6.6150000000000002</c:v>
                </c:pt>
                <c:pt idx="148">
                  <c:v>6.66</c:v>
                </c:pt>
                <c:pt idx="149">
                  <c:v>6.7050000000000001</c:v>
                </c:pt>
                <c:pt idx="150">
                  <c:v>6.75</c:v>
                </c:pt>
                <c:pt idx="151">
                  <c:v>6.7949999999999999</c:v>
                </c:pt>
                <c:pt idx="152">
                  <c:v>6.84</c:v>
                </c:pt>
                <c:pt idx="153">
                  <c:v>6.8849999999999998</c:v>
                </c:pt>
                <c:pt idx="154">
                  <c:v>6.93</c:v>
                </c:pt>
                <c:pt idx="155">
                  <c:v>6.9750000000000005</c:v>
                </c:pt>
                <c:pt idx="156">
                  <c:v>7.0200000000000005</c:v>
                </c:pt>
                <c:pt idx="157">
                  <c:v>7.0650000000000004</c:v>
                </c:pt>
                <c:pt idx="158">
                  <c:v>7.11</c:v>
                </c:pt>
                <c:pt idx="159">
                  <c:v>7.1550000000000002</c:v>
                </c:pt>
                <c:pt idx="160">
                  <c:v>7.2</c:v>
                </c:pt>
                <c:pt idx="161">
                  <c:v>7.2450000000000001</c:v>
                </c:pt>
                <c:pt idx="162">
                  <c:v>7.2900000000000009</c:v>
                </c:pt>
                <c:pt idx="163">
                  <c:v>7.3349999999999991</c:v>
                </c:pt>
                <c:pt idx="164">
                  <c:v>7.38</c:v>
                </c:pt>
                <c:pt idx="165">
                  <c:v>7.4249999999999998</c:v>
                </c:pt>
                <c:pt idx="166">
                  <c:v>7.47</c:v>
                </c:pt>
                <c:pt idx="167">
                  <c:v>7.5149999999999997</c:v>
                </c:pt>
                <c:pt idx="168">
                  <c:v>7.56</c:v>
                </c:pt>
                <c:pt idx="169">
                  <c:v>7.6049999999999995</c:v>
                </c:pt>
                <c:pt idx="170">
                  <c:v>7.6499999999999995</c:v>
                </c:pt>
                <c:pt idx="171">
                  <c:v>7.6950000000000003</c:v>
                </c:pt>
                <c:pt idx="172">
                  <c:v>7.74</c:v>
                </c:pt>
                <c:pt idx="173">
                  <c:v>7.7850000000000001</c:v>
                </c:pt>
                <c:pt idx="174">
                  <c:v>7.83</c:v>
                </c:pt>
                <c:pt idx="175">
                  <c:v>7.875</c:v>
                </c:pt>
                <c:pt idx="176">
                  <c:v>7.92</c:v>
                </c:pt>
                <c:pt idx="177">
                  <c:v>7.9649999999999999</c:v>
                </c:pt>
                <c:pt idx="178">
                  <c:v>8.01</c:v>
                </c:pt>
                <c:pt idx="179">
                  <c:v>8.0549999999999997</c:v>
                </c:pt>
                <c:pt idx="180">
                  <c:v>8.1</c:v>
                </c:pt>
                <c:pt idx="181">
                  <c:v>8.1449999999999996</c:v>
                </c:pt>
                <c:pt idx="182">
                  <c:v>8.19</c:v>
                </c:pt>
                <c:pt idx="183">
                  <c:v>8.2349999999999994</c:v>
                </c:pt>
                <c:pt idx="184">
                  <c:v>8.2800000000000011</c:v>
                </c:pt>
                <c:pt idx="185">
                  <c:v>8.3250000000000011</c:v>
                </c:pt>
                <c:pt idx="186">
                  <c:v>8.370000000000001</c:v>
                </c:pt>
                <c:pt idx="187">
                  <c:v>8.4150000000000009</c:v>
                </c:pt>
                <c:pt idx="188">
                  <c:v>8.4599999999999991</c:v>
                </c:pt>
                <c:pt idx="189">
                  <c:v>8.504999999999999</c:v>
                </c:pt>
                <c:pt idx="190">
                  <c:v>8.5499999999999989</c:v>
                </c:pt>
                <c:pt idx="191">
                  <c:v>8.5949999999999989</c:v>
                </c:pt>
                <c:pt idx="192">
                  <c:v>8.64</c:v>
                </c:pt>
                <c:pt idx="193">
                  <c:v>8.6850000000000005</c:v>
                </c:pt>
                <c:pt idx="194">
                  <c:v>8.73</c:v>
                </c:pt>
                <c:pt idx="195">
                  <c:v>8.7750000000000004</c:v>
                </c:pt>
                <c:pt idx="196">
                  <c:v>8.82</c:v>
                </c:pt>
                <c:pt idx="197">
                  <c:v>8.8650000000000002</c:v>
                </c:pt>
                <c:pt idx="198">
                  <c:v>8.91</c:v>
                </c:pt>
                <c:pt idx="199">
                  <c:v>8.9550000000000001</c:v>
                </c:pt>
                <c:pt idx="200">
                  <c:v>9</c:v>
                </c:pt>
              </c:numCache>
            </c:numRef>
          </c:xVal>
          <c:yVal>
            <c:numRef>
              <c:f>'Power Calculations'!$AQ$9:$AQ$209</c:f>
              <c:numCache>
                <c:formatCode>0.00%</c:formatCode>
                <c:ptCount val="201"/>
                <c:pt idx="0">
                  <c:v>0</c:v>
                </c:pt>
                <c:pt idx="1">
                  <c:v>0.42007907790777033</c:v>
                </c:pt>
                <c:pt idx="2">
                  <c:v>0.591462564264299</c:v>
                </c:pt>
                <c:pt idx="3">
                  <c:v>0.6845261285180948</c:v>
                </c:pt>
                <c:pt idx="4">
                  <c:v>0.74295014445019558</c:v>
                </c:pt>
                <c:pt idx="5">
                  <c:v>0.78302517006018968</c:v>
                </c:pt>
                <c:pt idx="6">
                  <c:v>0.81221107534814851</c:v>
                </c:pt>
                <c:pt idx="7">
                  <c:v>0.83440653485113081</c:v>
                </c:pt>
                <c:pt idx="8">
                  <c:v>0.85184750795635544</c:v>
                </c:pt>
                <c:pt idx="9">
                  <c:v>0.86590823328217226</c:v>
                </c:pt>
                <c:pt idx="10">
                  <c:v>0.8774798715977602</c:v>
                </c:pt>
                <c:pt idx="11">
                  <c:v>0.88716562463609239</c:v>
                </c:pt>
                <c:pt idx="12">
                  <c:v>0.89538835059025501</c:v>
                </c:pt>
                <c:pt idx="13">
                  <c:v>0.90245327454682966</c:v>
                </c:pt>
                <c:pt idx="14">
                  <c:v>0.90858623302900166</c:v>
                </c:pt>
                <c:pt idx="15">
                  <c:v>0.91395790875254379</c:v>
                </c:pt>
                <c:pt idx="16">
                  <c:v>0.91806673247499004</c:v>
                </c:pt>
                <c:pt idx="17">
                  <c:v>0.92161336661740634</c:v>
                </c:pt>
                <c:pt idx="18">
                  <c:v>0.92480336032994848</c:v>
                </c:pt>
                <c:pt idx="19">
                  <c:v>0.92768998488362642</c:v>
                </c:pt>
                <c:pt idx="20">
                  <c:v>0.93031640187295461</c:v>
                </c:pt>
                <c:pt idx="21">
                  <c:v>0.93271795323826356</c:v>
                </c:pt>
                <c:pt idx="22">
                  <c:v>0.93492385578992665</c:v>
                </c:pt>
                <c:pt idx="23">
                  <c:v>0.93695847339241356</c:v>
                </c:pt>
                <c:pt idx="24">
                  <c:v>0.9388422847175999</c:v>
                </c:pt>
                <c:pt idx="25">
                  <c:v>0.94059262829896229</c:v>
                </c:pt>
                <c:pt idx="26">
                  <c:v>0.94222428246709766</c:v>
                </c:pt>
                <c:pt idx="27">
                  <c:v>0.94374992133842406</c:v>
                </c:pt>
                <c:pt idx="28">
                  <c:v>0.94518047669980676</c:v>
                </c:pt>
                <c:pt idx="29">
                  <c:v>0.94652542769319647</c:v>
                </c:pt>
                <c:pt idx="30">
                  <c:v>0.94779303456503772</c:v>
                </c:pt>
                <c:pt idx="31">
                  <c:v>0.94899052868830758</c:v>
                </c:pt>
                <c:pt idx="32">
                  <c:v>0.95012426811213113</c:v>
                </c:pt>
                <c:pt idx="33">
                  <c:v>0.95119986572096737</c:v>
                </c:pt>
                <c:pt idx="34">
                  <c:v>0.95222229547000647</c:v>
                </c:pt>
                <c:pt idx="35">
                  <c:v>0.95319598095107505</c:v>
                </c:pt>
                <c:pt idx="36">
                  <c:v>0.95412486962532173</c:v>
                </c:pt>
                <c:pt idx="37">
                  <c:v>0.95501486608620056</c:v>
                </c:pt>
                <c:pt idx="38">
                  <c:v>0.95587681182188233</c:v>
                </c:pt>
                <c:pt idx="39">
                  <c:v>0.95669064335896403</c:v>
                </c:pt>
                <c:pt idx="40">
                  <c:v>0.95745981604990993</c:v>
                </c:pt>
                <c:pt idx="41">
                  <c:v>0.95818745918455095</c:v>
                </c:pt>
                <c:pt idx="42">
                  <c:v>0.95887641348165487</c:v>
                </c:pt>
                <c:pt idx="43">
                  <c:v>0.9595292635224103</c:v>
                </c:pt>
                <c:pt idx="44">
                  <c:v>0.96014836590440666</c:v>
                </c:pt>
                <c:pt idx="45">
                  <c:v>0.96073587376066949</c:v>
                </c:pt>
                <c:pt idx="46">
                  <c:v>0.96129375817970175</c:v>
                </c:pt>
                <c:pt idx="47">
                  <c:v>0.96182382697402713</c:v>
                </c:pt>
                <c:pt idx="48">
                  <c:v>0.96232774117237818</c:v>
                </c:pt>
                <c:pt idx="49">
                  <c:v>0.96280702955120812</c:v>
                </c:pt>
                <c:pt idx="50">
                  <c:v>0.963263101472151</c:v>
                </c:pt>
                <c:pt idx="51">
                  <c:v>0.9636972582513994</c:v>
                </c:pt>
                <c:pt idx="52">
                  <c:v>0.96411070325317338</c:v>
                </c:pt>
                <c:pt idx="53">
                  <c:v>0.96450455087121967</c:v>
                </c:pt>
                <c:pt idx="54">
                  <c:v>0.964879834538652</c:v>
                </c:pt>
                <c:pt idx="55">
                  <c:v>0.96523751388655632</c:v>
                </c:pt>
                <c:pt idx="56">
                  <c:v>0.9655784811550302</c:v>
                </c:pt>
                <c:pt idx="57">
                  <c:v>0.96590356694613932</c:v>
                </c:pt>
                <c:pt idx="58">
                  <c:v>0.96621354539623705</c:v>
                </c:pt>
                <c:pt idx="59">
                  <c:v>0.96650913883484868</c:v>
                </c:pt>
                <c:pt idx="60">
                  <c:v>0.96679102198857991</c:v>
                </c:pt>
                <c:pt idx="61">
                  <c:v>0.96705982578101324</c:v>
                </c:pt>
                <c:pt idx="62">
                  <c:v>0.96731614077314731</c:v>
                </c:pt>
                <c:pt idx="63">
                  <c:v>0.96756052028339079</c:v>
                </c:pt>
                <c:pt idx="64">
                  <c:v>0.96779348322136538</c:v>
                </c:pt>
                <c:pt idx="65">
                  <c:v>0.96801551666564811</c:v>
                </c:pt>
                <c:pt idx="66">
                  <c:v>0.96822707821200604</c:v>
                </c:pt>
                <c:pt idx="67">
                  <c:v>0.96842859811557935</c:v>
                </c:pt>
                <c:pt idx="68">
                  <c:v>0.96862048124776601</c:v>
                </c:pt>
                <c:pt idx="69">
                  <c:v>0.96880310888620247</c:v>
                </c:pt>
                <c:pt idx="70">
                  <c:v>0.96897684035418052</c:v>
                </c:pt>
                <c:pt idx="71">
                  <c:v>0.96914201452403115</c:v>
                </c:pt>
                <c:pt idx="72">
                  <c:v>0.96929895119742915</c:v>
                </c:pt>
                <c:pt idx="73">
                  <c:v>0.96944795237417625</c:v>
                </c:pt>
                <c:pt idx="74">
                  <c:v>0.9695893034197961</c:v>
                </c:pt>
                <c:pt idx="75">
                  <c:v>0.96972327414119663</c:v>
                </c:pt>
                <c:pt idx="76">
                  <c:v>0.96985011977869295</c:v>
                </c:pt>
                <c:pt idx="77">
                  <c:v>0.96997008192184431</c:v>
                </c:pt>
                <c:pt idx="78">
                  <c:v>0.97008338935580374</c:v>
                </c:pt>
                <c:pt idx="79">
                  <c:v>0.97019025884421528</c:v>
                </c:pt>
                <c:pt idx="80">
                  <c:v>0.97029089585409956</c:v>
                </c:pt>
                <c:pt idx="81">
                  <c:v>0.97038549522764062</c:v>
                </c:pt>
                <c:pt idx="82">
                  <c:v>0.97047424180531561</c:v>
                </c:pt>
                <c:pt idx="83">
                  <c:v>0.97055731100438769</c:v>
                </c:pt>
                <c:pt idx="84">
                  <c:v>0.97063486935640719</c:v>
                </c:pt>
                <c:pt idx="85">
                  <c:v>0.97070707500702669</c:v>
                </c:pt>
                <c:pt idx="86">
                  <c:v>0.97077407818113237</c:v>
                </c:pt>
                <c:pt idx="87">
                  <c:v>0.97083602161602556</c:v>
                </c:pt>
                <c:pt idx="88">
                  <c:v>0.9708930409651404</c:v>
                </c:pt>
                <c:pt idx="89">
                  <c:v>0.97094526517456203</c:v>
                </c:pt>
                <c:pt idx="90">
                  <c:v>0.97099281683441707</c:v>
                </c:pt>
                <c:pt idx="91">
                  <c:v>0.97103581250702065</c:v>
                </c:pt>
                <c:pt idx="92">
                  <c:v>0.97107436303351002</c:v>
                </c:pt>
                <c:pt idx="93">
                  <c:v>0.97110857382053983</c:v>
                </c:pt>
                <c:pt idx="94">
                  <c:v>0.97113854510849074</c:v>
                </c:pt>
                <c:pt idx="95">
                  <c:v>0.97116437222251362</c:v>
                </c:pt>
                <c:pt idx="96">
                  <c:v>0.97118614580762652</c:v>
                </c:pt>
                <c:pt idx="97">
                  <c:v>0.97120395204898424</c:v>
                </c:pt>
                <c:pt idx="98">
                  <c:v>0.9712178728783436</c:v>
                </c:pt>
                <c:pt idx="99">
                  <c:v>0.97122798616767081</c:v>
                </c:pt>
                <c:pt idx="100">
                  <c:v>0.97123436591075996</c:v>
                </c:pt>
                <c:pt idx="101">
                  <c:v>0.97123708239366313</c:v>
                </c:pt>
                <c:pt idx="102">
                  <c:v>0.97123620235466901</c:v>
                </c:pt>
                <c:pt idx="103">
                  <c:v>0.97123178913451214</c:v>
                </c:pt>
                <c:pt idx="104">
                  <c:v>0.97122390281744131</c:v>
                </c:pt>
                <c:pt idx="105">
                  <c:v>0.97121260036372514</c:v>
                </c:pt>
                <c:pt idx="106">
                  <c:v>0.9711979357341346</c:v>
                </c:pt>
                <c:pt idx="107">
                  <c:v>0.97117996000689422</c:v>
                </c:pt>
                <c:pt idx="108">
                  <c:v>0.97115872148756432</c:v>
                </c:pt>
                <c:pt idx="109">
                  <c:v>0.97113426581227746</c:v>
                </c:pt>
                <c:pt idx="110">
                  <c:v>0.97110663604472081</c:v>
                </c:pt>
                <c:pt idx="111">
                  <c:v>0.97107587276723106</c:v>
                </c:pt>
                <c:pt idx="112">
                  <c:v>0.97104201416633773</c:v>
                </c:pt>
                <c:pt idx="113">
                  <c:v>0.97100509611306873</c:v>
                </c:pt>
                <c:pt idx="114">
                  <c:v>0.97096515223830537</c:v>
                </c:pt>
                <c:pt idx="115">
                  <c:v>0.97092221400346146</c:v>
                </c:pt>
                <c:pt idx="116">
                  <c:v>0.97087631076672876</c:v>
                </c:pt>
                <c:pt idx="117">
                  <c:v>0.97082746984512547</c:v>
                </c:pt>
                <c:pt idx="118">
                  <c:v>0.97077571657256034</c:v>
                </c:pt>
                <c:pt idx="119">
                  <c:v>0.97072107435411059</c:v>
                </c:pt>
                <c:pt idx="120">
                  <c:v>0.9706635647166989</c:v>
                </c:pt>
                <c:pt idx="121">
                  <c:v>0.97060320735634109</c:v>
                </c:pt>
                <c:pt idx="122">
                  <c:v>0.97054002018211949</c:v>
                </c:pt>
                <c:pt idx="123">
                  <c:v>0.97047401935703381</c:v>
                </c:pt>
                <c:pt idx="124">
                  <c:v>0.97040521933585899</c:v>
                </c:pt>
                <c:pt idx="125">
                  <c:v>0.97033363290013963</c:v>
                </c:pt>
                <c:pt idx="126">
                  <c:v>0.97025927119043487</c:v>
                </c:pt>
                <c:pt idx="127">
                  <c:v>0.97018214373591971</c:v>
                </c:pt>
                <c:pt idx="128">
                  <c:v>0.9701022584814416</c:v>
                </c:pt>
                <c:pt idx="129">
                  <c:v>0.97001962181212031</c:v>
                </c:pt>
                <c:pt idx="130">
                  <c:v>0.96993423857557703</c:v>
                </c:pt>
                <c:pt idx="131">
                  <c:v>0.96984611210186189</c:v>
                </c:pt>
                <c:pt idx="132">
                  <c:v>0.96975524422115433</c:v>
                </c:pt>
                <c:pt idx="133">
                  <c:v>0.9696616352792935</c:v>
                </c:pt>
                <c:pt idx="134">
                  <c:v>0.96956528415119458</c:v>
                </c:pt>
                <c:pt idx="135">
                  <c:v>0.9694661882522041</c:v>
                </c:pt>
                <c:pt idx="136">
                  <c:v>0.96936434354743262</c:v>
                </c:pt>
                <c:pt idx="137">
                  <c:v>0.96925974455910846</c:v>
                </c:pt>
                <c:pt idx="138">
                  <c:v>0.96915238437198015</c:v>
                </c:pt>
                <c:pt idx="139">
                  <c:v>0.96904225463680194</c:v>
                </c:pt>
                <c:pt idx="140">
                  <c:v>0.96892934557191834</c:v>
                </c:pt>
                <c:pt idx="141">
                  <c:v>0.96881364596297248</c:v>
                </c:pt>
                <c:pt idx="142">
                  <c:v>0.96869514316074579</c:v>
                </c:pt>
                <c:pt idx="143">
                  <c:v>0.96857382307714324</c:v>
                </c:pt>
                <c:pt idx="144">
                  <c:v>0.96844967017932482</c:v>
                </c:pt>
                <c:pt idx="145">
                  <c:v>0.96832266748198248</c:v>
                </c:pt>
                <c:pt idx="146">
                  <c:v>0.96819279653776269</c:v>
                </c:pt>
                <c:pt idx="147">
                  <c:v>0.96806003742581925</c:v>
                </c:pt>
                <c:pt idx="148">
                  <c:v>0.96792436873848609</c:v>
                </c:pt>
                <c:pt idx="149">
                  <c:v>0.96778576756605184</c:v>
                </c:pt>
                <c:pt idx="150">
                  <c:v>0.96764420947961272</c:v>
                </c:pt>
                <c:pt idx="151">
                  <c:v>0.96749966851197544</c:v>
                </c:pt>
                <c:pt idx="152">
                  <c:v>0.96735211713658054</c:v>
                </c:pt>
                <c:pt idx="153">
                  <c:v>0.96720152624440692</c:v>
                </c:pt>
                <c:pt idx="154">
                  <c:v>0.96704786511881835</c:v>
                </c:pt>
                <c:pt idx="155">
                  <c:v>0.96689110140830281</c:v>
                </c:pt>
                <c:pt idx="156">
                  <c:v>0.96673120109705513</c:v>
                </c:pt>
                <c:pt idx="157">
                  <c:v>0.96656812847334417</c:v>
                </c:pt>
                <c:pt idx="158">
                  <c:v>0.9664018460956032</c:v>
                </c:pt>
                <c:pt idx="159">
                  <c:v>0.96623231475617466</c:v>
                </c:pt>
                <c:pt idx="160">
                  <c:v>0.96605949344263475</c:v>
                </c:pt>
                <c:pt idx="161">
                  <c:v>0.9658833392966184</c:v>
                </c:pt>
                <c:pt idx="162">
                  <c:v>0.96570380757005625</c:v>
                </c:pt>
                <c:pt idx="163">
                  <c:v>0.96552085157873124</c:v>
                </c:pt>
                <c:pt idx="164">
                  <c:v>0.96533442265305325</c:v>
                </c:pt>
                <c:pt idx="165">
                  <c:v>0.96514447008594362</c:v>
                </c:pt>
                <c:pt idx="166">
                  <c:v>0.9649509410777124</c:v>
                </c:pt>
                <c:pt idx="167">
                  <c:v>0.96475378067780582</c:v>
                </c:pt>
                <c:pt idx="168">
                  <c:v>0.96455293172328715</c:v>
                </c:pt>
                <c:pt idx="169">
                  <c:v>0.96434833477391158</c:v>
                </c:pt>
                <c:pt idx="170">
                  <c:v>0.96413992804363946</c:v>
                </c:pt>
                <c:pt idx="171">
                  <c:v>0.9639276473284264</c:v>
                </c:pt>
                <c:pt idx="172">
                  <c:v>0.96371142593011472</c:v>
                </c:pt>
                <c:pt idx="173">
                  <c:v>0.96349119457624099</c:v>
                </c:pt>
                <c:pt idx="174">
                  <c:v>0.96326688133555805</c:v>
                </c:pt>
                <c:pt idx="175">
                  <c:v>0.96303841152906278</c:v>
                </c:pt>
                <c:pt idx="176">
                  <c:v>0.96280570763629869</c:v>
                </c:pt>
                <c:pt idx="177">
                  <c:v>0.96256868919669447</c:v>
                </c:pt>
                <c:pt idx="178">
                  <c:v>0.96232727270567631</c:v>
                </c:pt>
                <c:pt idx="179">
                  <c:v>0.96208137150528006</c:v>
                </c:pt>
                <c:pt idx="180">
                  <c:v>0.9618308956689674</c:v>
                </c:pt>
                <c:pt idx="181">
                  <c:v>0.96157575188032895</c:v>
                </c:pt>
                <c:pt idx="182">
                  <c:v>0.96131584330534015</c:v>
                </c:pt>
                <c:pt idx="183">
                  <c:v>0.96105106945780616</c:v>
                </c:pt>
                <c:pt idx="184">
                  <c:v>0.96078132605761279</c:v>
                </c:pt>
                <c:pt idx="185">
                  <c:v>0.96050650488137113</c:v>
                </c:pt>
                <c:pt idx="186">
                  <c:v>0.96022649360501233</c:v>
                </c:pt>
                <c:pt idx="187">
                  <c:v>0.95994117563786385</c:v>
                </c:pt>
                <c:pt idx="188">
                  <c:v>0.95965042994769911</c:v>
                </c:pt>
                <c:pt idx="189">
                  <c:v>0.95935413087621879</c:v>
                </c:pt>
                <c:pt idx="190">
                  <c:v>0.95905214794438365</c:v>
                </c:pt>
                <c:pt idx="191">
                  <c:v>0.95874434564697708</c:v>
                </c:pt>
                <c:pt idx="192">
                  <c:v>0.95843058323572539</c:v>
                </c:pt>
                <c:pt idx="193">
                  <c:v>0.95811071449026242</c:v>
                </c:pt>
                <c:pt idx="194">
                  <c:v>0.95778458747616468</c:v>
                </c:pt>
                <c:pt idx="195">
                  <c:v>0.95745204428923025</c:v>
                </c:pt>
                <c:pt idx="196">
                  <c:v>0.95711292078510934</c:v>
                </c:pt>
                <c:pt idx="197">
                  <c:v>0.95676704629332887</c:v>
                </c:pt>
                <c:pt idx="198">
                  <c:v>0.95641424331467662</c:v>
                </c:pt>
                <c:pt idx="199">
                  <c:v>0.95605432720083705</c:v>
                </c:pt>
                <c:pt idx="200">
                  <c:v>0.95568710581507377</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35"/>
</file>

<file path=xl/ctrlProps/ctrlProp5.xml><?xml version="1.0" encoding="utf-8"?>
<formControlPr xmlns="http://schemas.microsoft.com/office/spreadsheetml/2009/9/main" objectType="Spin" dx="16" fmlaLink="$E$67" max="100" min="1" page="10" val="5"/>
</file>

<file path=xl/ctrlProps/ctrlProp6.xml><?xml version="1.0" encoding="utf-8"?>
<formControlPr xmlns="http://schemas.microsoft.com/office/spreadsheetml/2009/9/main" objectType="Spin" dx="16" fmlaLink="$E$68" max="100" min="1" page="10" val="6"/>
</file>

<file path=xl/ctrlProps/ctrlProp7.xml><?xml version="1.0" encoding="utf-8"?>
<formControlPr xmlns="http://schemas.microsoft.com/office/spreadsheetml/2009/9/main" objectType="Spin" dx="16" fmlaLink="$E$69" inc="10" max="1000" min="100" page="10" val="1000"/>
</file>

<file path=xl/ctrlProps/ctrlProp8.xml><?xml version="1.0" encoding="utf-8"?>
<formControlPr xmlns="http://schemas.microsoft.com/office/spreadsheetml/2009/9/main" objectType="Spin" dx="16" fmlaLink="$E$70" inc="10" max="1000" min="100" page="10" val="166"/>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5"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2" val="0"/>
</file>

<file path=xl/ctrlProps/ctrlProp16.xml><?xml version="1.0" encoding="utf-8"?>
<formControlPr xmlns="http://schemas.microsoft.com/office/spreadsheetml/2009/9/main" objectType="Drop" dropLines="3" dropStyle="combo" dx="16" fmlaLink="$Q$40" fmlaRange="'Variable Management'!$L$69:$L$71" noThreeD="1" sel="2"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4" val="0"/>
</file>

<file path=xl/ctrlProps/ctrlProp34.xml><?xml version="1.0" encoding="utf-8"?>
<formControlPr xmlns="http://schemas.microsoft.com/office/spreadsheetml/2009/9/main" objectType="Drop" dropLines="5" dropStyle="combo" dx="16" fmlaLink="$Q$44" fmlaRange="'Variable Management'!$L$69:$L$73" noThreeD="1" sel="4"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10.jpeg"/><Relationship Id="rId7" Type="http://schemas.openxmlformats.org/officeDocument/2006/relationships/image" Target="../media/image14.emf"/><Relationship Id="rId2" Type="http://schemas.openxmlformats.org/officeDocument/2006/relationships/image" Target="../media/image9.emf"/><Relationship Id="rId1" Type="http://schemas.openxmlformats.org/officeDocument/2006/relationships/image" Target="../media/image8.jpeg"/><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74</xdr:row>
          <xdr:rowOff>9525</xdr:rowOff>
        </xdr:from>
        <xdr:to>
          <xdr:col>3</xdr:col>
          <xdr:colOff>9525</xdr:colOff>
          <xdr:row>77</xdr:row>
          <xdr:rowOff>19050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r-TR"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390525</xdr:colOff>
          <xdr:row>74</xdr:row>
          <xdr:rowOff>9525</xdr:rowOff>
        </xdr:from>
        <xdr:to>
          <xdr:col>3</xdr:col>
          <xdr:colOff>9525</xdr:colOff>
          <xdr:row>77</xdr:row>
          <xdr:rowOff>19050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r-TR" sz="900" b="1" i="0" u="none" strike="noStrike" baseline="0">
                  <a:solidFill>
                    <a:srgbClr val="000000"/>
                  </a:solidFill>
                  <a:latin typeface="Arial"/>
                  <a:cs typeface="Arial"/>
                </a:rPr>
                <a:t>FIX</a:t>
              </a:r>
            </a:p>
            <a:p>
              <a:pPr algn="ctr" rtl="0">
                <a:defRPr sz="1000"/>
              </a:pPr>
              <a:r>
                <a:rPr lang="tr-TR"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1695450</xdr:colOff>
          <xdr:row>0</xdr:row>
          <xdr:rowOff>447675</xdr:rowOff>
        </xdr:from>
        <xdr:to>
          <xdr:col>16</xdr:col>
          <xdr:colOff>2076450</xdr:colOff>
          <xdr:row>1</xdr:row>
          <xdr:rowOff>28575</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2545342</xdr:colOff>
          <xdr:row>33</xdr:row>
          <xdr:rowOff>46285</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232"/>
                </a:ext>
              </a:extLst>
            </xdr:cNvPicPr>
          </xdr:nvPicPr>
          <xdr:blipFill>
            <a:blip xmlns:r="http://schemas.openxmlformats.org/officeDocument/2006/relationships" r:embed="rId1"/>
            <a:stretch>
              <a:fillRect/>
            </a:stretch>
          </xdr:blipFill>
          <xdr:spPr>
            <a:xfrm>
              <a:off x="4145157" y="1377690"/>
              <a:ext cx="9094689" cy="5241673"/>
            </a:xfrm>
            <a:prstGeom prst="rect">
              <a:avLst/>
            </a:prstGeom>
          </xdr:spPr>
        </xdr:pic>
        <xdr:clientData/>
      </xdr:twoCellAnchor>
    </mc:Choice>
    <mc:Fallback/>
  </mc:AlternateContent>
  <xdr:twoCellAnchor editAs="absolute">
    <xdr:from>
      <xdr:col>6</xdr:col>
      <xdr:colOff>228601</xdr:colOff>
      <xdr:row>42</xdr:row>
      <xdr:rowOff>29120</xdr:rowOff>
    </xdr:from>
    <xdr:to>
      <xdr:col>16</xdr:col>
      <xdr:colOff>2217468</xdr:colOff>
      <xdr:row>69</xdr:row>
      <xdr:rowOff>20955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556558</xdr:colOff>
      <xdr:row>61</xdr:row>
      <xdr:rowOff>168096</xdr:rowOff>
    </xdr:from>
    <xdr:to>
      <xdr:col>10</xdr:col>
      <xdr:colOff>395010</xdr:colOff>
      <xdr:row>63</xdr:row>
      <xdr:rowOff>7107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922818" y="11940996"/>
          <a:ext cx="2132072" cy="21239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35 kHz</a:t>
          </a:fld>
          <a:endParaRPr lang="en-US" sz="1050" b="1" i="0" u="none" strike="noStrike" baseline="0">
            <a:solidFill>
              <a:srgbClr val="FF0000"/>
            </a:solidFill>
            <a:latin typeface="Arial"/>
            <a:cs typeface="Arial"/>
          </a:endParaRPr>
        </a:p>
      </xdr:txBody>
    </xdr:sp>
    <xdr:clientData/>
  </xdr:twoCellAnchor>
  <xdr:twoCellAnchor>
    <xdr:from>
      <xdr:col>7</xdr:col>
      <xdr:colOff>552320</xdr:colOff>
      <xdr:row>63</xdr:row>
      <xdr:rowOff>130042</xdr:rowOff>
    </xdr:from>
    <xdr:to>
      <xdr:col>9</xdr:col>
      <xdr:colOff>472440</xdr:colOff>
      <xdr:row>64</xdr:row>
      <xdr:rowOff>187504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918580" y="12276322"/>
          <a:ext cx="1360300" cy="25558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54°</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596595</xdr:colOff>
      <xdr:row>13</xdr:row>
      <xdr:rowOff>151039</xdr:rowOff>
    </xdr:from>
    <xdr:to>
      <xdr:col>7</xdr:col>
      <xdr:colOff>243939</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47980" y="2982162"/>
          <a:ext cx="274528" cy="22860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7</xdr:col>
      <xdr:colOff>4833</xdr:colOff>
      <xdr:row>11</xdr:row>
      <xdr:rowOff>3919</xdr:rowOff>
    </xdr:from>
    <xdr:to>
      <xdr:col>7</xdr:col>
      <xdr:colOff>283187</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83402" y="2459904"/>
          <a:ext cx="278354" cy="24632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1918678</xdr:colOff>
      <xdr:row>20</xdr:row>
      <xdr:rowOff>55039</xdr:rowOff>
    </xdr:from>
    <xdr:to>
      <xdr:col>16</xdr:col>
      <xdr:colOff>2340467</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613182" y="4169839"/>
          <a:ext cx="421789" cy="23203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500911</xdr:colOff>
      <xdr:row>29</xdr:row>
      <xdr:rowOff>74937</xdr:rowOff>
    </xdr:from>
    <xdr:to>
      <xdr:col>14</xdr:col>
      <xdr:colOff>363846</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287357" y="5977506"/>
          <a:ext cx="490120" cy="26769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996587</xdr:colOff>
      <xdr:row>14</xdr:row>
      <xdr:rowOff>242483</xdr:rowOff>
    </xdr:from>
    <xdr:to>
      <xdr:col>16</xdr:col>
      <xdr:colOff>1341658</xdr:colOff>
      <xdr:row>16</xdr:row>
      <xdr:rowOff>96723</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691091" y="3204344"/>
          <a:ext cx="345071" cy="27830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a:t>
          </a:r>
        </a:p>
      </xdr:txBody>
    </xdr:sp>
    <xdr:clientData/>
  </xdr:twoCellAnchor>
  <xdr:twoCellAnchor>
    <xdr:from>
      <xdr:col>16</xdr:col>
      <xdr:colOff>866398</xdr:colOff>
      <xdr:row>20</xdr:row>
      <xdr:rowOff>87726</xdr:rowOff>
    </xdr:from>
    <xdr:to>
      <xdr:col>16</xdr:col>
      <xdr:colOff>1192164</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560902" y="4202526"/>
          <a:ext cx="325766" cy="23123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359741</xdr:colOff>
      <xdr:row>26</xdr:row>
      <xdr:rowOff>21177</xdr:rowOff>
    </xdr:from>
    <xdr:to>
      <xdr:col>16</xdr:col>
      <xdr:colOff>41176</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400556" y="5396208"/>
          <a:ext cx="373097" cy="22823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450896</xdr:colOff>
      <xdr:row>13</xdr:row>
      <xdr:rowOff>86966</xdr:rowOff>
    </xdr:from>
    <xdr:to>
      <xdr:col>9</xdr:col>
      <xdr:colOff>775670</xdr:colOff>
      <xdr:row>14</xdr:row>
      <xdr:rowOff>191636</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71404" y="2918089"/>
          <a:ext cx="324774" cy="28051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291234</xdr:colOff>
      <xdr:row>19</xdr:row>
      <xdr:rowOff>37243</xdr:rowOff>
    </xdr:from>
    <xdr:to>
      <xdr:col>7</xdr:col>
      <xdr:colOff>686223</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69803" y="4017228"/>
          <a:ext cx="394989" cy="234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62964</xdr:colOff>
      <xdr:row>17</xdr:row>
      <xdr:rowOff>144748</xdr:rowOff>
    </xdr:from>
    <xdr:to>
      <xdr:col>8</xdr:col>
      <xdr:colOff>331120</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56287" y="3755456"/>
          <a:ext cx="268156" cy="21849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76163</xdr:colOff>
      <xdr:row>13</xdr:row>
      <xdr:rowOff>129764</xdr:rowOff>
    </xdr:from>
    <xdr:to>
      <xdr:col>8</xdr:col>
      <xdr:colOff>415626</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69486" y="2960887"/>
          <a:ext cx="339463" cy="24605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353305</xdr:colOff>
      <xdr:row>27</xdr:row>
      <xdr:rowOff>76189</xdr:rowOff>
    </xdr:from>
    <xdr:to>
      <xdr:col>16</xdr:col>
      <xdr:colOff>79973</xdr:colOff>
      <xdr:row>28</xdr:row>
      <xdr:rowOff>165468</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394120" y="5627066"/>
          <a:ext cx="418330" cy="26512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4,7nF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528573</xdr:colOff>
      <xdr:row>17</xdr:row>
      <xdr:rowOff>145320</xdr:rowOff>
    </xdr:from>
    <xdr:to>
      <xdr:col>9</xdr:col>
      <xdr:colOff>373520</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721896" y="3756028"/>
          <a:ext cx="472132" cy="225619"/>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751046</xdr:colOff>
      <xdr:row>14</xdr:row>
      <xdr:rowOff>168174</xdr:rowOff>
    </xdr:from>
    <xdr:to>
      <xdr:col>8</xdr:col>
      <xdr:colOff>475416</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129615" y="3175143"/>
          <a:ext cx="539124" cy="232960"/>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6,65kΩ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608891</xdr:colOff>
      <xdr:row>20</xdr:row>
      <xdr:rowOff>92775</xdr:rowOff>
    </xdr:from>
    <xdr:to>
      <xdr:col>7</xdr:col>
      <xdr:colOff>592711</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60276" y="4266190"/>
          <a:ext cx="611004" cy="243286"/>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1,58kΩ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490702</xdr:colOff>
      <xdr:row>12</xdr:row>
      <xdr:rowOff>37083</xdr:rowOff>
    </xdr:from>
    <xdr:to>
      <xdr:col>7</xdr:col>
      <xdr:colOff>277268</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242087" y="2668914"/>
          <a:ext cx="413750" cy="274578"/>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768Ω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450615</xdr:colOff>
      <xdr:row>14</xdr:row>
      <xdr:rowOff>178913</xdr:rowOff>
    </xdr:from>
    <xdr:to>
      <xdr:col>7</xdr:col>
      <xdr:colOff>319549</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202000" y="3185882"/>
          <a:ext cx="496118" cy="194179"/>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1000pF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1834680</xdr:colOff>
      <xdr:row>21</xdr:row>
      <xdr:rowOff>108054</xdr:rowOff>
    </xdr:from>
    <xdr:to>
      <xdr:col>16</xdr:col>
      <xdr:colOff>2524681</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529184" y="4415011"/>
          <a:ext cx="690001" cy="23993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4 x 22µF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26,4kΩ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493518</xdr:colOff>
      <xdr:row>30</xdr:row>
      <xdr:rowOff>59671</xdr:rowOff>
    </xdr:from>
    <xdr:to>
      <xdr:col>14</xdr:col>
      <xdr:colOff>454588</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279964" y="6190840"/>
          <a:ext cx="588255" cy="222017"/>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562Ω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958420</xdr:colOff>
      <xdr:row>17</xdr:row>
      <xdr:rowOff>139630</xdr:rowOff>
    </xdr:from>
    <xdr:to>
      <xdr:col>16</xdr:col>
      <xdr:colOff>1420200</xdr:colOff>
      <xdr:row>19</xdr:row>
      <xdr:rowOff>49126</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652924" y="3697839"/>
          <a:ext cx="461780" cy="273930"/>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6,8µH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820892</xdr:colOff>
      <xdr:row>21</xdr:row>
      <xdr:rowOff>101486</xdr:rowOff>
    </xdr:from>
    <xdr:to>
      <xdr:col>16</xdr:col>
      <xdr:colOff>1458918</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515396" y="4408443"/>
          <a:ext cx="638026" cy="23117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7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403006</xdr:colOff>
      <xdr:row>14</xdr:row>
      <xdr:rowOff>183310</xdr:rowOff>
    </xdr:from>
    <xdr:to>
      <xdr:col>9</xdr:col>
      <xdr:colOff>756630</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223514" y="3190279"/>
          <a:ext cx="353624" cy="239890"/>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47nF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782099</xdr:colOff>
      <xdr:row>9</xdr:row>
      <xdr:rowOff>124531</xdr:rowOff>
    </xdr:from>
    <xdr:to>
      <xdr:col>16</xdr:col>
      <xdr:colOff>1150439</xdr:colOff>
      <xdr:row>11</xdr:row>
      <xdr:rowOff>19472</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476603" y="2198496"/>
          <a:ext cx="368340" cy="239498"/>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30V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2153596</xdr:colOff>
      <xdr:row>18</xdr:row>
      <xdr:rowOff>89339</xdr:rowOff>
    </xdr:from>
    <xdr:to>
      <xdr:col>16</xdr:col>
      <xdr:colOff>2438400</xdr:colOff>
      <xdr:row>19</xdr:row>
      <xdr:rowOff>141401</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848100" y="3819826"/>
          <a:ext cx="284804" cy="244218"/>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14V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2093962</xdr:colOff>
      <xdr:row>19</xdr:row>
      <xdr:rowOff>116485</xdr:rowOff>
    </xdr:from>
    <xdr:to>
      <xdr:col>16</xdr:col>
      <xdr:colOff>2564296</xdr:colOff>
      <xdr:row>20</xdr:row>
      <xdr:rowOff>172500</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788466" y="4039128"/>
          <a:ext cx="470334" cy="248172"/>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9A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609638</xdr:colOff>
      <xdr:row>10</xdr:row>
      <xdr:rowOff>38586</xdr:rowOff>
    </xdr:from>
    <xdr:to>
      <xdr:col>10</xdr:col>
      <xdr:colOff>139318</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430146" y="2318724"/>
          <a:ext cx="385464" cy="26111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474919</xdr:colOff>
      <xdr:row>11</xdr:row>
      <xdr:rowOff>83690</xdr:rowOff>
    </xdr:from>
    <xdr:to>
      <xdr:col>10</xdr:col>
      <xdr:colOff>156634</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95427" y="2539675"/>
          <a:ext cx="537499" cy="243306"/>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30,1kΩ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290845</xdr:colOff>
      <xdr:row>18</xdr:row>
      <xdr:rowOff>62727</xdr:rowOff>
    </xdr:from>
    <xdr:to>
      <xdr:col>16</xdr:col>
      <xdr:colOff>609880</xdr:colOff>
      <xdr:row>19</xdr:row>
      <xdr:rowOff>176994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1023322" y="3849281"/>
          <a:ext cx="319035" cy="30769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239500</xdr:colOff>
      <xdr:row>13</xdr:row>
      <xdr:rowOff>17014</xdr:rowOff>
    </xdr:from>
    <xdr:to>
      <xdr:col>16</xdr:col>
      <xdr:colOff>562345</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934004" y="2806597"/>
          <a:ext cx="322845" cy="26812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11</xdr:col>
      <xdr:colOff>38412</xdr:colOff>
      <xdr:row>6</xdr:row>
      <xdr:rowOff>39262</xdr:rowOff>
    </xdr:from>
    <xdr:to>
      <xdr:col>11</xdr:col>
      <xdr:colOff>607274</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313855" y="1596392"/>
          <a:ext cx="568862" cy="216689"/>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8,25kΩ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210793</xdr:colOff>
      <xdr:row>5</xdr:row>
      <xdr:rowOff>8247</xdr:rowOff>
    </xdr:from>
    <xdr:to>
      <xdr:col>11</xdr:col>
      <xdr:colOff>631862</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486236" y="1393099"/>
          <a:ext cx="421069" cy="2026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787842</xdr:colOff>
      <xdr:row>6</xdr:row>
      <xdr:rowOff>29009</xdr:rowOff>
    </xdr:from>
    <xdr:to>
      <xdr:col>12</xdr:col>
      <xdr:colOff>521557</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8063285" y="1586139"/>
          <a:ext cx="588481" cy="208977"/>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200kΩ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12</xdr:col>
      <xdr:colOff>66917</xdr:colOff>
      <xdr:row>4</xdr:row>
      <xdr:rowOff>242103</xdr:rowOff>
    </xdr:from>
    <xdr:to>
      <xdr:col>12</xdr:col>
      <xdr:colOff>501223</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197126" y="1375164"/>
          <a:ext cx="434306" cy="21084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932560</xdr:colOff>
      <xdr:row>18</xdr:row>
      <xdr:rowOff>171948</xdr:rowOff>
    </xdr:from>
    <xdr:to>
      <xdr:col>16</xdr:col>
      <xdr:colOff>1454388</xdr:colOff>
      <xdr:row>20</xdr:row>
      <xdr:rowOff>67046</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627064" y="3902435"/>
          <a:ext cx="521828" cy="2794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0,88mΩ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12</xdr:col>
      <xdr:colOff>52938</xdr:colOff>
      <xdr:row>28</xdr:row>
      <xdr:rowOff>53618</xdr:rowOff>
    </xdr:from>
    <xdr:to>
      <xdr:col>12</xdr:col>
      <xdr:colOff>560576</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183147" y="5705670"/>
          <a:ext cx="507638" cy="22945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12</xdr:col>
      <xdr:colOff>70286</xdr:colOff>
      <xdr:row>29</xdr:row>
      <xdr:rowOff>62180</xdr:rowOff>
    </xdr:from>
    <xdr:to>
      <xdr:col>13</xdr:col>
      <xdr:colOff>78514</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200495" y="5886510"/>
          <a:ext cx="631080" cy="24822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161925</xdr:rowOff>
        </xdr:from>
        <xdr:to>
          <xdr:col>5</xdr:col>
          <xdr:colOff>180975</xdr:colOff>
          <xdr:row>61</xdr:row>
          <xdr:rowOff>9525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180975</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180975</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180975</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180975</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288536</xdr:colOff>
      <xdr:row>0</xdr:row>
      <xdr:rowOff>590091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9525</xdr:colOff>
          <xdr:row>23</xdr:row>
          <xdr:rowOff>0</xdr:rowOff>
        </xdr:from>
        <xdr:to>
          <xdr:col>1</xdr:col>
          <xdr:colOff>523875</xdr:colOff>
          <xdr:row>24</xdr:row>
          <xdr:rowOff>0</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298909</xdr:colOff>
      <xdr:row>23</xdr:row>
      <xdr:rowOff>61229</xdr:rowOff>
    </xdr:from>
    <xdr:to>
      <xdr:col>16</xdr:col>
      <xdr:colOff>872596</xdr:colOff>
      <xdr:row>24</xdr:row>
      <xdr:rowOff>177965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993413" y="4792255"/>
          <a:ext cx="573687" cy="308893"/>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363679</xdr:colOff>
      <xdr:row>22</xdr:row>
      <xdr:rowOff>94847</xdr:rowOff>
    </xdr:from>
    <xdr:to>
      <xdr:col>16</xdr:col>
      <xdr:colOff>937366</xdr:colOff>
      <xdr:row>23</xdr:row>
      <xdr:rowOff>70014</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58183" y="4574082"/>
          <a:ext cx="573687" cy="226958"/>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83</xdr:row>
      <xdr:rowOff>175260</xdr:rowOff>
    </xdr:from>
    <xdr:to>
      <xdr:col>16</xdr:col>
      <xdr:colOff>1212518</xdr:colOff>
      <xdr:row>84</xdr:row>
      <xdr:rowOff>177165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496675" y="16253460"/>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95,6%</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165735</xdr:rowOff>
    </xdr:from>
    <xdr:to>
      <xdr:col>13</xdr:col>
      <xdr:colOff>79043</xdr:colOff>
      <xdr:row>84</xdr:row>
      <xdr:rowOff>167640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404860" y="16243935"/>
          <a:ext cx="43718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97,1%</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313720</xdr:colOff>
      <xdr:row>30</xdr:row>
      <xdr:rowOff>13788</xdr:rowOff>
    </xdr:from>
    <xdr:to>
      <xdr:col>13</xdr:col>
      <xdr:colOff>170962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443929" y="6070031"/>
          <a:ext cx="480094" cy="265988"/>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305913</xdr:colOff>
      <xdr:row>31</xdr:row>
      <xdr:rowOff>50238</xdr:rowOff>
    </xdr:from>
    <xdr:to>
      <xdr:col>13</xdr:col>
      <xdr:colOff>261683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436122" y="6278760"/>
          <a:ext cx="578622" cy="218448"/>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8,2pF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776226</xdr:colOff>
      <xdr:row>11</xdr:row>
      <xdr:rowOff>8003</xdr:rowOff>
    </xdr:from>
    <xdr:to>
      <xdr:col>16</xdr:col>
      <xdr:colOff>1924606</xdr:colOff>
      <xdr:row>12</xdr:row>
      <xdr:rowOff>69775</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470730" y="2426525"/>
          <a:ext cx="1148380" cy="23405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24V to 36V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57918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967741</xdr:colOff>
      <xdr:row>0</xdr:row>
      <xdr:rowOff>627487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171450</xdr:rowOff>
        </xdr:from>
        <xdr:to>
          <xdr:col>6</xdr:col>
          <xdr:colOff>0</xdr:colOff>
          <xdr:row>4</xdr:row>
          <xdr:rowOff>238125</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676602</xdr:colOff>
      <xdr:row>17</xdr:row>
      <xdr:rowOff>112251</xdr:rowOff>
    </xdr:from>
    <xdr:to>
      <xdr:col>13</xdr:col>
      <xdr:colOff>228600</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751378" y="3679199"/>
          <a:ext cx="990601" cy="35444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200" b="1" i="0" u="none" strike="noStrike" baseline="0">
              <a:solidFill>
                <a:srgbClr val="FF0000"/>
              </a:solidFill>
              <a:latin typeface="Arial"/>
              <a:cs typeface="Arial"/>
            </a:rPr>
            <a:pPr algn="ctr" rtl="0">
              <a:defRPr sz="1000"/>
            </a:pPr>
            <a:t>LM5146-Q1</a:t>
          </a:fld>
          <a:endParaRPr lang="en-US" sz="18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xdr:colOff>
          <xdr:row>106</xdr:row>
          <xdr:rowOff>0</xdr:rowOff>
        </xdr:from>
        <xdr:to>
          <xdr:col>2</xdr:col>
          <xdr:colOff>200025</xdr:colOff>
          <xdr:row>107</xdr:row>
          <xdr:rowOff>38100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54°</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200025</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200025</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200025</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200025</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200025</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200025</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200025</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200025</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200025</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200025</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200025</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200025</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200025</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200025</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200025</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200025</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200025</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200025</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200025</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200025</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200025</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200025</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200025</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48</xdr:row>
          <xdr:rowOff>9525</xdr:rowOff>
        </xdr:from>
        <xdr:to>
          <xdr:col>6</xdr:col>
          <xdr:colOff>638175</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49</xdr:row>
          <xdr:rowOff>0</xdr:rowOff>
        </xdr:from>
        <xdr:to>
          <xdr:col>6</xdr:col>
          <xdr:colOff>638175</xdr:colOff>
          <xdr:row>49</xdr:row>
          <xdr:rowOff>200025</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188260</xdr:colOff>
          <xdr:row>1</xdr:row>
          <xdr:rowOff>2526</xdr:rowOff>
        </xdr:from>
        <xdr:to>
          <xdr:col>8</xdr:col>
          <xdr:colOff>837417</xdr:colOff>
          <xdr:row>32</xdr:row>
          <xdr:rowOff>64158</xdr:rowOff>
        </xdr:to>
        <xdr:pic>
          <xdr:nvPicPr>
            <xdr:cNvPr id="78" name="Picture 77">
              <a:extLst>
                <a:ext uri="{FF2B5EF4-FFF2-40B4-BE49-F238E27FC236}">
                  <a16:creationId xmlns:a16="http://schemas.microsoft.com/office/drawing/2014/main" id="{00000000-0008-0000-0100-00004E000000}"/>
                </a:ext>
              </a:extLst>
            </xdr:cNvPr>
            <xdr:cNvPicPr>
              <a:picLocks noChangeAspect="1"/>
              <a:extLst>
                <a:ext uri="{84589F7E-364E-4C9E-8A38-B11213B215E9}">
                  <a14:cameraTool cellRange="PICTURE10" spid="_x0000_s674750"/>
                </a:ext>
              </a:extLst>
            </xdr:cNvPicPr>
          </xdr:nvPicPr>
          <xdr:blipFill>
            <a:blip xmlns:r="http://schemas.openxmlformats.org/officeDocument/2006/relationships" r:embed="rId1"/>
            <a:stretch>
              <a:fillRect/>
            </a:stretch>
          </xdr:blipFill>
          <xdr:spPr>
            <a:xfrm>
              <a:off x="188260" y="172855"/>
              <a:ext cx="9111839" cy="5341844"/>
            </a:xfrm>
            <a:prstGeom prst="rect">
              <a:avLst/>
            </a:prstGeom>
          </xdr:spPr>
        </xdr:pic>
        <xdr:clientData/>
      </xdr:twoCellAnchor>
    </mc:Choice>
    <mc:Fallback/>
  </mc:AlternateContent>
  <xdr:twoCellAnchor>
    <xdr:from>
      <xdr:col>0</xdr:col>
      <xdr:colOff>376811</xdr:colOff>
      <xdr:row>10</xdr:row>
      <xdr:rowOff>79265</xdr:rowOff>
    </xdr:from>
    <xdr:to>
      <xdr:col>1</xdr:col>
      <xdr:colOff>60013</xdr:colOff>
      <xdr:row>11</xdr:row>
      <xdr:rowOff>140986</xdr:rowOff>
    </xdr:to>
    <xdr:sp macro="" textlink="">
      <xdr:nvSpPr>
        <xdr:cNvPr id="79" name="Text Box 224">
          <a:extLst>
            <a:ext uri="{FF2B5EF4-FFF2-40B4-BE49-F238E27FC236}">
              <a16:creationId xmlns:a16="http://schemas.microsoft.com/office/drawing/2014/main" id="{00000000-0008-0000-0100-00004F000000}"/>
            </a:ext>
          </a:extLst>
        </xdr:cNvPr>
        <xdr:cNvSpPr txBox="1">
          <a:spLocks noChangeArrowheads="1"/>
        </xdr:cNvSpPr>
      </xdr:nvSpPr>
      <xdr:spPr bwMode="auto">
        <a:xfrm>
          <a:off x="376811" y="1782559"/>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575880</xdr:colOff>
      <xdr:row>7</xdr:row>
      <xdr:rowOff>102794</xdr:rowOff>
    </xdr:from>
    <xdr:to>
      <xdr:col>1</xdr:col>
      <xdr:colOff>944395</xdr:colOff>
      <xdr:row>8</xdr:row>
      <xdr:rowOff>142124</xdr:rowOff>
    </xdr:to>
    <xdr:sp macro="" textlink="">
      <xdr:nvSpPr>
        <xdr:cNvPr id="80" name="Text Box 225">
          <a:extLst>
            <a:ext uri="{FF2B5EF4-FFF2-40B4-BE49-F238E27FC236}">
              <a16:creationId xmlns:a16="http://schemas.microsoft.com/office/drawing/2014/main" id="{00000000-0008-0000-0100-000050000000}"/>
            </a:ext>
          </a:extLst>
        </xdr:cNvPr>
        <xdr:cNvSpPr txBox="1">
          <a:spLocks noChangeArrowheads="1"/>
        </xdr:cNvSpPr>
      </xdr:nvSpPr>
      <xdr:spPr bwMode="auto">
        <a:xfrm>
          <a:off x="1167551" y="1295100"/>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412578</xdr:colOff>
      <xdr:row>7</xdr:row>
      <xdr:rowOff>66616</xdr:rowOff>
    </xdr:from>
    <xdr:to>
      <xdr:col>1</xdr:col>
      <xdr:colOff>99261</xdr:colOff>
      <xdr:row>8</xdr:row>
      <xdr:rowOff>146060</xdr:rowOff>
    </xdr:to>
    <xdr:sp macro="" textlink="">
      <xdr:nvSpPr>
        <xdr:cNvPr id="81" name="Text Box 227">
          <a:extLst>
            <a:ext uri="{FF2B5EF4-FFF2-40B4-BE49-F238E27FC236}">
              <a16:creationId xmlns:a16="http://schemas.microsoft.com/office/drawing/2014/main" id="{00000000-0008-0000-0100-000051000000}"/>
            </a:ext>
          </a:extLst>
        </xdr:cNvPr>
        <xdr:cNvSpPr txBox="1">
          <a:spLocks noChangeArrowheads="1"/>
        </xdr:cNvSpPr>
      </xdr:nvSpPr>
      <xdr:spPr bwMode="auto">
        <a:xfrm>
          <a:off x="412578" y="1258922"/>
          <a:ext cx="278354"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210753</xdr:colOff>
      <xdr:row>17</xdr:row>
      <xdr:rowOff>135665</xdr:rowOff>
    </xdr:from>
    <xdr:to>
      <xdr:col>8</xdr:col>
      <xdr:colOff>632542</xdr:colOff>
      <xdr:row>19</xdr:row>
      <xdr:rowOff>23142</xdr:rowOff>
    </xdr:to>
    <xdr:sp macro="" textlink="">
      <xdr:nvSpPr>
        <xdr:cNvPr id="82" name="Text Box 228">
          <a:extLst>
            <a:ext uri="{FF2B5EF4-FFF2-40B4-BE49-F238E27FC236}">
              <a16:creationId xmlns:a16="http://schemas.microsoft.com/office/drawing/2014/main" id="{00000000-0008-0000-0100-000052000000}"/>
            </a:ext>
          </a:extLst>
        </xdr:cNvPr>
        <xdr:cNvSpPr txBox="1">
          <a:spLocks noChangeArrowheads="1"/>
        </xdr:cNvSpPr>
      </xdr:nvSpPr>
      <xdr:spPr bwMode="auto">
        <a:xfrm>
          <a:off x="8673435" y="3031265"/>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5</xdr:col>
      <xdr:colOff>21151</xdr:colOff>
      <xdr:row>28</xdr:row>
      <xdr:rowOff>3163</xdr:rowOff>
    </xdr:from>
    <xdr:to>
      <xdr:col>5</xdr:col>
      <xdr:colOff>511615</xdr:colOff>
      <xdr:row>29</xdr:row>
      <xdr:rowOff>105010</xdr:rowOff>
    </xdr:to>
    <xdr:sp macro="" textlink="">
      <xdr:nvSpPr>
        <xdr:cNvPr id="83" name="Text Box 231">
          <a:extLst>
            <a:ext uri="{FF2B5EF4-FFF2-40B4-BE49-F238E27FC236}">
              <a16:creationId xmlns:a16="http://schemas.microsoft.com/office/drawing/2014/main" id="{00000000-0008-0000-0100-000053000000}"/>
            </a:ext>
          </a:extLst>
        </xdr:cNvPr>
        <xdr:cNvSpPr txBox="1">
          <a:spLocks noChangeArrowheads="1"/>
        </xdr:cNvSpPr>
      </xdr:nvSpPr>
      <xdr:spPr bwMode="auto">
        <a:xfrm>
          <a:off x="5310327" y="4772387"/>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391320</xdr:colOff>
      <xdr:row>12</xdr:row>
      <xdr:rowOff>9344</xdr:rowOff>
    </xdr:from>
    <xdr:to>
      <xdr:col>7</xdr:col>
      <xdr:colOff>736391</xdr:colOff>
      <xdr:row>13</xdr:row>
      <xdr:rowOff>123561</xdr:rowOff>
    </xdr:to>
    <xdr:sp macro="" textlink="">
      <xdr:nvSpPr>
        <xdr:cNvPr id="84" name="Text Box 235">
          <a:extLst>
            <a:ext uri="{FF2B5EF4-FFF2-40B4-BE49-F238E27FC236}">
              <a16:creationId xmlns:a16="http://schemas.microsoft.com/office/drawing/2014/main" id="{00000000-0008-0000-0100-000054000000}"/>
            </a:ext>
          </a:extLst>
        </xdr:cNvPr>
        <xdr:cNvSpPr txBox="1">
          <a:spLocks noChangeArrowheads="1"/>
        </xdr:cNvSpPr>
      </xdr:nvSpPr>
      <xdr:spPr bwMode="auto">
        <a:xfrm>
          <a:off x="7751344" y="2053297"/>
          <a:ext cx="345071" cy="28454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a:t>
          </a:r>
        </a:p>
      </xdr:txBody>
    </xdr:sp>
    <xdr:clientData/>
  </xdr:twoCellAnchor>
  <xdr:twoCellAnchor>
    <xdr:from>
      <xdr:col>7</xdr:col>
      <xdr:colOff>261131</xdr:colOff>
      <xdr:row>17</xdr:row>
      <xdr:rowOff>168352</xdr:rowOff>
    </xdr:from>
    <xdr:to>
      <xdr:col>7</xdr:col>
      <xdr:colOff>586897</xdr:colOff>
      <xdr:row>19</xdr:row>
      <xdr:rowOff>55029</xdr:rowOff>
    </xdr:to>
    <xdr:sp macro="" textlink="">
      <xdr:nvSpPr>
        <xdr:cNvPr id="85" name="Text Box 244">
          <a:extLst>
            <a:ext uri="{FF2B5EF4-FFF2-40B4-BE49-F238E27FC236}">
              <a16:creationId xmlns:a16="http://schemas.microsoft.com/office/drawing/2014/main" id="{00000000-0008-0000-0100-000055000000}"/>
            </a:ext>
          </a:extLst>
        </xdr:cNvPr>
        <xdr:cNvSpPr txBox="1">
          <a:spLocks noChangeArrowheads="1"/>
        </xdr:cNvSpPr>
      </xdr:nvSpPr>
      <xdr:spPr bwMode="auto">
        <a:xfrm>
          <a:off x="7621155" y="3063952"/>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1135040</xdr:colOff>
      <xdr:row>24</xdr:row>
      <xdr:rowOff>92838</xdr:rowOff>
    </xdr:from>
    <xdr:to>
      <xdr:col>6</xdr:col>
      <xdr:colOff>99298</xdr:colOff>
      <xdr:row>25</xdr:row>
      <xdr:rowOff>154190</xdr:rowOff>
    </xdr:to>
    <xdr:sp macro="" textlink="">
      <xdr:nvSpPr>
        <xdr:cNvPr id="86" name="Text Box 249">
          <a:extLst>
            <a:ext uri="{FF2B5EF4-FFF2-40B4-BE49-F238E27FC236}">
              <a16:creationId xmlns:a16="http://schemas.microsoft.com/office/drawing/2014/main" id="{00000000-0008-0000-0100-000056000000}"/>
            </a:ext>
          </a:extLst>
        </xdr:cNvPr>
        <xdr:cNvSpPr txBox="1">
          <a:spLocks noChangeArrowheads="1"/>
        </xdr:cNvSpPr>
      </xdr:nvSpPr>
      <xdr:spPr bwMode="auto">
        <a:xfrm>
          <a:off x="6424216" y="4180744"/>
          <a:ext cx="371717" cy="23168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688312</xdr:colOff>
      <xdr:row>10</xdr:row>
      <xdr:rowOff>15192</xdr:rowOff>
    </xdr:from>
    <xdr:to>
      <xdr:col>2</xdr:col>
      <xdr:colOff>1013086</xdr:colOff>
      <xdr:row>11</xdr:row>
      <xdr:rowOff>128826</xdr:rowOff>
    </xdr:to>
    <xdr:sp macro="" textlink="">
      <xdr:nvSpPr>
        <xdr:cNvPr id="87" name="Text Box 251">
          <a:extLst>
            <a:ext uri="{FF2B5EF4-FFF2-40B4-BE49-F238E27FC236}">
              <a16:creationId xmlns:a16="http://schemas.microsoft.com/office/drawing/2014/main" id="{00000000-0008-0000-0100-000057000000}"/>
            </a:ext>
          </a:extLst>
        </xdr:cNvPr>
        <xdr:cNvSpPr txBox="1">
          <a:spLocks noChangeArrowheads="1"/>
        </xdr:cNvSpPr>
      </xdr:nvSpPr>
      <xdr:spPr bwMode="auto">
        <a:xfrm>
          <a:off x="2301959" y="1718486"/>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259715</xdr:colOff>
      <xdr:row>24</xdr:row>
      <xdr:rowOff>117966</xdr:rowOff>
    </xdr:from>
    <xdr:to>
      <xdr:col>2</xdr:col>
      <xdr:colOff>639595</xdr:colOff>
      <xdr:row>24</xdr:row>
      <xdr:rowOff>117966</xdr:rowOff>
    </xdr:to>
    <xdr:sp macro="" textlink="">
      <xdr:nvSpPr>
        <xdr:cNvPr id="88" name="Text Box 252">
          <a:extLst>
            <a:ext uri="{FF2B5EF4-FFF2-40B4-BE49-F238E27FC236}">
              <a16:creationId xmlns:a16="http://schemas.microsoft.com/office/drawing/2014/main" id="{00000000-0008-0000-0100-000058000000}"/>
            </a:ext>
          </a:extLst>
        </xdr:cNvPr>
        <xdr:cNvSpPr txBox="1">
          <a:spLocks noChangeArrowheads="1"/>
        </xdr:cNvSpPr>
      </xdr:nvSpPr>
      <xdr:spPr bwMode="auto">
        <a:xfrm>
          <a:off x="1873362" y="4205872"/>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107308</xdr:colOff>
      <xdr:row>16</xdr:row>
      <xdr:rowOff>99939</xdr:rowOff>
    </xdr:from>
    <xdr:to>
      <xdr:col>1</xdr:col>
      <xdr:colOff>502297</xdr:colOff>
      <xdr:row>17</xdr:row>
      <xdr:rowOff>158578</xdr:rowOff>
    </xdr:to>
    <xdr:sp macro="" textlink="">
      <xdr:nvSpPr>
        <xdr:cNvPr id="89" name="Text Box 255">
          <a:extLst>
            <a:ext uri="{FF2B5EF4-FFF2-40B4-BE49-F238E27FC236}">
              <a16:creationId xmlns:a16="http://schemas.microsoft.com/office/drawing/2014/main" id="{00000000-0008-0000-0100-000059000000}"/>
            </a:ext>
          </a:extLst>
        </xdr:cNvPr>
        <xdr:cNvSpPr txBox="1">
          <a:spLocks noChangeArrowheads="1"/>
        </xdr:cNvSpPr>
      </xdr:nvSpPr>
      <xdr:spPr bwMode="auto">
        <a:xfrm>
          <a:off x="698979" y="2825210"/>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694827</xdr:colOff>
      <xdr:row>15</xdr:row>
      <xdr:rowOff>10221</xdr:rowOff>
    </xdr:from>
    <xdr:to>
      <xdr:col>1</xdr:col>
      <xdr:colOff>962983</xdr:colOff>
      <xdr:row>16</xdr:row>
      <xdr:rowOff>61831</xdr:rowOff>
    </xdr:to>
    <xdr:sp macro="" textlink="">
      <xdr:nvSpPr>
        <xdr:cNvPr id="90" name="Text Box 256">
          <a:extLst>
            <a:ext uri="{FF2B5EF4-FFF2-40B4-BE49-F238E27FC236}">
              <a16:creationId xmlns:a16="http://schemas.microsoft.com/office/drawing/2014/main" id="{00000000-0008-0000-0100-00005A000000}"/>
            </a:ext>
          </a:extLst>
        </xdr:cNvPr>
        <xdr:cNvSpPr txBox="1">
          <a:spLocks noChangeArrowheads="1"/>
        </xdr:cNvSpPr>
      </xdr:nvSpPr>
      <xdr:spPr bwMode="auto">
        <a:xfrm>
          <a:off x="1286498" y="2565162"/>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129684</xdr:colOff>
      <xdr:row>10</xdr:row>
      <xdr:rowOff>76931</xdr:rowOff>
    </xdr:from>
    <xdr:to>
      <xdr:col>2</xdr:col>
      <xdr:colOff>444733</xdr:colOff>
      <xdr:row>11</xdr:row>
      <xdr:rowOff>149972</xdr:rowOff>
    </xdr:to>
    <xdr:sp macro="" textlink="">
      <xdr:nvSpPr>
        <xdr:cNvPr id="91" name="Text Box 257">
          <a:extLst>
            <a:ext uri="{FF2B5EF4-FFF2-40B4-BE49-F238E27FC236}">
              <a16:creationId xmlns:a16="http://schemas.microsoft.com/office/drawing/2014/main" id="{00000000-0008-0000-0100-00005B000000}"/>
            </a:ext>
          </a:extLst>
        </xdr:cNvPr>
        <xdr:cNvSpPr txBox="1">
          <a:spLocks noChangeArrowheads="1"/>
        </xdr:cNvSpPr>
      </xdr:nvSpPr>
      <xdr:spPr bwMode="auto">
        <a:xfrm>
          <a:off x="1743331" y="1780225"/>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708026</xdr:colOff>
      <xdr:row>10</xdr:row>
      <xdr:rowOff>57990</xdr:rowOff>
    </xdr:from>
    <xdr:to>
      <xdr:col>2</xdr:col>
      <xdr:colOff>25513</xdr:colOff>
      <xdr:row>11</xdr:row>
      <xdr:rowOff>137167</xdr:rowOff>
    </xdr:to>
    <xdr:sp macro="" textlink="">
      <xdr:nvSpPr>
        <xdr:cNvPr id="92" name="Text Box 258">
          <a:extLst>
            <a:ext uri="{FF2B5EF4-FFF2-40B4-BE49-F238E27FC236}">
              <a16:creationId xmlns:a16="http://schemas.microsoft.com/office/drawing/2014/main" id="{00000000-0008-0000-0100-00005C000000}"/>
            </a:ext>
          </a:extLst>
        </xdr:cNvPr>
        <xdr:cNvSpPr txBox="1">
          <a:spLocks noChangeArrowheads="1"/>
        </xdr:cNvSpPr>
      </xdr:nvSpPr>
      <xdr:spPr bwMode="auto">
        <a:xfrm>
          <a:off x="1299697" y="1761284"/>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1128604</xdr:colOff>
      <xdr:row>25</xdr:row>
      <xdr:rowOff>156815</xdr:rowOff>
    </xdr:from>
    <xdr:to>
      <xdr:col>6</xdr:col>
      <xdr:colOff>138095</xdr:colOff>
      <xdr:row>27</xdr:row>
      <xdr:rowOff>84729</xdr:rowOff>
    </xdr:to>
    <xdr:sp macro="" textlink="">
      <xdr:nvSpPr>
        <xdr:cNvPr id="93" name="Text Box 260">
          <a:extLst>
            <a:ext uri="{FF2B5EF4-FFF2-40B4-BE49-F238E27FC236}">
              <a16:creationId xmlns:a16="http://schemas.microsoft.com/office/drawing/2014/main" id="{00000000-0008-0000-0100-00005D000000}"/>
            </a:ext>
          </a:extLst>
        </xdr:cNvPr>
        <xdr:cNvSpPr txBox="1">
          <a:spLocks noChangeArrowheads="1"/>
        </xdr:cNvSpPr>
      </xdr:nvSpPr>
      <xdr:spPr bwMode="auto">
        <a:xfrm>
          <a:off x="6417780" y="4415050"/>
          <a:ext cx="416950" cy="26857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1</xdr:col>
      <xdr:colOff>998007</xdr:colOff>
      <xdr:row>11</xdr:row>
      <xdr:rowOff>86242</xdr:rowOff>
    </xdr:from>
    <xdr:to>
      <xdr:col>2</xdr:col>
      <xdr:colOff>491860</xdr:colOff>
      <xdr:row>12</xdr:row>
      <xdr:rowOff>158628</xdr:rowOff>
    </xdr:to>
    <xdr:sp macro="" textlink="'Variable Management'!B254">
      <xdr:nvSpPr>
        <xdr:cNvPr id="94" name="Text Box 261">
          <a:extLst>
            <a:ext uri="{FF2B5EF4-FFF2-40B4-BE49-F238E27FC236}">
              <a16:creationId xmlns:a16="http://schemas.microsoft.com/office/drawing/2014/main" id="{00000000-0008-0000-0100-00005E000000}"/>
            </a:ext>
          </a:extLst>
        </xdr:cNvPr>
        <xdr:cNvSpPr txBox="1">
          <a:spLocks noChangeArrowheads="1" noTextEdit="1"/>
        </xdr:cNvSpPr>
      </xdr:nvSpPr>
      <xdr:spPr bwMode="auto">
        <a:xfrm>
          <a:off x="1589678" y="1959866"/>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4,7nF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138460</xdr:colOff>
      <xdr:row>15</xdr:row>
      <xdr:rowOff>10793</xdr:rowOff>
    </xdr:from>
    <xdr:to>
      <xdr:col>2</xdr:col>
      <xdr:colOff>610936</xdr:colOff>
      <xdr:row>16</xdr:row>
      <xdr:rowOff>64358</xdr:rowOff>
    </xdr:to>
    <xdr:sp macro="" textlink="'Variable Management'!B255">
      <xdr:nvSpPr>
        <xdr:cNvPr id="95" name="Text Box 262">
          <a:extLst>
            <a:ext uri="{FF2B5EF4-FFF2-40B4-BE49-F238E27FC236}">
              <a16:creationId xmlns:a16="http://schemas.microsoft.com/office/drawing/2014/main" id="{00000000-0008-0000-0100-00005F000000}"/>
            </a:ext>
          </a:extLst>
        </xdr:cNvPr>
        <xdr:cNvSpPr txBox="1">
          <a:spLocks noChangeArrowheads="1" noTextEdit="1"/>
        </xdr:cNvSpPr>
      </xdr:nvSpPr>
      <xdr:spPr bwMode="auto">
        <a:xfrm>
          <a:off x="1752107" y="2565734"/>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567120</xdr:colOff>
      <xdr:row>11</xdr:row>
      <xdr:rowOff>105364</xdr:rowOff>
    </xdr:from>
    <xdr:to>
      <xdr:col>2</xdr:col>
      <xdr:colOff>85303</xdr:colOff>
      <xdr:row>12</xdr:row>
      <xdr:rowOff>166961</xdr:rowOff>
    </xdr:to>
    <xdr:sp macro="" textlink="'Variable Management'!B253">
      <xdr:nvSpPr>
        <xdr:cNvPr id="96" name="Text Box 263">
          <a:extLst>
            <a:ext uri="{FF2B5EF4-FFF2-40B4-BE49-F238E27FC236}">
              <a16:creationId xmlns:a16="http://schemas.microsoft.com/office/drawing/2014/main" id="{00000000-0008-0000-0100-000060000000}"/>
            </a:ext>
          </a:extLst>
        </xdr:cNvPr>
        <xdr:cNvSpPr txBox="1">
          <a:spLocks noChangeArrowheads="1" noTextEdit="1"/>
        </xdr:cNvSpPr>
      </xdr:nvSpPr>
      <xdr:spPr bwMode="auto">
        <a:xfrm>
          <a:off x="1158791" y="1978988"/>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6,65kΩ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389107</xdr:colOff>
      <xdr:row>18</xdr:row>
      <xdr:rowOff>3072</xdr:rowOff>
    </xdr:from>
    <xdr:to>
      <xdr:col>1</xdr:col>
      <xdr:colOff>408785</xdr:colOff>
      <xdr:row>19</xdr:row>
      <xdr:rowOff>70856</xdr:rowOff>
    </xdr:to>
    <xdr:sp macro="" textlink="'Variable Management'!B259">
      <xdr:nvSpPr>
        <xdr:cNvPr id="97" name="Text Box 264">
          <a:extLst>
            <a:ext uri="{FF2B5EF4-FFF2-40B4-BE49-F238E27FC236}">
              <a16:creationId xmlns:a16="http://schemas.microsoft.com/office/drawing/2014/main" id="{00000000-0008-0000-0100-000061000000}"/>
            </a:ext>
          </a:extLst>
        </xdr:cNvPr>
        <xdr:cNvSpPr txBox="1">
          <a:spLocks noChangeArrowheads="1" noTextEdit="1"/>
        </xdr:cNvSpPr>
      </xdr:nvSpPr>
      <xdr:spPr bwMode="auto">
        <a:xfrm>
          <a:off x="389107" y="3069001"/>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1,58kΩ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270918</xdr:colOff>
      <xdr:row>8</xdr:row>
      <xdr:rowOff>108745</xdr:rowOff>
    </xdr:from>
    <xdr:to>
      <xdr:col>1</xdr:col>
      <xdr:colOff>93342</xdr:colOff>
      <xdr:row>10</xdr:row>
      <xdr:rowOff>40595</xdr:rowOff>
    </xdr:to>
    <xdr:sp macro="" textlink="'Variable Management'!B256">
      <xdr:nvSpPr>
        <xdr:cNvPr id="98" name="Text Box 265">
          <a:extLst>
            <a:ext uri="{FF2B5EF4-FFF2-40B4-BE49-F238E27FC236}">
              <a16:creationId xmlns:a16="http://schemas.microsoft.com/office/drawing/2014/main" id="{00000000-0008-0000-0100-000062000000}"/>
            </a:ext>
          </a:extLst>
        </xdr:cNvPr>
        <xdr:cNvSpPr txBox="1">
          <a:spLocks noChangeArrowheads="1" noTextEdit="1"/>
        </xdr:cNvSpPr>
      </xdr:nvSpPr>
      <xdr:spPr bwMode="auto">
        <a:xfrm>
          <a:off x="270918" y="1471380"/>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768Ω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230831</xdr:colOff>
      <xdr:row>11</xdr:row>
      <xdr:rowOff>116103</xdr:rowOff>
    </xdr:from>
    <xdr:to>
      <xdr:col>1</xdr:col>
      <xdr:colOff>135623</xdr:colOff>
      <xdr:row>12</xdr:row>
      <xdr:rowOff>138919</xdr:rowOff>
    </xdr:to>
    <xdr:sp macro="" textlink="'Variable Management'!B257">
      <xdr:nvSpPr>
        <xdr:cNvPr id="99" name="Text Box 266">
          <a:extLst>
            <a:ext uri="{FF2B5EF4-FFF2-40B4-BE49-F238E27FC236}">
              <a16:creationId xmlns:a16="http://schemas.microsoft.com/office/drawing/2014/main" id="{00000000-0008-0000-0100-000063000000}"/>
            </a:ext>
          </a:extLst>
        </xdr:cNvPr>
        <xdr:cNvSpPr txBox="1">
          <a:spLocks noChangeArrowheads="1" noTextEdit="1"/>
        </xdr:cNvSpPr>
      </xdr:nvSpPr>
      <xdr:spPr bwMode="auto">
        <a:xfrm>
          <a:off x="230831" y="1989727"/>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1000pF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126755</xdr:colOff>
      <xdr:row>19</xdr:row>
      <xdr:rowOff>36280</xdr:rowOff>
    </xdr:from>
    <xdr:to>
      <xdr:col>8</xdr:col>
      <xdr:colOff>816756</xdr:colOff>
      <xdr:row>20</xdr:row>
      <xdr:rowOff>112898</xdr:rowOff>
    </xdr:to>
    <xdr:sp macro="" textlink="'Variable Management'!E243">
      <xdr:nvSpPr>
        <xdr:cNvPr id="100" name="Text Box 267">
          <a:extLst>
            <a:ext uri="{FF2B5EF4-FFF2-40B4-BE49-F238E27FC236}">
              <a16:creationId xmlns:a16="http://schemas.microsoft.com/office/drawing/2014/main" id="{00000000-0008-0000-0100-000064000000}"/>
            </a:ext>
          </a:extLst>
        </xdr:cNvPr>
        <xdr:cNvSpPr txBox="1">
          <a:spLocks noChangeArrowheads="1" noTextEdit="1"/>
        </xdr:cNvSpPr>
      </xdr:nvSpPr>
      <xdr:spPr bwMode="auto">
        <a:xfrm>
          <a:off x="8589437" y="3272539"/>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4 x 22µF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589975</xdr:colOff>
      <xdr:row>8</xdr:row>
      <xdr:rowOff>102276</xdr:rowOff>
    </xdr:from>
    <xdr:to>
      <xdr:col>2</xdr:col>
      <xdr:colOff>122040</xdr:colOff>
      <xdr:row>10</xdr:row>
      <xdr:rowOff>71162</xdr:rowOff>
    </xdr:to>
    <xdr:sp macro="" textlink="'Variable Management'!B258">
      <xdr:nvSpPr>
        <xdr:cNvPr id="101" name="Text Box 268">
          <a:extLst>
            <a:ext uri="{FF2B5EF4-FFF2-40B4-BE49-F238E27FC236}">
              <a16:creationId xmlns:a16="http://schemas.microsoft.com/office/drawing/2014/main" id="{00000000-0008-0000-0100-000065000000}"/>
            </a:ext>
          </a:extLst>
        </xdr:cNvPr>
        <xdr:cNvSpPr txBox="1">
          <a:spLocks noChangeArrowheads="1" noTextEdit="1"/>
        </xdr:cNvSpPr>
      </xdr:nvSpPr>
      <xdr:spPr bwMode="auto">
        <a:xfrm>
          <a:off x="1181646" y="1464911"/>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26,4kΩ</a:t>
          </a:fld>
          <a:endParaRPr lang="el-GR" sz="1000" b="0" i="0" strike="noStrike">
            <a:solidFill>
              <a:srgbClr val="000000"/>
            </a:solidFill>
            <a:latin typeface="Arial" pitchFamily="34" charset="0"/>
            <a:cs typeface="Arial" pitchFamily="34" charset="0"/>
          </a:endParaRPr>
        </a:p>
      </xdr:txBody>
    </xdr:sp>
    <xdr:clientData/>
  </xdr:twoCellAnchor>
  <xdr:twoCellAnchor>
    <xdr:from>
      <xdr:col>5</xdr:col>
      <xdr:colOff>13758</xdr:colOff>
      <xdr:row>29</xdr:row>
      <xdr:rowOff>50650</xdr:rowOff>
    </xdr:from>
    <xdr:to>
      <xdr:col>5</xdr:col>
      <xdr:colOff>602357</xdr:colOff>
      <xdr:row>30</xdr:row>
      <xdr:rowOff>105786</xdr:rowOff>
    </xdr:to>
    <xdr:sp macro="" textlink="'Variable Management'!B268">
      <xdr:nvSpPr>
        <xdr:cNvPr id="102" name="Text Box 270">
          <a:extLst>
            <a:ext uri="{FF2B5EF4-FFF2-40B4-BE49-F238E27FC236}">
              <a16:creationId xmlns:a16="http://schemas.microsoft.com/office/drawing/2014/main" id="{00000000-0008-0000-0100-000066000000}"/>
            </a:ext>
          </a:extLst>
        </xdr:cNvPr>
        <xdr:cNvSpPr txBox="1">
          <a:spLocks noChangeArrowheads="1" noTextEdit="1"/>
        </xdr:cNvSpPr>
      </xdr:nvSpPr>
      <xdr:spPr bwMode="auto">
        <a:xfrm>
          <a:off x="5302934" y="4990203"/>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562Ω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353153</xdr:colOff>
      <xdr:row>15</xdr:row>
      <xdr:rowOff>5103</xdr:rowOff>
    </xdr:from>
    <xdr:to>
      <xdr:col>7</xdr:col>
      <xdr:colOff>814933</xdr:colOff>
      <xdr:row>16</xdr:row>
      <xdr:rowOff>111822</xdr:rowOff>
    </xdr:to>
    <xdr:sp macro="" textlink="'Variable Management'!B238">
      <xdr:nvSpPr>
        <xdr:cNvPr id="103" name="Text Box 275">
          <a:extLst>
            <a:ext uri="{FF2B5EF4-FFF2-40B4-BE49-F238E27FC236}">
              <a16:creationId xmlns:a16="http://schemas.microsoft.com/office/drawing/2014/main" id="{00000000-0008-0000-0100-000067000000}"/>
            </a:ext>
          </a:extLst>
        </xdr:cNvPr>
        <xdr:cNvSpPr txBox="1">
          <a:spLocks noChangeArrowheads="1" noTextEdit="1"/>
        </xdr:cNvSpPr>
      </xdr:nvSpPr>
      <xdr:spPr bwMode="auto">
        <a:xfrm>
          <a:off x="7713177" y="2560044"/>
          <a:ext cx="461780" cy="27704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6,8µH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215625</xdr:colOff>
      <xdr:row>19</xdr:row>
      <xdr:rowOff>29712</xdr:rowOff>
    </xdr:from>
    <xdr:to>
      <xdr:col>7</xdr:col>
      <xdr:colOff>853651</xdr:colOff>
      <xdr:row>20</xdr:row>
      <xdr:rowOff>97576</xdr:rowOff>
    </xdr:to>
    <xdr:sp macro="" textlink="'Variable Management'!E250">
      <xdr:nvSpPr>
        <xdr:cNvPr id="104" name="Text Box 276">
          <a:extLst>
            <a:ext uri="{FF2B5EF4-FFF2-40B4-BE49-F238E27FC236}">
              <a16:creationId xmlns:a16="http://schemas.microsoft.com/office/drawing/2014/main" id="{00000000-0008-0000-0100-000068000000}"/>
            </a:ext>
          </a:extLst>
        </xdr:cNvPr>
        <xdr:cNvSpPr txBox="1">
          <a:spLocks noChangeArrowheads="1" noTextEdit="1"/>
        </xdr:cNvSpPr>
      </xdr:nvSpPr>
      <xdr:spPr bwMode="auto">
        <a:xfrm>
          <a:off x="7575649" y="3265971"/>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7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900129</xdr:colOff>
      <xdr:row>7</xdr:row>
      <xdr:rowOff>20001</xdr:rowOff>
    </xdr:from>
    <xdr:to>
      <xdr:col>5</xdr:col>
      <xdr:colOff>1283534</xdr:colOff>
      <xdr:row>8</xdr:row>
      <xdr:rowOff>88717</xdr:rowOff>
    </xdr:to>
    <xdr:sp macro="" textlink="">
      <xdr:nvSpPr>
        <xdr:cNvPr id="105" name="Text Box 279">
          <a:extLst>
            <a:ext uri="{FF2B5EF4-FFF2-40B4-BE49-F238E27FC236}">
              <a16:creationId xmlns:a16="http://schemas.microsoft.com/office/drawing/2014/main" id="{00000000-0008-0000-0100-000069000000}"/>
            </a:ext>
          </a:extLst>
        </xdr:cNvPr>
        <xdr:cNvSpPr txBox="1">
          <a:spLocks noChangeArrowheads="1"/>
        </xdr:cNvSpPr>
      </xdr:nvSpPr>
      <xdr:spPr bwMode="auto">
        <a:xfrm>
          <a:off x="6189305" y="1212307"/>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640422</xdr:colOff>
      <xdr:row>11</xdr:row>
      <xdr:rowOff>120500</xdr:rowOff>
    </xdr:from>
    <xdr:to>
      <xdr:col>2</xdr:col>
      <xdr:colOff>994046</xdr:colOff>
      <xdr:row>13</xdr:row>
      <xdr:rowOff>18698</xdr:rowOff>
    </xdr:to>
    <xdr:sp macro="" textlink="'Variable Management'!B276">
      <xdr:nvSpPr>
        <xdr:cNvPr id="106" name="Text Box 281">
          <a:extLst>
            <a:ext uri="{FF2B5EF4-FFF2-40B4-BE49-F238E27FC236}">
              <a16:creationId xmlns:a16="http://schemas.microsoft.com/office/drawing/2014/main" id="{00000000-0008-0000-0100-00006A000000}"/>
            </a:ext>
          </a:extLst>
        </xdr:cNvPr>
        <xdr:cNvSpPr txBox="1">
          <a:spLocks noChangeArrowheads="1" noTextEdit="1"/>
        </xdr:cNvSpPr>
      </xdr:nvSpPr>
      <xdr:spPr bwMode="auto">
        <a:xfrm>
          <a:off x="2254069" y="1994124"/>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47nF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176832</xdr:colOff>
      <xdr:row>5</xdr:row>
      <xdr:rowOff>169298</xdr:rowOff>
    </xdr:from>
    <xdr:to>
      <xdr:col>7</xdr:col>
      <xdr:colOff>545172</xdr:colOff>
      <xdr:row>7</xdr:row>
      <xdr:rowOff>82169</xdr:rowOff>
    </xdr:to>
    <xdr:sp macro="" textlink="'Variable Management'!B280">
      <xdr:nvSpPr>
        <xdr:cNvPr id="107" name="Text Box 283">
          <a:extLst>
            <a:ext uri="{FF2B5EF4-FFF2-40B4-BE49-F238E27FC236}">
              <a16:creationId xmlns:a16="http://schemas.microsoft.com/office/drawing/2014/main" id="{00000000-0008-0000-0100-00006B000000}"/>
            </a:ext>
          </a:extLst>
        </xdr:cNvPr>
        <xdr:cNvSpPr txBox="1">
          <a:spLocks noChangeArrowheads="1" noTextEdit="1"/>
        </xdr:cNvSpPr>
      </xdr:nvSpPr>
      <xdr:spPr bwMode="auto">
        <a:xfrm>
          <a:off x="7536856" y="1020945"/>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30V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445671</xdr:colOff>
      <xdr:row>15</xdr:row>
      <xdr:rowOff>134106</xdr:rowOff>
    </xdr:from>
    <xdr:to>
      <xdr:col>8</xdr:col>
      <xdr:colOff>730475</xdr:colOff>
      <xdr:row>17</xdr:row>
      <xdr:rowOff>33768</xdr:rowOff>
    </xdr:to>
    <xdr:sp macro="" textlink="'Variable Management'!B241">
      <xdr:nvSpPr>
        <xdr:cNvPr id="108" name="Text Box 285">
          <a:extLst>
            <a:ext uri="{FF2B5EF4-FFF2-40B4-BE49-F238E27FC236}">
              <a16:creationId xmlns:a16="http://schemas.microsoft.com/office/drawing/2014/main" id="{00000000-0008-0000-0100-00006C000000}"/>
            </a:ext>
          </a:extLst>
        </xdr:cNvPr>
        <xdr:cNvSpPr txBox="1">
          <a:spLocks noChangeArrowheads="1" noTextEdit="1"/>
        </xdr:cNvSpPr>
      </xdr:nvSpPr>
      <xdr:spPr bwMode="auto">
        <a:xfrm>
          <a:off x="8908353" y="2689047"/>
          <a:ext cx="284804"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14V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386037</xdr:colOff>
      <xdr:row>17</xdr:row>
      <xdr:rowOff>8852</xdr:rowOff>
    </xdr:from>
    <xdr:to>
      <xdr:col>8</xdr:col>
      <xdr:colOff>856371</xdr:colOff>
      <xdr:row>18</xdr:row>
      <xdr:rowOff>82797</xdr:rowOff>
    </xdr:to>
    <xdr:sp macro="" textlink="'Variable Management'!B279">
      <xdr:nvSpPr>
        <xdr:cNvPr id="109" name="Text Box 286">
          <a:extLst>
            <a:ext uri="{FF2B5EF4-FFF2-40B4-BE49-F238E27FC236}">
              <a16:creationId xmlns:a16="http://schemas.microsoft.com/office/drawing/2014/main" id="{00000000-0008-0000-0100-00006D000000}"/>
            </a:ext>
          </a:extLst>
        </xdr:cNvPr>
        <xdr:cNvSpPr txBox="1">
          <a:spLocks noChangeArrowheads="1" noTextEdit="1"/>
        </xdr:cNvSpPr>
      </xdr:nvSpPr>
      <xdr:spPr bwMode="auto">
        <a:xfrm>
          <a:off x="8848719" y="2904452"/>
          <a:ext cx="47033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9A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231140</xdr:colOff>
      <xdr:row>24</xdr:row>
      <xdr:rowOff>117966</xdr:rowOff>
    </xdr:from>
    <xdr:to>
      <xdr:col>3</xdr:col>
      <xdr:colOff>450215</xdr:colOff>
      <xdr:row>24</xdr:row>
      <xdr:rowOff>117966</xdr:rowOff>
    </xdr:to>
    <xdr:sp macro="" textlink="'Variable Management'!B292">
      <xdr:nvSpPr>
        <xdr:cNvPr id="110" name="Text Box 299">
          <a:extLst>
            <a:ext uri="{FF2B5EF4-FFF2-40B4-BE49-F238E27FC236}">
              <a16:creationId xmlns:a16="http://schemas.microsoft.com/office/drawing/2014/main" id="{00000000-0008-0000-0100-00006E000000}"/>
            </a:ext>
          </a:extLst>
        </xdr:cNvPr>
        <xdr:cNvSpPr txBox="1">
          <a:spLocks noChangeArrowheads="1" noTextEdit="1"/>
        </xdr:cNvSpPr>
      </xdr:nvSpPr>
      <xdr:spPr bwMode="auto">
        <a:xfrm>
          <a:off x="2947446" y="4205872"/>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847054</xdr:colOff>
      <xdr:row>6</xdr:row>
      <xdr:rowOff>92318</xdr:rowOff>
    </xdr:from>
    <xdr:to>
      <xdr:col>3</xdr:col>
      <xdr:colOff>125722</xdr:colOff>
      <xdr:row>8</xdr:row>
      <xdr:rowOff>16225</xdr:rowOff>
    </xdr:to>
    <xdr:sp macro="" textlink="">
      <xdr:nvSpPr>
        <xdr:cNvPr id="111" name="Text Box 251">
          <a:extLst>
            <a:ext uri="{FF2B5EF4-FFF2-40B4-BE49-F238E27FC236}">
              <a16:creationId xmlns:a16="http://schemas.microsoft.com/office/drawing/2014/main" id="{00000000-0008-0000-0100-00006F000000}"/>
            </a:ext>
          </a:extLst>
        </xdr:cNvPr>
        <xdr:cNvSpPr txBox="1">
          <a:spLocks noChangeArrowheads="1"/>
        </xdr:cNvSpPr>
      </xdr:nvSpPr>
      <xdr:spPr bwMode="auto">
        <a:xfrm>
          <a:off x="2460701" y="1114294"/>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712335</xdr:colOff>
      <xdr:row>7</xdr:row>
      <xdr:rowOff>146387</xdr:rowOff>
    </xdr:from>
    <xdr:to>
      <xdr:col>3</xdr:col>
      <xdr:colOff>143038</xdr:colOff>
      <xdr:row>9</xdr:row>
      <xdr:rowOff>52482</xdr:rowOff>
    </xdr:to>
    <xdr:sp macro="" textlink="'Variable Management'!B275">
      <xdr:nvSpPr>
        <xdr:cNvPr id="112" name="Text Box 281">
          <a:extLst>
            <a:ext uri="{FF2B5EF4-FFF2-40B4-BE49-F238E27FC236}">
              <a16:creationId xmlns:a16="http://schemas.microsoft.com/office/drawing/2014/main" id="{00000000-0008-0000-0100-000070000000}"/>
            </a:ext>
          </a:extLst>
        </xdr:cNvPr>
        <xdr:cNvSpPr txBox="1">
          <a:spLocks noChangeArrowheads="1" noTextEdit="1"/>
        </xdr:cNvSpPr>
      </xdr:nvSpPr>
      <xdr:spPr bwMode="auto">
        <a:xfrm>
          <a:off x="2325982" y="1338693"/>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30,1kΩ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874930</xdr:colOff>
      <xdr:row>6</xdr:row>
      <xdr:rowOff>885</xdr:rowOff>
    </xdr:from>
    <xdr:to>
      <xdr:col>5</xdr:col>
      <xdr:colOff>1278873</xdr:colOff>
      <xdr:row>7</xdr:row>
      <xdr:rowOff>59477</xdr:rowOff>
    </xdr:to>
    <xdr:sp macro="" textlink="">
      <xdr:nvSpPr>
        <xdr:cNvPr id="113" name="Text Box 247">
          <a:extLst>
            <a:ext uri="{FF2B5EF4-FFF2-40B4-BE49-F238E27FC236}">
              <a16:creationId xmlns:a16="http://schemas.microsoft.com/office/drawing/2014/main" id="{00000000-0008-0000-0100-000071000000}"/>
            </a:ext>
          </a:extLst>
        </xdr:cNvPr>
        <xdr:cNvSpPr txBox="1">
          <a:spLocks noChangeArrowheads="1"/>
        </xdr:cNvSpPr>
      </xdr:nvSpPr>
      <xdr:spPr bwMode="auto">
        <a:xfrm>
          <a:off x="6164106" y="1022861"/>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348967</xdr:colOff>
      <xdr:row>15</xdr:row>
      <xdr:rowOff>107494</xdr:rowOff>
    </xdr:from>
    <xdr:to>
      <xdr:col>7</xdr:col>
      <xdr:colOff>4613</xdr:colOff>
      <xdr:row>17</xdr:row>
      <xdr:rowOff>69361</xdr:rowOff>
    </xdr:to>
    <xdr:sp macro="" textlink="">
      <xdr:nvSpPr>
        <xdr:cNvPr id="114" name="Text Box 244">
          <a:extLst>
            <a:ext uri="{FF2B5EF4-FFF2-40B4-BE49-F238E27FC236}">
              <a16:creationId xmlns:a16="http://schemas.microsoft.com/office/drawing/2014/main" id="{00000000-0008-0000-0100-000072000000}"/>
            </a:ext>
          </a:extLst>
        </xdr:cNvPr>
        <xdr:cNvSpPr txBox="1">
          <a:spLocks noChangeArrowheads="1"/>
        </xdr:cNvSpPr>
      </xdr:nvSpPr>
      <xdr:spPr bwMode="auto">
        <a:xfrm>
          <a:off x="7045602" y="2662435"/>
          <a:ext cx="319035" cy="30252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297622</xdr:colOff>
      <xdr:row>9</xdr:row>
      <xdr:rowOff>115569</xdr:rowOff>
    </xdr:from>
    <xdr:to>
      <xdr:col>6</xdr:col>
      <xdr:colOff>620467</xdr:colOff>
      <xdr:row>11</xdr:row>
      <xdr:rowOff>50049</xdr:rowOff>
    </xdr:to>
    <xdr:sp macro="" textlink="">
      <xdr:nvSpPr>
        <xdr:cNvPr id="115" name="Text Box 244">
          <a:extLst>
            <a:ext uri="{FF2B5EF4-FFF2-40B4-BE49-F238E27FC236}">
              <a16:creationId xmlns:a16="http://schemas.microsoft.com/office/drawing/2014/main" id="{00000000-0008-0000-0100-000073000000}"/>
            </a:ext>
          </a:extLst>
        </xdr:cNvPr>
        <xdr:cNvSpPr txBox="1">
          <a:spLocks noChangeArrowheads="1"/>
        </xdr:cNvSpPr>
      </xdr:nvSpPr>
      <xdr:spPr bwMode="auto">
        <a:xfrm>
          <a:off x="6994257" y="1648534"/>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652346</xdr:colOff>
      <xdr:row>2</xdr:row>
      <xdr:rowOff>57135</xdr:rowOff>
    </xdr:from>
    <xdr:to>
      <xdr:col>3</xdr:col>
      <xdr:colOff>1221208</xdr:colOff>
      <xdr:row>3</xdr:row>
      <xdr:rowOff>110510</xdr:rowOff>
    </xdr:to>
    <xdr:sp macro="" textlink="'Variable Management'!G98">
      <xdr:nvSpPr>
        <xdr:cNvPr id="116" name="Text Box 264">
          <a:extLst>
            <a:ext uri="{FF2B5EF4-FFF2-40B4-BE49-F238E27FC236}">
              <a16:creationId xmlns:a16="http://schemas.microsoft.com/office/drawing/2014/main" id="{00000000-0008-0000-0100-000074000000}"/>
            </a:ext>
          </a:extLst>
        </xdr:cNvPr>
        <xdr:cNvSpPr txBox="1">
          <a:spLocks noChangeArrowheads="1" noTextEdit="1"/>
        </xdr:cNvSpPr>
      </xdr:nvSpPr>
      <xdr:spPr bwMode="auto">
        <a:xfrm>
          <a:off x="3368652" y="397794"/>
          <a:ext cx="568862"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8,25kΩ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824727</xdr:colOff>
      <xdr:row>1</xdr:row>
      <xdr:rowOff>17156</xdr:rowOff>
    </xdr:from>
    <xdr:to>
      <xdr:col>3</xdr:col>
      <xdr:colOff>1245796</xdr:colOff>
      <xdr:row>2</xdr:row>
      <xdr:rowOff>56518</xdr:rowOff>
    </xdr:to>
    <xdr:sp macro="" textlink="">
      <xdr:nvSpPr>
        <xdr:cNvPr id="117" name="Text Box 255">
          <a:extLst>
            <a:ext uri="{FF2B5EF4-FFF2-40B4-BE49-F238E27FC236}">
              <a16:creationId xmlns:a16="http://schemas.microsoft.com/office/drawing/2014/main" id="{00000000-0008-0000-0100-000075000000}"/>
            </a:ext>
          </a:extLst>
        </xdr:cNvPr>
        <xdr:cNvSpPr txBox="1">
          <a:spLocks noChangeArrowheads="1"/>
        </xdr:cNvSpPr>
      </xdr:nvSpPr>
      <xdr:spPr bwMode="auto">
        <a:xfrm>
          <a:off x="3541033" y="187485"/>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4</xdr:col>
      <xdr:colOff>21211</xdr:colOff>
      <xdr:row>2</xdr:row>
      <xdr:rowOff>46882</xdr:rowOff>
    </xdr:from>
    <xdr:to>
      <xdr:col>4</xdr:col>
      <xdr:colOff>606573</xdr:colOff>
      <xdr:row>3</xdr:row>
      <xdr:rowOff>92545</xdr:rowOff>
    </xdr:to>
    <xdr:sp macro="" textlink="'Variable Management'!G97">
      <xdr:nvSpPr>
        <xdr:cNvPr id="118" name="Text Box 264">
          <a:extLst>
            <a:ext uri="{FF2B5EF4-FFF2-40B4-BE49-F238E27FC236}">
              <a16:creationId xmlns:a16="http://schemas.microsoft.com/office/drawing/2014/main" id="{00000000-0008-0000-0100-000076000000}"/>
            </a:ext>
          </a:extLst>
        </xdr:cNvPr>
        <xdr:cNvSpPr txBox="1">
          <a:spLocks noChangeArrowheads="1" noTextEdit="1"/>
        </xdr:cNvSpPr>
      </xdr:nvSpPr>
      <xdr:spPr bwMode="auto">
        <a:xfrm>
          <a:off x="4118082" y="387541"/>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200kΩ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151933</xdr:colOff>
      <xdr:row>1</xdr:row>
      <xdr:rowOff>0</xdr:rowOff>
    </xdr:from>
    <xdr:to>
      <xdr:col>4</xdr:col>
      <xdr:colOff>586239</xdr:colOff>
      <xdr:row>2</xdr:row>
      <xdr:rowOff>46752</xdr:rowOff>
    </xdr:to>
    <xdr:sp macro="" textlink="">
      <xdr:nvSpPr>
        <xdr:cNvPr id="119" name="Text Box 255">
          <a:extLst>
            <a:ext uri="{FF2B5EF4-FFF2-40B4-BE49-F238E27FC236}">
              <a16:creationId xmlns:a16="http://schemas.microsoft.com/office/drawing/2014/main" id="{00000000-0008-0000-0100-000077000000}"/>
            </a:ext>
          </a:extLst>
        </xdr:cNvPr>
        <xdr:cNvSpPr txBox="1">
          <a:spLocks noChangeArrowheads="1"/>
        </xdr:cNvSpPr>
      </xdr:nvSpPr>
      <xdr:spPr bwMode="auto">
        <a:xfrm>
          <a:off x="4248804" y="170329"/>
          <a:ext cx="434306"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327293</xdr:colOff>
      <xdr:row>16</xdr:row>
      <xdr:rowOff>46385</xdr:rowOff>
    </xdr:from>
    <xdr:to>
      <xdr:col>7</xdr:col>
      <xdr:colOff>849121</xdr:colOff>
      <xdr:row>17</xdr:row>
      <xdr:rowOff>147672</xdr:rowOff>
    </xdr:to>
    <xdr:sp macro="" textlink="'Variable Management'!B239">
      <xdr:nvSpPr>
        <xdr:cNvPr id="120" name="Text Box 275">
          <a:extLst>
            <a:ext uri="{FF2B5EF4-FFF2-40B4-BE49-F238E27FC236}">
              <a16:creationId xmlns:a16="http://schemas.microsoft.com/office/drawing/2014/main" id="{00000000-0008-0000-0100-000078000000}"/>
            </a:ext>
          </a:extLst>
        </xdr:cNvPr>
        <xdr:cNvSpPr txBox="1">
          <a:spLocks noChangeArrowheads="1" noTextEdit="1"/>
        </xdr:cNvSpPr>
      </xdr:nvSpPr>
      <xdr:spPr bwMode="auto">
        <a:xfrm>
          <a:off x="7687317" y="2771656"/>
          <a:ext cx="521828" cy="271616"/>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0,88mΩ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137954</xdr:colOff>
      <xdr:row>26</xdr:row>
      <xdr:rowOff>143208</xdr:rowOff>
    </xdr:from>
    <xdr:to>
      <xdr:col>4</xdr:col>
      <xdr:colOff>645592</xdr:colOff>
      <xdr:row>28</xdr:row>
      <xdr:rowOff>39020</xdr:rowOff>
    </xdr:to>
    <xdr:sp macro="" textlink="">
      <xdr:nvSpPr>
        <xdr:cNvPr id="121" name="Text Box 245">
          <a:extLst>
            <a:ext uri="{FF2B5EF4-FFF2-40B4-BE49-F238E27FC236}">
              <a16:creationId xmlns:a16="http://schemas.microsoft.com/office/drawing/2014/main" id="{00000000-0008-0000-0100-000079000000}"/>
            </a:ext>
          </a:extLst>
        </xdr:cNvPr>
        <xdr:cNvSpPr txBox="1">
          <a:spLocks noChangeArrowheads="1"/>
        </xdr:cNvSpPr>
      </xdr:nvSpPr>
      <xdr:spPr bwMode="auto">
        <a:xfrm>
          <a:off x="4234825" y="4571773"/>
          <a:ext cx="507638"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155302</xdr:colOff>
      <xdr:row>27</xdr:row>
      <xdr:rowOff>160736</xdr:rowOff>
    </xdr:from>
    <xdr:to>
      <xdr:col>4</xdr:col>
      <xdr:colOff>791059</xdr:colOff>
      <xdr:row>29</xdr:row>
      <xdr:rowOff>69472</xdr:rowOff>
    </xdr:to>
    <xdr:sp macro="" textlink="'Variable Management'!B274">
      <xdr:nvSpPr>
        <xdr:cNvPr id="122" name="Text Box 281">
          <a:extLst>
            <a:ext uri="{FF2B5EF4-FFF2-40B4-BE49-F238E27FC236}">
              <a16:creationId xmlns:a16="http://schemas.microsoft.com/office/drawing/2014/main" id="{00000000-0008-0000-0100-00007A000000}"/>
            </a:ext>
          </a:extLst>
        </xdr:cNvPr>
        <xdr:cNvSpPr txBox="1">
          <a:spLocks noChangeArrowheads="1" noTextEdit="1"/>
        </xdr:cNvSpPr>
      </xdr:nvSpPr>
      <xdr:spPr bwMode="auto">
        <a:xfrm>
          <a:off x="4252173" y="4759630"/>
          <a:ext cx="635757"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357031</xdr:colOff>
      <xdr:row>21</xdr:row>
      <xdr:rowOff>79102</xdr:rowOff>
    </xdr:from>
    <xdr:to>
      <xdr:col>7</xdr:col>
      <xdr:colOff>267329</xdr:colOff>
      <xdr:row>23</xdr:row>
      <xdr:rowOff>43439</xdr:rowOff>
    </xdr:to>
    <xdr:sp macro="" textlink="'Variable Management'!B269">
      <xdr:nvSpPr>
        <xdr:cNvPr id="123" name="Text Box 270">
          <a:extLst>
            <a:ext uri="{FF2B5EF4-FFF2-40B4-BE49-F238E27FC236}">
              <a16:creationId xmlns:a16="http://schemas.microsoft.com/office/drawing/2014/main" id="{00000000-0008-0000-0100-00007B000000}"/>
            </a:ext>
          </a:extLst>
        </xdr:cNvPr>
        <xdr:cNvSpPr txBox="1">
          <a:spLocks noChangeArrowheads="1" noTextEdit="1"/>
        </xdr:cNvSpPr>
      </xdr:nvSpPr>
      <xdr:spPr bwMode="auto">
        <a:xfrm>
          <a:off x="7053666" y="3656020"/>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421801</xdr:colOff>
      <xdr:row>20</xdr:row>
      <xdr:rowOff>32038</xdr:rowOff>
    </xdr:from>
    <xdr:to>
      <xdr:col>7</xdr:col>
      <xdr:colOff>332099</xdr:colOff>
      <xdr:row>21</xdr:row>
      <xdr:rowOff>87887</xdr:rowOff>
    </xdr:to>
    <xdr:sp macro="" textlink="'Variable Management'!A269">
      <xdr:nvSpPr>
        <xdr:cNvPr id="124" name="Text Box 270">
          <a:extLst>
            <a:ext uri="{FF2B5EF4-FFF2-40B4-BE49-F238E27FC236}">
              <a16:creationId xmlns:a16="http://schemas.microsoft.com/office/drawing/2014/main" id="{00000000-0008-0000-0100-00007C000000}"/>
            </a:ext>
          </a:extLst>
        </xdr:cNvPr>
        <xdr:cNvSpPr txBox="1">
          <a:spLocks noChangeArrowheads="1" noTextEdit="1"/>
        </xdr:cNvSpPr>
      </xdr:nvSpPr>
      <xdr:spPr bwMode="auto">
        <a:xfrm>
          <a:off x="7118436" y="3438626"/>
          <a:ext cx="573687" cy="226179"/>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398736</xdr:colOff>
      <xdr:row>29</xdr:row>
      <xdr:rowOff>4767</xdr:rowOff>
    </xdr:from>
    <xdr:to>
      <xdr:col>4</xdr:col>
      <xdr:colOff>883507</xdr:colOff>
      <xdr:row>30</xdr:row>
      <xdr:rowOff>107441</xdr:rowOff>
    </xdr:to>
    <xdr:sp macro="" textlink="'Variable Management'!A270">
      <xdr:nvSpPr>
        <xdr:cNvPr id="125" name="Text Box 231">
          <a:extLst>
            <a:ext uri="{FF2B5EF4-FFF2-40B4-BE49-F238E27FC236}">
              <a16:creationId xmlns:a16="http://schemas.microsoft.com/office/drawing/2014/main" id="{00000000-0008-0000-0100-00007D000000}"/>
            </a:ext>
          </a:extLst>
        </xdr:cNvPr>
        <xdr:cNvSpPr txBox="1">
          <a:spLocks noChangeArrowheads="1"/>
        </xdr:cNvSpPr>
      </xdr:nvSpPr>
      <xdr:spPr bwMode="auto">
        <a:xfrm>
          <a:off x="4495607" y="4944320"/>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390929</xdr:colOff>
      <xdr:row>30</xdr:row>
      <xdr:rowOff>50182</xdr:rowOff>
    </xdr:from>
    <xdr:to>
      <xdr:col>4</xdr:col>
      <xdr:colOff>974228</xdr:colOff>
      <xdr:row>31</xdr:row>
      <xdr:rowOff>105316</xdr:rowOff>
    </xdr:to>
    <xdr:sp macro="" textlink="'Variable Management'!B270">
      <xdr:nvSpPr>
        <xdr:cNvPr id="126" name="Text Box 270">
          <a:extLst>
            <a:ext uri="{FF2B5EF4-FFF2-40B4-BE49-F238E27FC236}">
              <a16:creationId xmlns:a16="http://schemas.microsoft.com/office/drawing/2014/main" id="{00000000-0008-0000-0100-00007E000000}"/>
            </a:ext>
          </a:extLst>
        </xdr:cNvPr>
        <xdr:cNvSpPr txBox="1">
          <a:spLocks noChangeArrowheads="1" noTextEdit="1"/>
        </xdr:cNvSpPr>
      </xdr:nvSpPr>
      <xdr:spPr bwMode="auto">
        <a:xfrm>
          <a:off x="4487800" y="5160064"/>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8,2pF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170959</xdr:colOff>
      <xdr:row>7</xdr:row>
      <xdr:rowOff>70700</xdr:rowOff>
    </xdr:from>
    <xdr:to>
      <xdr:col>8</xdr:col>
      <xdr:colOff>216681</xdr:colOff>
      <xdr:row>8</xdr:row>
      <xdr:rowOff>141437</xdr:rowOff>
    </xdr:to>
    <xdr:sp macro="" textlink="'Variable Management'!B281">
      <xdr:nvSpPr>
        <xdr:cNvPr id="127" name="Text Box 283">
          <a:extLst>
            <a:ext uri="{FF2B5EF4-FFF2-40B4-BE49-F238E27FC236}">
              <a16:creationId xmlns:a16="http://schemas.microsoft.com/office/drawing/2014/main" id="{00000000-0008-0000-0100-00007F000000}"/>
            </a:ext>
          </a:extLst>
        </xdr:cNvPr>
        <xdr:cNvSpPr txBox="1">
          <a:spLocks noChangeArrowheads="1" noTextEdit="1"/>
        </xdr:cNvSpPr>
      </xdr:nvSpPr>
      <xdr:spPr bwMode="auto">
        <a:xfrm>
          <a:off x="7530983" y="1263006"/>
          <a:ext cx="1148380" cy="241066"/>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24V to 36V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1205950</xdr:colOff>
      <xdr:row>14</xdr:row>
      <xdr:rowOff>148053</xdr:rowOff>
    </xdr:from>
    <xdr:to>
      <xdr:col>4</xdr:col>
      <xdr:colOff>941146</xdr:colOff>
      <xdr:row>16</xdr:row>
      <xdr:rowOff>168094</xdr:rowOff>
    </xdr:to>
    <xdr:sp macro="" textlink="'Variable Management'!U12">
      <xdr:nvSpPr>
        <xdr:cNvPr id="128" name="Text Box 24">
          <a:extLst>
            <a:ext uri="{FF2B5EF4-FFF2-40B4-BE49-F238E27FC236}">
              <a16:creationId xmlns:a16="http://schemas.microsoft.com/office/drawing/2014/main" id="{00000000-0008-0000-0100-000080000000}"/>
            </a:ext>
          </a:extLst>
        </xdr:cNvPr>
        <xdr:cNvSpPr txBox="1">
          <a:spLocks noChangeArrowheads="1" noTextEdit="1"/>
        </xdr:cNvSpPr>
      </xdr:nvSpPr>
      <xdr:spPr bwMode="auto">
        <a:xfrm>
          <a:off x="3922256" y="2532665"/>
          <a:ext cx="1115761"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LM5146-Q1</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219075</xdr:colOff>
          <xdr:row>10</xdr:row>
          <xdr:rowOff>114300</xdr:rowOff>
        </xdr:from>
        <xdr:to>
          <xdr:col>16</xdr:col>
          <xdr:colOff>28575</xdr:colOff>
          <xdr:row>31</xdr:row>
          <xdr:rowOff>123825</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2</xdr:col>
      <xdr:colOff>22859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22859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6.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48" zoomScale="117" zoomScaleNormal="100" zoomScaleSheetLayoutView="100" workbookViewId="0">
      <selection activeCell="E40" sqref="E40"/>
    </sheetView>
  </sheetViews>
  <sheetFormatPr defaultColWidth="9.140625" defaultRowHeight="12.75" x14ac:dyDescent="0.2"/>
  <cols>
    <col min="1" max="1" width="8.28515625" style="276" customWidth="1"/>
    <col min="2" max="2" width="8.28515625" style="123" customWidth="1"/>
    <col min="3" max="3" width="14.5703125" style="123" customWidth="1"/>
    <col min="4" max="4" width="8" style="123" customWidth="1"/>
    <col min="5" max="5" width="7" style="123" customWidth="1"/>
    <col min="6" max="6" width="8.28515625" style="123" customWidth="1"/>
    <col min="7" max="7" width="9.140625" style="123" customWidth="1"/>
    <col min="8" max="8" width="11.85546875" style="123" customWidth="1"/>
    <col min="9" max="9" width="9.140625" style="123"/>
    <col min="10" max="10" width="12.42578125" style="123" bestFit="1" customWidth="1"/>
    <col min="11" max="11" width="9.140625" style="123"/>
    <col min="12" max="12" width="12.42578125" style="123" bestFit="1" customWidth="1"/>
    <col min="13" max="15" width="9.140625" style="123"/>
    <col min="16" max="16" width="10.140625" style="123" customWidth="1"/>
    <col min="17" max="17" width="41.85546875" style="123" customWidth="1"/>
    <col min="18" max="18" width="3.140625" style="123" customWidth="1"/>
    <col min="19" max="19" width="10" style="123" bestFit="1" customWidth="1"/>
    <col min="20" max="16384" width="9.140625" style="123"/>
  </cols>
  <sheetData>
    <row r="1" spans="1:18" ht="50.25" customHeight="1" x14ac:dyDescent="0.2">
      <c r="A1" s="516" t="s">
        <v>739</v>
      </c>
      <c r="B1" s="517"/>
      <c r="C1" s="517"/>
      <c r="D1" s="517"/>
      <c r="E1" s="517"/>
      <c r="F1" s="517"/>
      <c r="G1" s="517"/>
      <c r="H1" s="517"/>
      <c r="I1" s="517"/>
      <c r="J1" s="517"/>
      <c r="K1" s="517"/>
      <c r="L1" s="517"/>
      <c r="M1" s="517"/>
      <c r="N1" s="517"/>
      <c r="O1" s="517"/>
      <c r="P1" s="517"/>
      <c r="Q1" s="517"/>
      <c r="R1" s="364"/>
    </row>
    <row r="2" spans="1:18" ht="13.5" customHeight="1" x14ac:dyDescent="0.45">
      <c r="A2" s="490"/>
      <c r="B2" s="368"/>
      <c r="C2" s="368"/>
      <c r="D2" s="368"/>
      <c r="E2" s="368"/>
      <c r="F2" s="368"/>
      <c r="G2" s="368"/>
      <c r="H2" s="368"/>
      <c r="I2" s="368"/>
      <c r="J2" s="368"/>
      <c r="K2" s="368"/>
      <c r="L2" s="368"/>
      <c r="M2" s="479"/>
      <c r="N2" s="484"/>
      <c r="O2" s="485"/>
      <c r="P2" s="484"/>
      <c r="Q2" s="484"/>
      <c r="R2" s="364"/>
    </row>
    <row r="3" spans="1:18" ht="14.25" customHeight="1" x14ac:dyDescent="0.45">
      <c r="A3" s="378" t="s">
        <v>474</v>
      </c>
      <c r="B3" s="369"/>
      <c r="C3" s="379" t="s">
        <v>475</v>
      </c>
      <c r="D3" s="370"/>
      <c r="E3" s="177"/>
      <c r="F3" s="372" t="s">
        <v>284</v>
      </c>
      <c r="G3" s="371"/>
      <c r="H3" s="368"/>
      <c r="I3" s="368"/>
      <c r="J3" s="371"/>
      <c r="K3" s="373"/>
      <c r="L3" s="374"/>
      <c r="M3" s="480"/>
      <c r="N3" s="488"/>
      <c r="O3" s="515" t="s">
        <v>117</v>
      </c>
      <c r="P3" s="515"/>
      <c r="Q3" s="364" t="s">
        <v>319</v>
      </c>
      <c r="R3" s="364"/>
    </row>
    <row r="4" spans="1:18" ht="13.5" customHeight="1" thickBot="1" x14ac:dyDescent="0.35">
      <c r="A4" s="375"/>
      <c r="B4" s="376"/>
      <c r="C4" s="377"/>
      <c r="D4" s="377"/>
      <c r="E4" s="377"/>
      <c r="F4" s="377"/>
      <c r="G4" s="377"/>
      <c r="H4" s="377"/>
      <c r="I4" s="377"/>
      <c r="J4" s="377"/>
      <c r="K4" s="377"/>
      <c r="L4" s="377"/>
      <c r="M4" s="481"/>
      <c r="N4" s="486"/>
      <c r="O4" s="486"/>
      <c r="P4" s="486"/>
      <c r="Q4" s="487"/>
      <c r="R4" s="364"/>
    </row>
    <row r="5" spans="1:18" ht="20.100000000000001" customHeight="1" thickBot="1" x14ac:dyDescent="0.35">
      <c r="A5" s="214" t="s">
        <v>440</v>
      </c>
      <c r="B5" s="176"/>
      <c r="C5" s="124"/>
      <c r="D5" s="124"/>
      <c r="E5" s="126"/>
      <c r="F5" s="124"/>
      <c r="G5" s="160"/>
      <c r="H5" s="127"/>
      <c r="I5" s="127"/>
      <c r="J5" s="127"/>
      <c r="K5" s="127"/>
      <c r="L5" s="127"/>
      <c r="M5" s="482"/>
      <c r="N5" s="482"/>
      <c r="O5" s="482"/>
      <c r="P5" s="482"/>
      <c r="Q5" s="483"/>
      <c r="R5" s="364"/>
    </row>
    <row r="6" spans="1:18" ht="14.1" customHeight="1" x14ac:dyDescent="0.25">
      <c r="A6" s="271"/>
      <c r="B6" s="224"/>
      <c r="C6" s="225"/>
      <c r="D6" s="226" t="s">
        <v>564</v>
      </c>
      <c r="E6" s="227">
        <v>24</v>
      </c>
      <c r="F6" s="228" t="s">
        <v>0</v>
      </c>
      <c r="G6" s="186"/>
      <c r="H6" s="184"/>
      <c r="I6" s="127"/>
      <c r="J6" s="127"/>
      <c r="K6" s="127"/>
      <c r="L6" s="127"/>
      <c r="M6" s="127"/>
      <c r="N6" s="127"/>
      <c r="O6" s="127"/>
      <c r="P6" s="127"/>
      <c r="Q6" s="159"/>
      <c r="R6" s="364"/>
    </row>
    <row r="7" spans="1:18" ht="14.1" customHeight="1" x14ac:dyDescent="0.25">
      <c r="A7" s="381"/>
      <c r="B7" s="184"/>
      <c r="C7" s="181"/>
      <c r="D7" s="219" t="s">
        <v>565</v>
      </c>
      <c r="E7" s="185">
        <v>30</v>
      </c>
      <c r="F7" s="229" t="s">
        <v>0</v>
      </c>
      <c r="G7" s="186"/>
      <c r="H7" s="184"/>
      <c r="I7" s="127"/>
      <c r="J7" s="127"/>
      <c r="K7" s="127"/>
      <c r="L7" s="127"/>
      <c r="M7" s="127"/>
      <c r="N7" s="127"/>
      <c r="O7" s="127"/>
      <c r="P7" s="127"/>
      <c r="Q7" s="159"/>
      <c r="R7" s="364"/>
    </row>
    <row r="8" spans="1:18" ht="14.1" customHeight="1" x14ac:dyDescent="0.25">
      <c r="A8" s="381"/>
      <c r="B8" s="184"/>
      <c r="C8" s="181"/>
      <c r="D8" s="219" t="s">
        <v>566</v>
      </c>
      <c r="E8" s="185">
        <v>36</v>
      </c>
      <c r="F8" s="229" t="s">
        <v>0</v>
      </c>
      <c r="G8" s="186"/>
      <c r="H8" s="184"/>
      <c r="I8" s="127"/>
      <c r="J8" s="127"/>
      <c r="K8" s="127"/>
      <c r="L8" s="127"/>
      <c r="M8" s="127"/>
      <c r="N8" s="127"/>
      <c r="O8" s="127"/>
      <c r="P8" s="127"/>
      <c r="Q8" s="159"/>
      <c r="R8" s="364"/>
    </row>
    <row r="9" spans="1:18" ht="14.1" customHeight="1" x14ac:dyDescent="0.25">
      <c r="A9" s="183"/>
      <c r="B9" s="184"/>
      <c r="C9" s="181"/>
      <c r="D9" s="219" t="s">
        <v>560</v>
      </c>
      <c r="E9" s="185">
        <v>14</v>
      </c>
      <c r="F9" s="229" t="s">
        <v>0</v>
      </c>
      <c r="G9" s="186"/>
      <c r="H9" s="184"/>
      <c r="I9" s="127"/>
      <c r="J9" s="127"/>
      <c r="K9" s="127"/>
      <c r="L9" s="127"/>
      <c r="M9" s="127"/>
      <c r="N9" s="127"/>
      <c r="O9" s="127"/>
      <c r="P9" s="127"/>
      <c r="Q9" s="159"/>
      <c r="R9" s="364"/>
    </row>
    <row r="10" spans="1:18" ht="14.1" customHeight="1" x14ac:dyDescent="0.25">
      <c r="A10" s="183"/>
      <c r="B10" s="184"/>
      <c r="C10" s="181"/>
      <c r="D10" s="219" t="s">
        <v>559</v>
      </c>
      <c r="E10" s="185">
        <v>9</v>
      </c>
      <c r="F10" s="229" t="s">
        <v>2</v>
      </c>
      <c r="G10" s="186"/>
      <c r="H10" s="184"/>
      <c r="I10" s="127"/>
      <c r="J10" s="127"/>
      <c r="K10" s="127"/>
      <c r="L10" s="127"/>
      <c r="M10" s="127"/>
      <c r="N10" s="127"/>
      <c r="O10" s="127"/>
      <c r="P10" s="127"/>
      <c r="Q10" s="159"/>
      <c r="R10" s="364"/>
    </row>
    <row r="11" spans="1:18" ht="14.1" customHeight="1" x14ac:dyDescent="0.25">
      <c r="A11" s="183"/>
      <c r="B11" s="184"/>
      <c r="C11" s="181"/>
      <c r="D11" s="219" t="s">
        <v>616</v>
      </c>
      <c r="E11" s="187">
        <v>332</v>
      </c>
      <c r="F11" s="229" t="s">
        <v>3</v>
      </c>
      <c r="G11" s="186"/>
      <c r="H11" s="184"/>
      <c r="I11" s="127"/>
      <c r="J11" s="127"/>
      <c r="K11" s="127"/>
      <c r="L11" s="127"/>
      <c r="M11" s="127"/>
      <c r="N11" s="127"/>
      <c r="O11" s="127"/>
      <c r="P11" s="127"/>
      <c r="Q11" s="159"/>
      <c r="R11" s="364"/>
    </row>
    <row r="12" spans="1:18" ht="14.1" customHeight="1" x14ac:dyDescent="0.25">
      <c r="A12" s="183"/>
      <c r="B12" s="184"/>
      <c r="C12" s="181"/>
      <c r="D12" s="219" t="s">
        <v>617</v>
      </c>
      <c r="E12" s="187">
        <v>332</v>
      </c>
      <c r="F12" s="229" t="s">
        <v>3</v>
      </c>
      <c r="G12" s="188"/>
      <c r="H12" s="184"/>
      <c r="I12" s="127"/>
      <c r="J12" s="127"/>
      <c r="K12" s="127"/>
      <c r="L12" s="127"/>
      <c r="M12" s="127"/>
      <c r="N12" s="127"/>
      <c r="O12" s="127"/>
      <c r="P12" s="127"/>
      <c r="Q12" s="159"/>
      <c r="R12" s="364"/>
    </row>
    <row r="13" spans="1:18" ht="15.95" customHeight="1" thickBot="1" x14ac:dyDescent="0.35">
      <c r="A13" s="230"/>
      <c r="B13" s="231"/>
      <c r="C13" s="182"/>
      <c r="D13" s="182" t="s">
        <v>561</v>
      </c>
      <c r="E13" s="182">
        <f>'Standard Value Calculator'!S4/1000</f>
        <v>30.1</v>
      </c>
      <c r="F13" s="232" t="s">
        <v>116</v>
      </c>
      <c r="G13" s="186"/>
      <c r="H13" s="184"/>
      <c r="I13" s="127"/>
      <c r="J13" s="127"/>
      <c r="K13" s="127"/>
      <c r="L13" s="127"/>
      <c r="M13" s="127"/>
      <c r="N13" s="127"/>
      <c r="O13" s="127"/>
      <c r="P13" s="127"/>
      <c r="Q13" s="159"/>
      <c r="R13" s="364"/>
    </row>
    <row r="14" spans="1:18" ht="14.1" customHeight="1" x14ac:dyDescent="0.2">
      <c r="A14" s="183"/>
      <c r="B14" s="184"/>
      <c r="C14" s="184"/>
      <c r="D14" s="189"/>
      <c r="E14" s="190"/>
      <c r="F14" s="184"/>
      <c r="G14" s="186"/>
      <c r="H14" s="184"/>
      <c r="I14" s="127"/>
      <c r="J14" s="127"/>
      <c r="K14" s="127"/>
      <c r="L14" s="127"/>
      <c r="M14" s="127"/>
      <c r="N14" s="127"/>
      <c r="O14" s="127"/>
      <c r="P14" s="127"/>
      <c r="Q14" s="159"/>
      <c r="R14" s="364"/>
    </row>
    <row r="15" spans="1:18" ht="20.100000000000001" customHeight="1" thickBot="1" x14ac:dyDescent="0.35">
      <c r="A15" s="214" t="s">
        <v>429</v>
      </c>
      <c r="B15" s="191"/>
      <c r="C15" s="192"/>
      <c r="D15" s="192"/>
      <c r="E15" s="193"/>
      <c r="F15" s="192"/>
      <c r="G15" s="186"/>
      <c r="H15" s="184"/>
      <c r="I15" s="127"/>
      <c r="J15" s="127"/>
      <c r="K15" s="127"/>
      <c r="L15" s="127"/>
      <c r="M15" s="127"/>
      <c r="N15" s="127"/>
      <c r="O15" s="127"/>
      <c r="P15" s="127"/>
      <c r="Q15" s="159"/>
      <c r="R15" s="364"/>
    </row>
    <row r="16" spans="1:18" ht="14.1" customHeight="1" x14ac:dyDescent="0.2">
      <c r="A16" s="271"/>
      <c r="B16" s="224"/>
      <c r="C16" s="225"/>
      <c r="D16" s="225" t="s">
        <v>457</v>
      </c>
      <c r="E16" s="459">
        <f>Lout1*1000000</f>
        <v>7.5041574372230331</v>
      </c>
      <c r="F16" s="233" t="s">
        <v>412</v>
      </c>
      <c r="G16" s="186"/>
      <c r="H16" s="184"/>
      <c r="I16" s="127"/>
      <c r="J16" s="127"/>
      <c r="K16" s="127"/>
      <c r="L16" s="127"/>
      <c r="M16" s="127"/>
      <c r="N16" s="127"/>
      <c r="O16" s="127"/>
      <c r="P16" s="127"/>
      <c r="Q16" s="159"/>
      <c r="R16" s="364"/>
    </row>
    <row r="17" spans="1:19" ht="14.1" customHeight="1" x14ac:dyDescent="0.25">
      <c r="A17" s="183"/>
      <c r="B17" s="184"/>
      <c r="C17" s="181"/>
      <c r="D17" s="219" t="s">
        <v>765</v>
      </c>
      <c r="E17" s="185">
        <v>6.8</v>
      </c>
      <c r="F17" s="229" t="s">
        <v>412</v>
      </c>
      <c r="G17" s="186"/>
      <c r="H17" s="184"/>
      <c r="I17" s="127"/>
      <c r="J17" s="127"/>
      <c r="K17" s="127"/>
      <c r="L17" s="127"/>
      <c r="M17" s="127"/>
      <c r="N17" s="127"/>
      <c r="O17" s="127"/>
      <c r="P17" s="127"/>
      <c r="Q17" s="159"/>
      <c r="R17" s="364"/>
    </row>
    <row r="18" spans="1:19" ht="14.1" customHeight="1" x14ac:dyDescent="0.2">
      <c r="A18" s="183"/>
      <c r="B18" s="184"/>
      <c r="C18" s="181"/>
      <c r="D18" s="219" t="s">
        <v>458</v>
      </c>
      <c r="E18" s="185">
        <v>0.88</v>
      </c>
      <c r="F18" s="229" t="s">
        <v>115</v>
      </c>
      <c r="G18" s="186"/>
      <c r="H18" s="184"/>
      <c r="I18" s="127"/>
      <c r="J18" s="127"/>
      <c r="K18" s="127"/>
      <c r="L18" s="127"/>
      <c r="M18" s="127"/>
      <c r="N18" s="127"/>
      <c r="O18" s="127"/>
      <c r="P18" s="127"/>
      <c r="Q18" s="159"/>
      <c r="R18" s="364"/>
    </row>
    <row r="19" spans="1:19" ht="15" customHeight="1" x14ac:dyDescent="0.3">
      <c r="A19" s="183"/>
      <c r="B19" s="184"/>
      <c r="C19" s="181"/>
      <c r="D19" s="380" t="s">
        <v>563</v>
      </c>
      <c r="E19" s="216">
        <f>Iripple1</f>
        <v>3.3729791020053717</v>
      </c>
      <c r="F19" s="234" t="s">
        <v>769</v>
      </c>
      <c r="G19" s="186"/>
      <c r="H19" s="184"/>
      <c r="I19" s="127"/>
      <c r="J19" s="127"/>
      <c r="K19" s="127"/>
      <c r="L19" s="127"/>
      <c r="M19" s="127"/>
      <c r="N19" s="127"/>
      <c r="O19" s="127"/>
      <c r="P19" s="127"/>
      <c r="Q19" s="159"/>
      <c r="R19" s="364"/>
    </row>
    <row r="20" spans="1:19" ht="15" customHeight="1" x14ac:dyDescent="0.3">
      <c r="A20" s="381"/>
      <c r="B20" s="184"/>
      <c r="C20" s="181"/>
      <c r="D20" s="181" t="s">
        <v>544</v>
      </c>
      <c r="E20" s="217">
        <f>Iripple1/Iout*100</f>
        <v>37.477545577837461</v>
      </c>
      <c r="F20" s="234" t="s">
        <v>299</v>
      </c>
      <c r="G20" s="186"/>
      <c r="H20" s="184"/>
      <c r="I20" s="127"/>
      <c r="J20" s="127"/>
      <c r="K20" s="127"/>
      <c r="L20" s="127"/>
      <c r="M20" s="127"/>
      <c r="N20" s="127"/>
      <c r="O20" s="127"/>
      <c r="P20" s="127"/>
      <c r="Q20" s="159"/>
      <c r="R20" s="364"/>
    </row>
    <row r="21" spans="1:19" ht="15" customHeight="1" thickBot="1" x14ac:dyDescent="0.25">
      <c r="A21" s="230"/>
      <c r="B21" s="231"/>
      <c r="C21" s="280"/>
      <c r="D21" s="511" t="s">
        <v>762</v>
      </c>
      <c r="E21" s="349">
        <v>0.2</v>
      </c>
      <c r="F21" s="512" t="s">
        <v>208</v>
      </c>
      <c r="G21" s="186"/>
      <c r="H21" s="184"/>
      <c r="I21" s="127"/>
      <c r="J21" s="127"/>
      <c r="K21" s="127"/>
      <c r="L21" s="127"/>
      <c r="M21" s="127"/>
      <c r="N21" s="127"/>
      <c r="O21" s="127"/>
      <c r="P21" s="127"/>
      <c r="Q21" s="159"/>
      <c r="R21" s="364"/>
    </row>
    <row r="22" spans="1:19" ht="14.1" customHeight="1" x14ac:dyDescent="0.2">
      <c r="A22" s="183"/>
      <c r="B22" s="184"/>
      <c r="C22" s="184"/>
      <c r="D22" s="184"/>
      <c r="E22" s="184"/>
      <c r="F22" s="184"/>
      <c r="G22" s="186"/>
      <c r="H22" s="184"/>
      <c r="I22" s="127"/>
      <c r="J22" s="127"/>
      <c r="K22" s="127"/>
      <c r="L22" s="127"/>
      <c r="M22" s="127"/>
      <c r="N22" s="127"/>
      <c r="O22" s="127"/>
      <c r="P22" s="127"/>
      <c r="Q22" s="159"/>
      <c r="R22" s="364"/>
    </row>
    <row r="23" spans="1:19" ht="20.100000000000001" customHeight="1" thickBot="1" x14ac:dyDescent="0.4">
      <c r="A23" s="214" t="s">
        <v>558</v>
      </c>
      <c r="B23" s="191"/>
      <c r="C23" s="184"/>
      <c r="D23" s="184"/>
      <c r="E23" s="184"/>
      <c r="F23" s="184"/>
      <c r="G23" s="186"/>
      <c r="H23" s="184"/>
      <c r="I23" s="127"/>
      <c r="J23" s="127"/>
      <c r="K23" s="127"/>
      <c r="L23" s="127"/>
      <c r="M23" s="127"/>
      <c r="N23" s="127"/>
      <c r="O23" s="127"/>
      <c r="P23" s="127"/>
      <c r="Q23" s="159"/>
      <c r="R23" s="364"/>
    </row>
    <row r="24" spans="1:19" ht="15" customHeight="1" x14ac:dyDescent="0.25">
      <c r="A24" s="396"/>
      <c r="B24" s="278"/>
      <c r="C24" s="397"/>
      <c r="D24" s="401" t="s">
        <v>597</v>
      </c>
      <c r="E24" s="403">
        <v>6</v>
      </c>
      <c r="F24" s="402" t="s">
        <v>115</v>
      </c>
      <c r="G24" s="186"/>
      <c r="H24" s="184"/>
      <c r="I24" s="127"/>
      <c r="J24" s="127"/>
      <c r="K24" s="127"/>
      <c r="L24" s="127"/>
      <c r="M24" s="127"/>
      <c r="N24" s="127"/>
      <c r="O24" s="127"/>
      <c r="P24" s="127"/>
      <c r="Q24" s="159"/>
      <c r="R24" s="364"/>
      <c r="S24" s="123" t="s">
        <v>383</v>
      </c>
    </row>
    <row r="25" spans="1:19" ht="15" customHeight="1" x14ac:dyDescent="0.2">
      <c r="A25" s="183"/>
      <c r="B25" s="184"/>
      <c r="C25" s="184"/>
      <c r="D25" s="219" t="s">
        <v>459</v>
      </c>
      <c r="E25" s="185">
        <v>13</v>
      </c>
      <c r="F25" s="229" t="s">
        <v>2</v>
      </c>
      <c r="G25" s="186"/>
      <c r="H25" s="184"/>
      <c r="I25" s="127"/>
      <c r="J25" s="127"/>
      <c r="K25" s="127"/>
      <c r="L25" s="127"/>
      <c r="M25" s="127"/>
      <c r="N25" s="127"/>
      <c r="O25" s="127"/>
      <c r="P25" s="127"/>
      <c r="Q25" s="159"/>
      <c r="R25" s="364"/>
    </row>
    <row r="26" spans="1:19" ht="15" customHeight="1" x14ac:dyDescent="0.3">
      <c r="A26" s="184"/>
      <c r="B26" s="184"/>
      <c r="C26" s="184"/>
      <c r="D26" s="181" t="s">
        <v>581</v>
      </c>
      <c r="E26" s="217">
        <f>IF(RDSON_sense=1, Rilim_Rdson, Rilim_shunt)</f>
        <v>562</v>
      </c>
      <c r="F26" s="234" t="s">
        <v>274</v>
      </c>
      <c r="G26" s="188"/>
      <c r="H26" s="184"/>
      <c r="I26" s="127"/>
      <c r="J26" s="127"/>
      <c r="K26" s="127"/>
      <c r="L26" s="127"/>
      <c r="M26" s="127"/>
      <c r="N26" s="127"/>
      <c r="O26" s="127"/>
      <c r="P26" s="127"/>
      <c r="Q26" s="159"/>
      <c r="R26" s="364"/>
    </row>
    <row r="27" spans="1:19" ht="14.1" customHeight="1" x14ac:dyDescent="0.3">
      <c r="A27" s="183"/>
      <c r="B27" s="184"/>
      <c r="C27" s="184"/>
      <c r="D27" s="181" t="s">
        <v>562</v>
      </c>
      <c r="E27" s="216">
        <f>'Variable Management'!B51</f>
        <v>18</v>
      </c>
      <c r="F27" s="234" t="s">
        <v>2</v>
      </c>
      <c r="G27" s="184"/>
      <c r="H27" s="184"/>
      <c r="I27" s="127"/>
      <c r="J27" s="127"/>
      <c r="K27" s="127"/>
      <c r="L27" s="127"/>
      <c r="M27" s="127"/>
      <c r="N27" s="127"/>
      <c r="O27" s="127"/>
      <c r="P27" s="127"/>
      <c r="Q27" s="159"/>
      <c r="R27" s="364"/>
    </row>
    <row r="28" spans="1:19" ht="14.1" customHeight="1" thickBot="1" x14ac:dyDescent="0.35">
      <c r="A28" s="230"/>
      <c r="B28" s="231"/>
      <c r="C28" s="231"/>
      <c r="D28" s="398" t="s">
        <v>589</v>
      </c>
      <c r="E28" s="399">
        <f>_Rs3</f>
        <v>0.18</v>
      </c>
      <c r="F28" s="257" t="s">
        <v>208</v>
      </c>
      <c r="G28" s="184"/>
      <c r="H28" s="184"/>
      <c r="I28" s="127"/>
      <c r="J28" s="127"/>
      <c r="K28" s="127"/>
      <c r="L28" s="127"/>
      <c r="M28" s="127"/>
      <c r="N28" s="127"/>
      <c r="O28" s="127"/>
      <c r="P28" s="127"/>
      <c r="Q28" s="159"/>
      <c r="R28" s="364"/>
    </row>
    <row r="29" spans="1:19" ht="14.1" customHeight="1" x14ac:dyDescent="0.2">
      <c r="A29" s="277"/>
      <c r="B29" s="170"/>
      <c r="C29" s="170"/>
      <c r="D29" s="170"/>
      <c r="E29" s="170"/>
      <c r="F29" s="170"/>
      <c r="G29" s="184"/>
      <c r="H29" s="184"/>
      <c r="I29" s="127"/>
      <c r="J29" s="127"/>
      <c r="K29" s="127"/>
      <c r="L29" s="127"/>
      <c r="M29" s="127"/>
      <c r="N29" s="127"/>
      <c r="O29" s="127"/>
      <c r="P29" s="127"/>
      <c r="Q29" s="159"/>
      <c r="R29" s="364"/>
    </row>
    <row r="30" spans="1:19" ht="19.5" thickBot="1" x14ac:dyDescent="0.35">
      <c r="A30" s="214" t="s">
        <v>724</v>
      </c>
      <c r="B30" s="191"/>
      <c r="C30" s="192"/>
      <c r="D30" s="192"/>
      <c r="E30" s="193"/>
      <c r="F30" s="192"/>
      <c r="G30" s="184"/>
      <c r="H30" s="184"/>
      <c r="I30" s="127"/>
      <c r="J30" s="127"/>
      <c r="K30" s="127"/>
      <c r="L30" s="127"/>
      <c r="M30" s="127"/>
      <c r="N30" s="127"/>
      <c r="O30" s="127"/>
      <c r="P30" s="127"/>
      <c r="Q30" s="159"/>
      <c r="R30" s="364"/>
    </row>
    <row r="31" spans="1:19" ht="14.1" customHeight="1" x14ac:dyDescent="0.25">
      <c r="A31" s="250"/>
      <c r="B31" s="236"/>
      <c r="C31" s="225"/>
      <c r="D31" s="237" t="s">
        <v>460</v>
      </c>
      <c r="E31" s="238">
        <v>100</v>
      </c>
      <c r="F31" s="228" t="s">
        <v>770</v>
      </c>
      <c r="G31" s="184"/>
      <c r="H31" s="184"/>
      <c r="I31" s="127"/>
      <c r="J31" s="127"/>
      <c r="K31" s="127"/>
      <c r="L31" s="127"/>
      <c r="M31" s="127"/>
      <c r="N31" s="127"/>
      <c r="O31" s="127"/>
      <c r="P31" s="127"/>
      <c r="Q31" s="159"/>
      <c r="R31" s="364"/>
    </row>
    <row r="32" spans="1:19" ht="14.1" customHeight="1" x14ac:dyDescent="0.2">
      <c r="A32" s="183"/>
      <c r="B32" s="184"/>
      <c r="C32" s="181"/>
      <c r="D32" s="181" t="s">
        <v>461</v>
      </c>
      <c r="E32" s="217">
        <f>Coutmin*1000000</f>
        <v>12.699469510562393</v>
      </c>
      <c r="F32" s="234" t="s">
        <v>413</v>
      </c>
      <c r="G32" s="184"/>
      <c r="H32" s="184"/>
      <c r="I32" s="127"/>
      <c r="J32" s="127"/>
      <c r="K32" s="127"/>
      <c r="L32" s="127"/>
      <c r="M32" s="127"/>
      <c r="N32" s="127"/>
      <c r="O32" s="127"/>
      <c r="P32" s="127"/>
      <c r="Q32" s="159"/>
      <c r="R32" s="364"/>
    </row>
    <row r="33" spans="1:18" ht="14.1" customHeight="1" x14ac:dyDescent="0.25">
      <c r="A33" s="183"/>
      <c r="B33" s="184"/>
      <c r="C33" s="181"/>
      <c r="D33" s="180" t="s">
        <v>728</v>
      </c>
      <c r="E33" s="185">
        <v>70</v>
      </c>
      <c r="F33" s="229" t="s">
        <v>413</v>
      </c>
      <c r="G33" s="186"/>
      <c r="H33" s="184"/>
      <c r="I33" s="127"/>
      <c r="J33" s="127"/>
      <c r="K33" s="127"/>
      <c r="L33" s="127"/>
      <c r="M33" s="127"/>
      <c r="N33" s="127"/>
      <c r="O33" s="127"/>
      <c r="P33" s="127"/>
      <c r="Q33" s="159"/>
      <c r="R33" s="364"/>
    </row>
    <row r="34" spans="1:18" ht="14.1" customHeight="1" x14ac:dyDescent="0.2">
      <c r="A34" s="183"/>
      <c r="B34" s="184"/>
      <c r="C34" s="181"/>
      <c r="D34" s="181" t="s">
        <v>462</v>
      </c>
      <c r="E34" s="218">
        <f>IF(ISERROR(Resrmax*1000),"N/A",Resrmax*1000)</f>
        <v>29.155399235505822</v>
      </c>
      <c r="F34" s="234" t="s">
        <v>115</v>
      </c>
      <c r="G34" s="186"/>
      <c r="H34" s="184"/>
      <c r="I34" s="127"/>
      <c r="J34" s="127"/>
      <c r="K34" s="127"/>
      <c r="L34" s="127"/>
      <c r="M34" s="127"/>
      <c r="N34" s="127"/>
      <c r="O34" s="127"/>
      <c r="P34" s="127"/>
      <c r="Q34" s="159"/>
      <c r="R34" s="364"/>
    </row>
    <row r="35" spans="1:18" ht="14.1" customHeight="1" x14ac:dyDescent="0.2">
      <c r="A35" s="183"/>
      <c r="B35" s="184"/>
      <c r="C35" s="181"/>
      <c r="D35" s="180" t="s">
        <v>463</v>
      </c>
      <c r="E35" s="187">
        <v>0.28000000000000003</v>
      </c>
      <c r="F35" s="229" t="s">
        <v>115</v>
      </c>
      <c r="G35" s="186"/>
      <c r="H35" s="184"/>
      <c r="I35" s="127"/>
      <c r="J35" s="127"/>
      <c r="K35" s="127"/>
      <c r="L35" s="127"/>
      <c r="M35" s="127"/>
      <c r="N35" s="127"/>
      <c r="O35" s="127"/>
      <c r="P35" s="127"/>
      <c r="Q35" s="159"/>
      <c r="R35" s="364"/>
    </row>
    <row r="36" spans="1:18" ht="14.1" customHeight="1" x14ac:dyDescent="0.3">
      <c r="A36" s="183"/>
      <c r="B36" s="184"/>
      <c r="C36" s="184"/>
      <c r="D36" s="181" t="s">
        <v>464</v>
      </c>
      <c r="E36" s="217">
        <f>Vripple2*1000</f>
        <v>18.166665156301558</v>
      </c>
      <c r="F36" s="234" t="s">
        <v>767</v>
      </c>
      <c r="G36" s="186"/>
      <c r="H36" s="184"/>
      <c r="I36" s="127"/>
      <c r="J36" s="127"/>
      <c r="K36" s="127"/>
      <c r="L36" s="127"/>
      <c r="M36" s="127"/>
      <c r="N36" s="127"/>
      <c r="O36" s="127"/>
      <c r="P36" s="127"/>
      <c r="Q36" s="159"/>
      <c r="R36" s="364"/>
    </row>
    <row r="37" spans="1:18" ht="14.1" customHeight="1" thickBot="1" x14ac:dyDescent="0.35">
      <c r="A37" s="230"/>
      <c r="B37" s="231"/>
      <c r="C37" s="231"/>
      <c r="D37" s="182" t="s">
        <v>465</v>
      </c>
      <c r="E37" s="235">
        <f>Icoutrms</f>
        <v>0.97369519625689183</v>
      </c>
      <c r="F37" s="232" t="s">
        <v>768</v>
      </c>
      <c r="G37" s="188"/>
      <c r="H37" s="184"/>
      <c r="I37" s="127"/>
      <c r="J37" s="127"/>
      <c r="K37" s="161"/>
      <c r="L37" s="127"/>
      <c r="M37" s="127"/>
      <c r="N37" s="127"/>
      <c r="O37" s="127"/>
      <c r="P37" s="127"/>
      <c r="Q37" s="159"/>
      <c r="R37" s="364"/>
    </row>
    <row r="38" spans="1:18" ht="14.1" customHeight="1" x14ac:dyDescent="0.2">
      <c r="A38" s="272"/>
      <c r="B38" s="194"/>
      <c r="C38" s="194"/>
      <c r="D38" s="194"/>
      <c r="E38" s="194"/>
      <c r="F38" s="194"/>
      <c r="G38" s="184"/>
      <c r="H38" s="184"/>
      <c r="I38" s="127"/>
      <c r="J38" s="127"/>
      <c r="K38" s="127"/>
      <c r="L38" s="127"/>
      <c r="M38" s="127"/>
      <c r="N38" s="127"/>
      <c r="O38" s="127"/>
      <c r="P38" s="127"/>
      <c r="Q38" s="159"/>
      <c r="R38" s="364"/>
    </row>
    <row r="39" spans="1:18" ht="19.5" thickBot="1" x14ac:dyDescent="0.35">
      <c r="A39" s="214" t="s">
        <v>725</v>
      </c>
      <c r="B39" s="191"/>
      <c r="C39" s="192"/>
      <c r="D39" s="192"/>
      <c r="E39" s="184"/>
      <c r="F39" s="184"/>
      <c r="G39" s="184"/>
      <c r="H39" s="184"/>
      <c r="I39" s="127"/>
      <c r="J39" s="127"/>
      <c r="K39" s="127"/>
      <c r="L39" s="162"/>
      <c r="M39" s="127"/>
      <c r="N39" s="127"/>
      <c r="O39" s="127"/>
      <c r="P39" s="127"/>
      <c r="Q39" s="159"/>
      <c r="R39" s="364"/>
    </row>
    <row r="40" spans="1:18" ht="14.1" customHeight="1" x14ac:dyDescent="0.25">
      <c r="A40" s="250"/>
      <c r="B40" s="236"/>
      <c r="C40" s="224"/>
      <c r="D40" s="226" t="s">
        <v>466</v>
      </c>
      <c r="E40" s="238">
        <v>240</v>
      </c>
      <c r="F40" s="228" t="s">
        <v>770</v>
      </c>
      <c r="G40" s="184"/>
      <c r="H40" s="184"/>
      <c r="I40" s="127"/>
      <c r="J40" s="163"/>
      <c r="K40" s="127"/>
      <c r="L40" s="127"/>
      <c r="M40" s="127"/>
      <c r="N40" s="127"/>
      <c r="O40" s="127"/>
      <c r="P40" s="127"/>
      <c r="Q40" s="159"/>
      <c r="R40" s="364"/>
    </row>
    <row r="41" spans="1:18" ht="14.1" customHeight="1" x14ac:dyDescent="0.2">
      <c r="A41" s="195"/>
      <c r="B41" s="192"/>
      <c r="C41" s="184"/>
      <c r="D41" s="181" t="s">
        <v>467</v>
      </c>
      <c r="E41" s="217">
        <f>'Variable Management'!B80*1000000</f>
        <v>28.172497091591943</v>
      </c>
      <c r="F41" s="234" t="s">
        <v>413</v>
      </c>
      <c r="G41" s="184"/>
      <c r="H41" s="184"/>
      <c r="I41" s="127"/>
      <c r="J41" s="163"/>
      <c r="K41" s="127"/>
      <c r="L41" s="127"/>
      <c r="M41" s="127"/>
      <c r="N41" s="127"/>
      <c r="O41" s="127"/>
      <c r="P41" s="127"/>
      <c r="Q41" s="159"/>
      <c r="R41" s="364"/>
    </row>
    <row r="42" spans="1:18" ht="14.1" customHeight="1" x14ac:dyDescent="0.25">
      <c r="A42" s="183"/>
      <c r="B42" s="184"/>
      <c r="C42" s="192"/>
      <c r="D42" s="219" t="s">
        <v>729</v>
      </c>
      <c r="E42" s="185">
        <v>30</v>
      </c>
      <c r="F42" s="229" t="s">
        <v>413</v>
      </c>
      <c r="G42" s="184"/>
      <c r="H42" s="184"/>
      <c r="I42" s="127"/>
      <c r="J42" s="163"/>
      <c r="K42" s="127"/>
      <c r="L42" s="127"/>
      <c r="M42" s="127"/>
      <c r="N42" s="127"/>
      <c r="O42" s="127"/>
      <c r="P42" s="127"/>
      <c r="Q42" s="159"/>
      <c r="R42" s="364"/>
    </row>
    <row r="43" spans="1:18" ht="14.1" customHeight="1" x14ac:dyDescent="0.2">
      <c r="A43" s="183"/>
      <c r="B43" s="184"/>
      <c r="C43" s="192"/>
      <c r="D43" s="181" t="s">
        <v>462</v>
      </c>
      <c r="E43" s="218">
        <f>IF(CinEsrMax*1000&lt;0,"N/A",CinEsrMax*1000)</f>
        <v>1.3680847389115458</v>
      </c>
      <c r="F43" s="234" t="s">
        <v>115</v>
      </c>
      <c r="G43" s="184"/>
      <c r="H43" s="184"/>
      <c r="I43" s="127"/>
      <c r="J43" s="164"/>
      <c r="K43" s="127"/>
      <c r="L43" s="127"/>
      <c r="M43" s="127"/>
      <c r="N43" s="127"/>
      <c r="O43" s="127"/>
      <c r="P43" s="127"/>
      <c r="Q43" s="159" t="s">
        <v>342</v>
      </c>
      <c r="R43" s="364"/>
    </row>
    <row r="44" spans="1:18" ht="14.1" customHeight="1" x14ac:dyDescent="0.2">
      <c r="A44" s="183"/>
      <c r="B44" s="184"/>
      <c r="C44" s="192"/>
      <c r="D44" s="219" t="s">
        <v>468</v>
      </c>
      <c r="E44" s="185">
        <v>1</v>
      </c>
      <c r="F44" s="229" t="s">
        <v>115</v>
      </c>
      <c r="G44" s="184"/>
      <c r="H44" s="184"/>
      <c r="I44" s="127"/>
      <c r="J44" s="164"/>
      <c r="K44" s="127"/>
      <c r="L44" s="127"/>
      <c r="M44" s="127"/>
      <c r="N44" s="127"/>
      <c r="O44" s="127"/>
      <c r="P44" s="127"/>
      <c r="Q44" s="159"/>
      <c r="R44" s="364"/>
    </row>
    <row r="45" spans="1:18" ht="14.1" customHeight="1" x14ac:dyDescent="0.3">
      <c r="A45" s="183"/>
      <c r="B45" s="184"/>
      <c r="C45" s="192"/>
      <c r="D45" s="181" t="s">
        <v>469</v>
      </c>
      <c r="E45" s="217">
        <f>Vinripple2*1000</f>
        <v>236.06646628373821</v>
      </c>
      <c r="F45" s="234" t="s">
        <v>767</v>
      </c>
      <c r="G45" s="184"/>
      <c r="H45" s="184"/>
      <c r="I45" s="127"/>
      <c r="J45" s="164"/>
      <c r="K45" s="127"/>
      <c r="L45" s="127"/>
      <c r="M45" s="127"/>
      <c r="N45" s="127"/>
      <c r="O45" s="127"/>
      <c r="P45" s="127"/>
      <c r="Q45" s="159"/>
      <c r="R45" s="364"/>
    </row>
    <row r="46" spans="1:18" ht="14.1" customHeight="1" thickBot="1" x14ac:dyDescent="0.35">
      <c r="A46" s="230"/>
      <c r="B46" s="231"/>
      <c r="C46" s="231"/>
      <c r="D46" s="182" t="s">
        <v>470</v>
      </c>
      <c r="E46" s="235">
        <f>Icinrms</f>
        <v>4.4947815424470203</v>
      </c>
      <c r="F46" s="232" t="s">
        <v>768</v>
      </c>
      <c r="G46" s="184"/>
      <c r="H46" s="184"/>
      <c r="I46" s="127"/>
      <c r="J46" s="127"/>
      <c r="K46" s="127"/>
      <c r="L46" s="127"/>
      <c r="M46" s="127"/>
      <c r="N46" s="127"/>
      <c r="O46" s="127"/>
      <c r="P46" s="127"/>
      <c r="Q46" s="159"/>
      <c r="R46" s="364"/>
    </row>
    <row r="47" spans="1:18" ht="14.1" customHeight="1" x14ac:dyDescent="0.2">
      <c r="A47" s="183"/>
      <c r="B47" s="184"/>
      <c r="C47" s="184"/>
      <c r="D47" s="181"/>
      <c r="E47" s="184"/>
      <c r="F47" s="184"/>
      <c r="G47" s="184"/>
      <c r="H47" s="184"/>
      <c r="I47" s="127"/>
      <c r="J47" s="127"/>
      <c r="K47" s="127"/>
      <c r="L47" s="127"/>
      <c r="M47" s="127"/>
      <c r="N47" s="127"/>
      <c r="O47" s="127"/>
      <c r="P47" s="127"/>
      <c r="Q47" s="159"/>
      <c r="R47" s="364"/>
    </row>
    <row r="48" spans="1:18" ht="19.5" thickBot="1" x14ac:dyDescent="0.35">
      <c r="A48" s="214" t="s">
        <v>605</v>
      </c>
      <c r="B48" s="191"/>
      <c r="C48" s="184"/>
      <c r="D48" s="181"/>
      <c r="E48" s="184"/>
      <c r="F48" s="184"/>
      <c r="G48" s="184"/>
      <c r="H48" s="196"/>
      <c r="I48" s="170"/>
      <c r="J48" s="170"/>
      <c r="K48" s="170"/>
      <c r="L48" s="170"/>
      <c r="M48" s="170"/>
      <c r="N48" s="127"/>
      <c r="O48" s="127"/>
      <c r="P48" s="127"/>
      <c r="Q48" s="159"/>
      <c r="R48" s="364"/>
    </row>
    <row r="49" spans="1:35" ht="14.1" customHeight="1" x14ac:dyDescent="0.25">
      <c r="A49" s="271"/>
      <c r="B49" s="224"/>
      <c r="C49" s="224"/>
      <c r="D49" s="239" t="s">
        <v>608</v>
      </c>
      <c r="E49" s="227">
        <v>4</v>
      </c>
      <c r="F49" s="228" t="s">
        <v>290</v>
      </c>
      <c r="G49" s="184"/>
      <c r="H49" s="194"/>
      <c r="I49" s="170"/>
      <c r="J49" s="170"/>
      <c r="K49" s="170"/>
      <c r="L49" s="170"/>
      <c r="M49" s="170"/>
      <c r="N49" s="127"/>
      <c r="O49" s="127"/>
      <c r="P49" s="127"/>
      <c r="Q49" s="159"/>
      <c r="R49" s="364"/>
    </row>
    <row r="50" spans="1:35" ht="14.1" customHeight="1" x14ac:dyDescent="0.3">
      <c r="A50" s="183"/>
      <c r="B50" s="184"/>
      <c r="C50" s="184"/>
      <c r="D50" s="181" t="s">
        <v>609</v>
      </c>
      <c r="E50" s="218">
        <f>Css_u*1000000000</f>
        <v>47</v>
      </c>
      <c r="F50" s="234" t="s">
        <v>278</v>
      </c>
      <c r="G50" s="184"/>
      <c r="H50" s="194"/>
      <c r="I50" s="170"/>
      <c r="J50" s="170"/>
      <c r="K50" s="170"/>
      <c r="L50" s="170"/>
      <c r="M50" s="170"/>
      <c r="N50" s="127"/>
      <c r="O50" s="127"/>
      <c r="P50" s="127"/>
      <c r="Q50" s="159"/>
      <c r="R50" s="364"/>
    </row>
    <row r="51" spans="1:35" ht="14.1" customHeight="1" x14ac:dyDescent="0.2">
      <c r="A51" s="183"/>
      <c r="B51" s="184"/>
      <c r="C51" s="192"/>
      <c r="D51" s="180" t="s">
        <v>606</v>
      </c>
      <c r="E51" s="308">
        <v>30</v>
      </c>
      <c r="F51" s="229" t="s">
        <v>0</v>
      </c>
      <c r="G51" s="184"/>
      <c r="H51" s="184"/>
      <c r="I51" s="127"/>
      <c r="J51" s="125"/>
      <c r="K51" s="179"/>
      <c r="L51" s="127"/>
      <c r="M51" s="170"/>
      <c r="N51" s="127"/>
      <c r="O51" s="127"/>
      <c r="P51" s="127"/>
      <c r="Q51" s="159"/>
      <c r="R51" s="364"/>
    </row>
    <row r="52" spans="1:35" ht="14.1" customHeight="1" x14ac:dyDescent="0.2">
      <c r="A52" s="183"/>
      <c r="B52" s="184"/>
      <c r="C52" s="192"/>
      <c r="D52" s="180" t="s">
        <v>607</v>
      </c>
      <c r="E52" s="308">
        <v>28</v>
      </c>
      <c r="F52" s="229" t="s">
        <v>0</v>
      </c>
      <c r="G52" s="184"/>
      <c r="H52" s="184"/>
      <c r="I52" s="127"/>
      <c r="J52" s="125"/>
      <c r="K52" s="179"/>
      <c r="L52" s="127"/>
      <c r="M52" s="170"/>
      <c r="N52" s="127"/>
      <c r="O52" s="127"/>
      <c r="P52" s="127"/>
      <c r="Q52" s="159"/>
      <c r="R52" s="364"/>
    </row>
    <row r="53" spans="1:35" ht="14.1" customHeight="1" x14ac:dyDescent="0.3">
      <c r="A53" s="183"/>
      <c r="B53" s="184"/>
      <c r="C53" s="184"/>
      <c r="D53" s="181" t="s">
        <v>590</v>
      </c>
      <c r="E53" s="181">
        <f>'Variable Management'!F97</f>
        <v>200</v>
      </c>
      <c r="F53" s="234" t="s">
        <v>116</v>
      </c>
      <c r="G53" s="184"/>
      <c r="H53" s="184"/>
      <c r="I53" s="127"/>
      <c r="J53" s="125"/>
      <c r="K53" s="179"/>
      <c r="L53" s="127"/>
      <c r="M53" s="170"/>
      <c r="N53" s="127"/>
      <c r="O53" s="127"/>
      <c r="P53" s="127"/>
      <c r="Q53" s="159"/>
      <c r="R53" s="364"/>
    </row>
    <row r="54" spans="1:35" ht="14.1" customHeight="1" thickBot="1" x14ac:dyDescent="0.35">
      <c r="A54" s="230"/>
      <c r="B54" s="231"/>
      <c r="C54" s="231"/>
      <c r="D54" s="182" t="s">
        <v>591</v>
      </c>
      <c r="E54" s="182">
        <f>'Variable Management'!F98</f>
        <v>8.25</v>
      </c>
      <c r="F54" s="232" t="s">
        <v>116</v>
      </c>
      <c r="G54" s="184"/>
      <c r="H54" s="184"/>
      <c r="I54" s="127"/>
      <c r="J54" s="125"/>
      <c r="K54" s="179"/>
      <c r="L54" s="127"/>
      <c r="M54" s="170"/>
      <c r="N54" s="127"/>
      <c r="O54" s="127"/>
      <c r="P54" s="127"/>
      <c r="Q54" s="159"/>
      <c r="R54" s="364"/>
    </row>
    <row r="55" spans="1:35" ht="14.1" customHeight="1" x14ac:dyDescent="0.2">
      <c r="A55" s="183" t="s">
        <v>726</v>
      </c>
      <c r="B55" s="184"/>
      <c r="C55" s="184"/>
      <c r="D55" s="181"/>
      <c r="E55" s="197"/>
      <c r="F55" s="184"/>
      <c r="G55" s="184"/>
      <c r="H55" s="184"/>
      <c r="I55" s="127"/>
      <c r="J55" s="125"/>
      <c r="K55" s="179"/>
      <c r="L55" s="127"/>
      <c r="M55" s="170"/>
      <c r="N55" s="127"/>
      <c r="O55" s="127"/>
      <c r="P55" s="127"/>
      <c r="Q55" s="159"/>
      <c r="R55" s="364"/>
    </row>
    <row r="56" spans="1:35" ht="14.1" customHeight="1" x14ac:dyDescent="0.2">
      <c r="A56" s="272" t="s">
        <v>771</v>
      </c>
      <c r="B56" s="170"/>
      <c r="C56" s="170"/>
      <c r="D56" s="170"/>
      <c r="E56" s="170"/>
      <c r="F56" s="170"/>
      <c r="G56" s="184"/>
      <c r="H56" s="184"/>
      <c r="I56" s="127"/>
      <c r="J56" s="125"/>
      <c r="K56" s="179"/>
      <c r="L56" s="127"/>
      <c r="M56" s="170"/>
      <c r="N56" s="127"/>
      <c r="O56" s="127"/>
      <c r="P56" s="127"/>
      <c r="Q56" s="159"/>
      <c r="R56" s="364"/>
    </row>
    <row r="57" spans="1:35" ht="14.1" customHeight="1" x14ac:dyDescent="0.2">
      <c r="A57" s="277"/>
      <c r="B57" s="184"/>
      <c r="C57" s="184"/>
      <c r="D57" s="181"/>
      <c r="E57" s="197"/>
      <c r="F57" s="184"/>
      <c r="G57" s="184"/>
      <c r="H57" s="184"/>
      <c r="I57" s="127"/>
      <c r="J57" s="125"/>
      <c r="K57" s="179"/>
      <c r="L57" s="127"/>
      <c r="M57" s="170"/>
      <c r="N57" s="127"/>
      <c r="O57" s="127"/>
      <c r="P57" s="127"/>
      <c r="Q57" s="159"/>
      <c r="R57" s="364"/>
    </row>
    <row r="58" spans="1:35" ht="24.95" customHeight="1" thickBot="1" x14ac:dyDescent="0.25">
      <c r="A58" s="270" t="s">
        <v>455</v>
      </c>
      <c r="B58" s="199"/>
      <c r="C58" s="192"/>
      <c r="D58" s="192"/>
      <c r="E58" s="193"/>
      <c r="F58" s="192"/>
      <c r="G58" s="184"/>
      <c r="H58" s="184"/>
      <c r="I58" s="127"/>
      <c r="J58" s="127"/>
      <c r="K58" s="127"/>
      <c r="L58" s="127"/>
      <c r="M58" s="127"/>
      <c r="N58" s="127"/>
      <c r="O58" s="127"/>
      <c r="P58" s="127"/>
      <c r="Q58" s="159"/>
      <c r="R58" s="365"/>
      <c r="S58" s="85"/>
      <c r="T58" s="85"/>
      <c r="W58" s="85"/>
      <c r="X58" s="85"/>
      <c r="Y58" s="85"/>
      <c r="AB58" s="85"/>
      <c r="AC58" s="85"/>
      <c r="AD58" s="85"/>
      <c r="AG58" s="85"/>
      <c r="AH58" s="85"/>
      <c r="AI58" s="85"/>
    </row>
    <row r="59" spans="1:35" ht="14.1" customHeight="1" x14ac:dyDescent="0.2">
      <c r="A59" s="271"/>
      <c r="B59" s="224"/>
      <c r="C59" s="225"/>
      <c r="D59" s="225" t="s">
        <v>471</v>
      </c>
      <c r="E59" s="241">
        <f>Fo/1000</f>
        <v>7.2962614188887605</v>
      </c>
      <c r="F59" s="233" t="s">
        <v>3</v>
      </c>
      <c r="G59" s="184"/>
      <c r="H59" s="184"/>
      <c r="I59" s="127"/>
      <c r="J59" s="127"/>
      <c r="K59" s="127"/>
      <c r="L59" s="127"/>
      <c r="M59" s="127"/>
      <c r="N59" s="127"/>
      <c r="O59" s="127"/>
      <c r="P59" s="127"/>
      <c r="Q59" s="159"/>
      <c r="R59" s="365"/>
      <c r="S59" s="85"/>
      <c r="T59" s="85"/>
      <c r="W59" s="85"/>
      <c r="X59" s="85"/>
      <c r="Y59" s="85"/>
      <c r="AB59" s="85"/>
      <c r="AC59" s="85"/>
      <c r="AD59" s="85"/>
      <c r="AG59" s="85"/>
      <c r="AH59" s="85"/>
      <c r="AI59" s="85"/>
    </row>
    <row r="60" spans="1:35" ht="14.1" customHeight="1" x14ac:dyDescent="0.2">
      <c r="A60" s="183"/>
      <c r="B60" s="184"/>
      <c r="C60" s="181"/>
      <c r="D60" s="181" t="s">
        <v>472</v>
      </c>
      <c r="E60" s="217">
        <f>Fesr/1000</f>
        <v>8120.150167028386</v>
      </c>
      <c r="F60" s="234" t="s">
        <v>3</v>
      </c>
      <c r="G60" s="184"/>
      <c r="H60" s="184"/>
      <c r="I60" s="127"/>
      <c r="J60" s="127"/>
      <c r="K60" s="127"/>
      <c r="L60" s="127"/>
      <c r="M60" s="127"/>
      <c r="N60" s="127"/>
      <c r="O60" s="127"/>
      <c r="P60" s="127"/>
      <c r="Q60" s="159"/>
      <c r="R60" s="365"/>
      <c r="S60" s="85"/>
      <c r="T60" s="85"/>
      <c r="W60" s="85"/>
      <c r="X60" s="85"/>
      <c r="Y60" s="85"/>
      <c r="AB60" s="85"/>
      <c r="AC60" s="85"/>
      <c r="AD60" s="85"/>
      <c r="AG60" s="85"/>
      <c r="AH60" s="85"/>
      <c r="AI60" s="85"/>
    </row>
    <row r="61" spans="1:35" ht="14.1" customHeight="1" x14ac:dyDescent="0.2">
      <c r="A61" s="183"/>
      <c r="B61" s="184"/>
      <c r="C61" s="181"/>
      <c r="D61" s="180" t="s">
        <v>481</v>
      </c>
      <c r="E61" s="220">
        <v>35</v>
      </c>
      <c r="F61" s="404" t="s">
        <v>604</v>
      </c>
      <c r="G61" s="184"/>
      <c r="H61" s="184"/>
      <c r="I61" s="127"/>
      <c r="J61" s="127"/>
      <c r="K61" s="127"/>
      <c r="L61" s="127"/>
      <c r="M61" s="127"/>
      <c r="N61" s="127"/>
      <c r="O61" s="127"/>
      <c r="P61" s="127"/>
      <c r="Q61" s="159"/>
      <c r="R61" s="365"/>
      <c r="S61" s="85"/>
      <c r="T61" s="85"/>
      <c r="W61" s="85"/>
      <c r="X61" s="85"/>
      <c r="Y61" s="85"/>
      <c r="AB61" s="85"/>
      <c r="AC61" s="85"/>
      <c r="AD61" s="85"/>
      <c r="AG61" s="85"/>
      <c r="AH61" s="85"/>
      <c r="AI61" s="85"/>
    </row>
    <row r="62" spans="1:35" ht="14.1" customHeight="1" x14ac:dyDescent="0.2">
      <c r="A62" s="183"/>
      <c r="B62" s="184"/>
      <c r="C62" s="181"/>
      <c r="D62" s="181" t="s">
        <v>473</v>
      </c>
      <c r="E62" s="215">
        <f>Kmidband</f>
        <v>0.31979848300017549</v>
      </c>
      <c r="F62" s="234" t="s">
        <v>49</v>
      </c>
      <c r="G62" s="184"/>
      <c r="H62" s="184"/>
      <c r="I62" s="127"/>
      <c r="J62" s="127"/>
      <c r="K62" s="127"/>
      <c r="L62" s="127"/>
      <c r="M62" s="127"/>
      <c r="N62" s="127"/>
      <c r="O62" s="127"/>
      <c r="P62" s="127"/>
      <c r="Q62" s="159"/>
      <c r="R62" s="365"/>
      <c r="S62" s="85"/>
      <c r="T62" s="85"/>
      <c r="W62" s="85"/>
      <c r="X62" s="85"/>
      <c r="Y62" s="85"/>
      <c r="AB62" s="85"/>
      <c r="AC62" s="85"/>
      <c r="AD62" s="85"/>
      <c r="AG62" s="85"/>
      <c r="AH62" s="85"/>
      <c r="AI62" s="85"/>
    </row>
    <row r="63" spans="1:35" ht="15.95" customHeight="1" x14ac:dyDescent="0.25">
      <c r="A63" s="183"/>
      <c r="B63" s="184"/>
      <c r="C63" s="181"/>
      <c r="D63" s="180" t="s">
        <v>592</v>
      </c>
      <c r="E63" s="221">
        <v>26.4</v>
      </c>
      <c r="F63" s="229" t="s">
        <v>116</v>
      </c>
      <c r="G63" s="184"/>
      <c r="H63" s="184"/>
      <c r="I63" s="127"/>
      <c r="J63" s="127"/>
      <c r="K63" s="127"/>
      <c r="L63" s="127"/>
      <c r="M63" s="127"/>
      <c r="N63" s="127"/>
      <c r="O63" s="127"/>
      <c r="P63" s="127"/>
      <c r="Q63" s="159"/>
      <c r="R63" s="365"/>
      <c r="S63" s="85"/>
      <c r="T63" s="85"/>
      <c r="W63" s="85"/>
      <c r="X63" s="85"/>
      <c r="Y63" s="85"/>
      <c r="AB63" s="85"/>
      <c r="AC63" s="85"/>
      <c r="AD63" s="85"/>
      <c r="AG63" s="85"/>
      <c r="AH63" s="85"/>
      <c r="AI63" s="85"/>
    </row>
    <row r="64" spans="1:35" ht="15.95" customHeight="1" x14ac:dyDescent="0.3">
      <c r="A64" s="381"/>
      <c r="B64" s="184"/>
      <c r="C64" s="181"/>
      <c r="D64" s="181" t="s">
        <v>593</v>
      </c>
      <c r="E64" s="181">
        <f>IF(Vout=Vref,"OPEN",Rfb2_u/1000)</f>
        <v>1.58</v>
      </c>
      <c r="F64" s="234" t="str">
        <f>IF(Vout=Vref,"","kΩ")</f>
        <v>kΩ</v>
      </c>
      <c r="G64" s="184"/>
      <c r="H64" s="184"/>
      <c r="I64" s="127"/>
      <c r="J64" s="127"/>
      <c r="K64" s="127"/>
      <c r="L64" s="127"/>
      <c r="M64" s="127"/>
      <c r="N64" s="127"/>
      <c r="O64" s="127"/>
      <c r="P64" s="127"/>
      <c r="Q64" s="159"/>
      <c r="R64" s="365"/>
      <c r="S64" s="85"/>
      <c r="T64" s="85"/>
      <c r="W64" s="85"/>
      <c r="X64" s="85"/>
      <c r="Y64" s="85"/>
      <c r="AB64" s="85"/>
      <c r="AC64" s="85"/>
      <c r="AD64" s="85"/>
      <c r="AG64" s="85"/>
      <c r="AH64" s="85"/>
      <c r="AI64" s="85"/>
    </row>
    <row r="65" spans="1:35" ht="15.95" customHeight="1" thickBot="1" x14ac:dyDescent="0.35">
      <c r="A65" s="230"/>
      <c r="B65" s="280"/>
      <c r="C65" s="280"/>
      <c r="D65" s="398" t="s">
        <v>699</v>
      </c>
      <c r="E65" s="489">
        <f>'Variable Management'!B129</f>
        <v>14.167088607594938</v>
      </c>
      <c r="F65" s="257" t="s">
        <v>0</v>
      </c>
      <c r="G65" s="184"/>
      <c r="H65" s="184"/>
      <c r="I65" s="127"/>
      <c r="J65" s="127"/>
      <c r="K65" s="127"/>
      <c r="L65" s="127"/>
      <c r="M65" s="127"/>
      <c r="N65" s="127"/>
      <c r="O65" s="127"/>
      <c r="P65" s="127"/>
      <c r="Q65" s="159"/>
      <c r="R65" s="365"/>
      <c r="S65" s="85"/>
      <c r="T65" s="85"/>
      <c r="W65" s="85"/>
      <c r="X65" s="85"/>
      <c r="Y65" s="85"/>
      <c r="AB65" s="85"/>
      <c r="AC65" s="85"/>
      <c r="AD65" s="85"/>
      <c r="AG65" s="85"/>
      <c r="AH65" s="85"/>
      <c r="AI65" s="85"/>
    </row>
    <row r="66" spans="1:35" ht="13.5" thickBot="1" x14ac:dyDescent="0.25">
      <c r="A66" s="183"/>
      <c r="B66" s="184"/>
      <c r="C66" s="181"/>
      <c r="D66" s="200"/>
      <c r="E66" s="201"/>
      <c r="F66" s="202"/>
      <c r="G66" s="184"/>
      <c r="H66" s="184"/>
      <c r="I66" s="127"/>
      <c r="J66" s="127"/>
      <c r="K66" s="127"/>
      <c r="L66" s="127"/>
      <c r="M66" s="127"/>
      <c r="N66" s="127"/>
      <c r="O66" s="127"/>
      <c r="P66" s="127"/>
      <c r="Q66" s="159"/>
      <c r="R66" s="365"/>
      <c r="S66" s="85"/>
      <c r="T66" s="85"/>
      <c r="W66" s="85"/>
      <c r="X66" s="85"/>
      <c r="Y66" s="85"/>
      <c r="AB66" s="85"/>
      <c r="AC66" s="85"/>
      <c r="AD66" s="85"/>
      <c r="AG66" s="85"/>
      <c r="AH66" s="85"/>
      <c r="AI66" s="85"/>
    </row>
    <row r="67" spans="1:35" ht="15.95" customHeight="1" x14ac:dyDescent="0.2">
      <c r="A67" s="348" t="s">
        <v>727</v>
      </c>
      <c r="B67" s="278"/>
      <c r="C67" s="278"/>
      <c r="D67" s="281" t="s">
        <v>533</v>
      </c>
      <c r="E67" s="282">
        <f>Fo/1000*0.7</f>
        <v>5.1073829932221324</v>
      </c>
      <c r="F67" s="284" t="str">
        <f>"      kHz  "</f>
        <v xml:space="preserve">      kHz  </v>
      </c>
      <c r="G67" s="204"/>
      <c r="H67" s="205"/>
      <c r="I67" s="127"/>
      <c r="J67" s="127"/>
      <c r="K67" s="127"/>
      <c r="L67" s="127"/>
      <c r="M67" s="127"/>
      <c r="N67" s="127"/>
      <c r="O67" s="127"/>
      <c r="P67" s="127"/>
      <c r="Q67" s="159"/>
      <c r="R67" s="365"/>
      <c r="S67" s="85"/>
      <c r="T67" s="85"/>
      <c r="W67" s="85"/>
      <c r="X67" s="85"/>
      <c r="Y67" s="85"/>
      <c r="AB67" s="85"/>
      <c r="AC67" s="85"/>
      <c r="AD67" s="85"/>
      <c r="AG67" s="85"/>
      <c r="AH67" s="85"/>
      <c r="AI67" s="85"/>
    </row>
    <row r="68" spans="1:35" ht="15.95" customHeight="1" x14ac:dyDescent="0.2">
      <c r="A68" s="354" t="str">
        <f>" Baseline P/Z Frequencies:"</f>
        <v xml:space="preserve"> Baseline P/Z Frequencies:</v>
      </c>
      <c r="B68" s="170"/>
      <c r="C68" s="170"/>
      <c r="D68" s="203" t="s">
        <v>534</v>
      </c>
      <c r="E68" s="222">
        <f>Fo/1000*0.9</f>
        <v>6.5666352769998841</v>
      </c>
      <c r="F68" s="240" t="str">
        <f>"      kHz"</f>
        <v xml:space="preserve">      kHz</v>
      </c>
      <c r="G68" s="204"/>
      <c r="H68" s="205"/>
      <c r="I68" s="127"/>
      <c r="J68" s="127"/>
      <c r="K68" s="127"/>
      <c r="L68" s="127"/>
      <c r="M68" s="127"/>
      <c r="N68" s="127"/>
      <c r="O68" s="127"/>
      <c r="P68" s="127"/>
      <c r="Q68" s="159"/>
      <c r="R68" s="365"/>
      <c r="S68" s="85"/>
      <c r="T68" s="85"/>
      <c r="W68" s="85"/>
      <c r="X68" s="85"/>
      <c r="Y68" s="85"/>
      <c r="AB68" s="85"/>
      <c r="AC68" s="85"/>
      <c r="AD68" s="85"/>
      <c r="AG68" s="85"/>
      <c r="AH68" s="85"/>
      <c r="AI68" s="85"/>
    </row>
    <row r="69" spans="1:35" ht="15.95" customHeight="1" x14ac:dyDescent="0.2">
      <c r="A69" s="277"/>
      <c r="B69" s="170"/>
      <c r="C69" s="170"/>
      <c r="D69" s="206" t="s">
        <v>531</v>
      </c>
      <c r="E69" s="223">
        <f>Fesr/1000</f>
        <v>8120.150167028386</v>
      </c>
      <c r="F69" s="240" t="str">
        <f>"      kHz"</f>
        <v xml:space="preserve">      kHz</v>
      </c>
      <c r="G69" s="207"/>
      <c r="H69" s="205"/>
      <c r="I69" s="127"/>
      <c r="J69" s="127"/>
      <c r="K69" s="127"/>
      <c r="L69" s="127"/>
      <c r="M69" s="127"/>
      <c r="N69" s="127"/>
      <c r="O69" s="127"/>
      <c r="P69" s="127"/>
      <c r="Q69" s="159"/>
      <c r="R69" s="365"/>
      <c r="S69" s="85"/>
      <c r="T69" s="85"/>
      <c r="W69" s="85"/>
      <c r="X69" s="85"/>
      <c r="Y69" s="85"/>
      <c r="AB69" s="85"/>
      <c r="AC69" s="85"/>
      <c r="AD69" s="85"/>
      <c r="AG69" s="85"/>
      <c r="AH69" s="85"/>
      <c r="AI69" s="85"/>
    </row>
    <row r="70" spans="1:35" ht="15.95" customHeight="1" thickBot="1" x14ac:dyDescent="0.25">
      <c r="A70" s="279"/>
      <c r="B70" s="280"/>
      <c r="C70" s="280"/>
      <c r="D70" s="267" t="s">
        <v>532</v>
      </c>
      <c r="E70" s="268">
        <f>Fsw/2000</f>
        <v>166</v>
      </c>
      <c r="F70" s="269" t="str">
        <f>"      kHz"</f>
        <v xml:space="preserve">      kHz</v>
      </c>
      <c r="G70" s="207"/>
      <c r="H70" s="205"/>
      <c r="I70" s="127"/>
      <c r="J70" s="127"/>
      <c r="K70" s="127"/>
      <c r="L70" s="127"/>
      <c r="M70" s="127"/>
      <c r="N70" s="127"/>
      <c r="O70" s="127"/>
      <c r="P70" s="127"/>
      <c r="Q70" s="159"/>
      <c r="R70" s="365"/>
      <c r="S70" s="85"/>
      <c r="T70" s="85"/>
      <c r="W70" s="85"/>
      <c r="X70" s="85"/>
      <c r="Y70" s="85"/>
      <c r="AB70" s="85"/>
      <c r="AC70" s="85"/>
      <c r="AD70" s="85"/>
      <c r="AG70" s="85"/>
      <c r="AH70" s="85"/>
      <c r="AI70" s="85"/>
    </row>
    <row r="71" spans="1:35" ht="15.75" customHeight="1" x14ac:dyDescent="0.2">
      <c r="A71" s="273"/>
      <c r="B71" s="208"/>
      <c r="C71" s="209"/>
      <c r="D71" s="194"/>
      <c r="E71" s="194"/>
      <c r="F71" s="194"/>
      <c r="G71" s="207"/>
      <c r="H71" s="205"/>
      <c r="I71" s="127"/>
      <c r="J71" s="127"/>
      <c r="K71" s="127"/>
      <c r="L71" s="127"/>
      <c r="M71" s="127"/>
      <c r="N71" s="127"/>
      <c r="O71" s="127"/>
      <c r="P71" s="127"/>
      <c r="Q71" s="159"/>
      <c r="R71" s="365"/>
      <c r="S71" s="85"/>
      <c r="T71" s="85"/>
      <c r="W71" s="85"/>
      <c r="X71" s="85"/>
      <c r="Y71" s="85"/>
      <c r="AB71" s="85"/>
      <c r="AC71" s="85"/>
      <c r="AD71" s="85"/>
      <c r="AG71" s="85"/>
      <c r="AH71" s="85"/>
      <c r="AI71" s="85"/>
    </row>
    <row r="72" spans="1:35" ht="18" customHeight="1" x14ac:dyDescent="0.2">
      <c r="A72" s="195" t="s">
        <v>443</v>
      </c>
      <c r="B72" s="210"/>
      <c r="C72" s="181"/>
      <c r="D72" s="200"/>
      <c r="E72" s="201"/>
      <c r="F72" s="202"/>
      <c r="G72" s="211"/>
      <c r="H72" s="184"/>
      <c r="I72" s="127"/>
      <c r="J72" s="127"/>
      <c r="K72" s="127"/>
      <c r="L72" s="127"/>
      <c r="M72" s="127"/>
      <c r="N72" s="127"/>
      <c r="O72" s="127"/>
      <c r="P72" s="127"/>
      <c r="Q72" s="159"/>
      <c r="R72" s="365"/>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25">
      <c r="A73" s="300"/>
      <c r="B73" s="301" t="s">
        <v>456</v>
      </c>
      <c r="C73" s="304" t="s">
        <v>442</v>
      </c>
      <c r="D73" s="302" t="str">
        <f>"    Selected"</f>
        <v xml:space="preserve">    Selected</v>
      </c>
      <c r="E73" s="303"/>
      <c r="F73" s="514" t="s">
        <v>444</v>
      </c>
      <c r="G73" s="514"/>
      <c r="H73" s="514"/>
      <c r="I73" s="293"/>
      <c r="J73" s="293"/>
      <c r="K73" s="293"/>
      <c r="L73" s="293"/>
      <c r="M73" s="293"/>
      <c r="N73" s="293"/>
      <c r="O73" s="293"/>
      <c r="P73" s="293"/>
      <c r="Q73" s="294"/>
      <c r="R73" s="366"/>
      <c r="S73" s="295"/>
      <c r="T73" s="295"/>
      <c r="U73" s="296"/>
      <c r="V73" s="296"/>
      <c r="W73" s="295"/>
      <c r="X73" s="295"/>
      <c r="Y73" s="295"/>
      <c r="Z73" s="296"/>
      <c r="AA73" s="296"/>
      <c r="AB73" s="295"/>
      <c r="AC73" s="295"/>
      <c r="AD73" s="295"/>
      <c r="AE73" s="296"/>
      <c r="AF73" s="296"/>
      <c r="AG73" s="297"/>
      <c r="AH73" s="297"/>
      <c r="AI73" s="297"/>
    </row>
    <row r="74" spans="1:35" ht="14.25" x14ac:dyDescent="0.25">
      <c r="A74" s="248" t="s">
        <v>445</v>
      </c>
      <c r="B74" s="264">
        <f>Rcea1/1000</f>
        <v>8.4426799512046333</v>
      </c>
      <c r="C74" s="242">
        <f>'Standard Value Calculator'!S27</f>
        <v>8.4499999999999993</v>
      </c>
      <c r="D74" s="243">
        <v>6.65</v>
      </c>
      <c r="E74" s="244" t="s">
        <v>116</v>
      </c>
      <c r="F74" s="246">
        <f>Fz1_u/1000</f>
        <v>5.0921434418095144</v>
      </c>
      <c r="G74" s="263" t="s">
        <v>446</v>
      </c>
      <c r="H74" s="194"/>
      <c r="I74" s="127"/>
      <c r="J74" s="127"/>
      <c r="K74" s="127"/>
      <c r="L74" s="127"/>
      <c r="M74" s="127"/>
      <c r="N74" s="127"/>
      <c r="O74" s="127"/>
      <c r="P74" s="127"/>
      <c r="Q74" s="159"/>
      <c r="R74" s="365"/>
      <c r="S74" s="285"/>
      <c r="T74" s="285"/>
      <c r="U74" s="286"/>
      <c r="V74" s="286"/>
      <c r="W74" s="285"/>
      <c r="X74" s="285"/>
      <c r="Y74" s="285"/>
      <c r="Z74" s="286"/>
      <c r="AA74" s="286"/>
      <c r="AB74" s="285"/>
      <c r="AC74" s="285"/>
      <c r="AD74" s="285"/>
      <c r="AE74" s="286"/>
      <c r="AF74" s="286"/>
      <c r="AG74" s="85"/>
      <c r="AH74" s="85"/>
      <c r="AI74" s="85"/>
    </row>
    <row r="75" spans="1:35" ht="14.25" x14ac:dyDescent="0.25">
      <c r="A75" s="249" t="s">
        <v>447</v>
      </c>
      <c r="B75" s="265">
        <f>Cc1ea*1000000000000</f>
        <v>3690.9773486492663</v>
      </c>
      <c r="C75" s="205">
        <f>'Standard Value Calculator'!S28</f>
        <v>3900</v>
      </c>
      <c r="D75" s="212">
        <v>4700</v>
      </c>
      <c r="E75" s="245" t="s">
        <v>53</v>
      </c>
      <c r="F75" s="247">
        <f>Fz2_u/1000</f>
        <v>5.8581766517136478</v>
      </c>
      <c r="G75" s="240" t="s">
        <v>448</v>
      </c>
      <c r="H75" s="194"/>
      <c r="I75" s="127"/>
      <c r="J75" s="127"/>
      <c r="K75" s="127"/>
      <c r="L75" s="127"/>
      <c r="M75" s="127"/>
      <c r="N75" s="127"/>
      <c r="O75" s="127"/>
      <c r="P75" s="127"/>
      <c r="Q75" s="159"/>
      <c r="R75" s="365"/>
      <c r="S75" s="285"/>
      <c r="T75" s="285"/>
      <c r="U75" s="286"/>
      <c r="V75" s="286"/>
      <c r="W75" s="285"/>
      <c r="X75" s="285"/>
      <c r="Y75" s="285"/>
      <c r="Z75" s="286"/>
      <c r="AA75" s="286"/>
      <c r="AB75" s="285"/>
      <c r="AC75" s="285"/>
      <c r="AD75" s="285"/>
      <c r="AE75" s="286"/>
      <c r="AF75" s="286"/>
      <c r="AG75" s="85"/>
      <c r="AH75" s="85"/>
      <c r="AI75" s="85"/>
    </row>
    <row r="76" spans="1:35" ht="14.25" x14ac:dyDescent="0.25">
      <c r="A76" s="249" t="s">
        <v>449</v>
      </c>
      <c r="B76" s="265">
        <f>Cc2ea*1000000000000</f>
        <v>117.1665629508981</v>
      </c>
      <c r="C76" s="205">
        <f>'Standard Value Calculator'!S29</f>
        <v>120</v>
      </c>
      <c r="D76" s="212">
        <v>120</v>
      </c>
      <c r="E76" s="245" t="s">
        <v>53</v>
      </c>
      <c r="F76" s="422">
        <f>Fp1_u/1000</f>
        <v>207.23299905437028</v>
      </c>
      <c r="G76" s="240" t="s">
        <v>450</v>
      </c>
      <c r="H76" s="194"/>
      <c r="I76" s="127"/>
      <c r="J76" s="127"/>
      <c r="K76" s="127"/>
      <c r="L76" s="127"/>
      <c r="M76" s="127"/>
      <c r="N76" s="127"/>
      <c r="O76" s="127"/>
      <c r="P76" s="127"/>
      <c r="Q76" s="159"/>
      <c r="R76" s="365"/>
      <c r="S76" s="285"/>
      <c r="T76" s="285"/>
      <c r="U76" s="286"/>
      <c r="V76" s="286"/>
      <c r="W76" s="285"/>
      <c r="X76" s="285"/>
      <c r="Y76" s="285"/>
      <c r="Z76" s="286"/>
      <c r="AA76" s="286"/>
      <c r="AB76" s="285"/>
      <c r="AC76" s="285"/>
      <c r="AD76" s="285"/>
      <c r="AE76" s="286"/>
      <c r="AF76" s="286"/>
      <c r="AG76" s="85"/>
      <c r="AH76" s="85"/>
      <c r="AI76" s="85"/>
    </row>
    <row r="77" spans="1:35" ht="16.149999999999999" customHeight="1" x14ac:dyDescent="0.25">
      <c r="A77" s="249" t="s">
        <v>451</v>
      </c>
      <c r="B77" s="265">
        <f>Rcea2</f>
        <v>21.36653559236554</v>
      </c>
      <c r="C77" s="205">
        <f>'Standard Value Calculator'!S30</f>
        <v>21.5</v>
      </c>
      <c r="D77" s="212">
        <v>768</v>
      </c>
      <c r="E77" s="245" t="s">
        <v>274</v>
      </c>
      <c r="F77" s="422">
        <f>Fp2_u/1000</f>
        <v>204.53442824601549</v>
      </c>
      <c r="G77" s="240" t="s">
        <v>452</v>
      </c>
      <c r="H77" s="194"/>
      <c r="I77" s="127"/>
      <c r="J77" s="127"/>
      <c r="K77" s="127"/>
      <c r="L77" s="127"/>
      <c r="M77" s="127"/>
      <c r="N77" s="127"/>
      <c r="O77" s="127"/>
      <c r="P77" s="127"/>
      <c r="Q77" s="159"/>
      <c r="R77" s="365"/>
      <c r="S77" s="285"/>
      <c r="T77" s="285"/>
      <c r="U77" s="286"/>
      <c r="V77" s="286"/>
      <c r="W77" s="285"/>
      <c r="X77" s="285"/>
      <c r="Y77" s="285"/>
      <c r="Z77" s="286"/>
      <c r="AA77" s="286"/>
      <c r="AB77" s="285"/>
      <c r="AC77" s="285"/>
      <c r="AD77" s="285"/>
      <c r="AE77" s="286"/>
      <c r="AF77" s="286"/>
      <c r="AG77" s="85"/>
      <c r="AH77" s="85"/>
      <c r="AI77" s="85"/>
    </row>
    <row r="78" spans="1:35" ht="15" customHeight="1" thickBot="1" x14ac:dyDescent="0.3">
      <c r="A78" s="274" t="s">
        <v>453</v>
      </c>
      <c r="B78" s="266">
        <f>Cc3ea*1000000000000</f>
        <v>917.32232000227771</v>
      </c>
      <c r="C78" s="258">
        <f>'Standard Value Calculator'!S31</f>
        <v>1000.0000000000001</v>
      </c>
      <c r="D78" s="259">
        <v>1000</v>
      </c>
      <c r="E78" s="260" t="s">
        <v>53</v>
      </c>
      <c r="F78" s="261"/>
      <c r="G78" s="262"/>
      <c r="H78" s="194"/>
      <c r="I78" s="127"/>
      <c r="J78" s="127"/>
      <c r="K78" s="127"/>
      <c r="L78" s="180"/>
      <c r="M78" s="513"/>
      <c r="N78" s="192"/>
      <c r="O78" s="127"/>
      <c r="P78" s="127"/>
      <c r="Q78" s="159"/>
      <c r="R78" s="365"/>
      <c r="S78" s="285"/>
      <c r="T78" s="285"/>
      <c r="U78" s="286"/>
      <c r="V78" s="286"/>
      <c r="W78" s="285"/>
      <c r="X78" s="285"/>
      <c r="Y78" s="285"/>
      <c r="Z78" s="286"/>
      <c r="AA78" s="286"/>
      <c r="AB78" s="285"/>
      <c r="AC78" s="285"/>
      <c r="AD78" s="285"/>
      <c r="AE78" s="286"/>
      <c r="AF78" s="286"/>
      <c r="AG78" s="85"/>
      <c r="AH78" s="85"/>
      <c r="AI78" s="85"/>
    </row>
    <row r="79" spans="1:35" ht="13.5" thickBot="1" x14ac:dyDescent="0.25">
      <c r="A79" s="183"/>
      <c r="B79" s="181"/>
      <c r="C79" s="181"/>
      <c r="D79" s="184"/>
      <c r="E79" s="184"/>
      <c r="F79" s="184"/>
      <c r="G79" s="184"/>
      <c r="H79" s="184"/>
      <c r="I79" s="127"/>
      <c r="J79" s="127"/>
      <c r="K79" s="127"/>
      <c r="L79" s="127"/>
      <c r="M79" s="127"/>
      <c r="N79" s="127"/>
      <c r="O79" s="127"/>
      <c r="P79" s="127"/>
      <c r="Q79" s="159"/>
      <c r="R79" s="365"/>
      <c r="S79" s="285"/>
      <c r="T79" s="285"/>
      <c r="U79" s="286"/>
      <c r="V79" s="286"/>
      <c r="W79" s="285"/>
      <c r="X79" s="285"/>
      <c r="Y79" s="285"/>
      <c r="Z79" s="286"/>
      <c r="AA79" s="286"/>
      <c r="AB79" s="285"/>
      <c r="AC79" s="285"/>
      <c r="AD79" s="285"/>
      <c r="AE79" s="286"/>
      <c r="AF79" s="286"/>
      <c r="AG79" s="85"/>
      <c r="AH79" s="85"/>
      <c r="AI79" s="85"/>
    </row>
    <row r="80" spans="1:35" s="130" customFormat="1" ht="18.75" thickBot="1" x14ac:dyDescent="0.3">
      <c r="A80" s="275" t="s">
        <v>454</v>
      </c>
      <c r="B80" s="198"/>
      <c r="C80" s="213"/>
      <c r="D80" s="213"/>
      <c r="E80" s="213"/>
      <c r="F80" s="213"/>
      <c r="G80" s="213"/>
      <c r="H80" s="213"/>
      <c r="I80" s="128"/>
      <c r="J80" s="128"/>
      <c r="K80" s="128"/>
      <c r="L80" s="128"/>
      <c r="M80" s="128"/>
      <c r="N80" s="128"/>
      <c r="O80" s="128"/>
      <c r="P80" s="128"/>
      <c r="Q80" s="129"/>
      <c r="R80" s="367"/>
      <c r="S80" s="287"/>
      <c r="T80" s="287"/>
      <c r="U80" s="288"/>
      <c r="V80" s="288"/>
      <c r="W80" s="287"/>
      <c r="X80" s="287"/>
      <c r="Y80" s="287"/>
      <c r="Z80" s="288"/>
      <c r="AA80" s="288"/>
      <c r="AB80" s="287"/>
      <c r="AC80" s="287"/>
      <c r="AD80" s="287"/>
      <c r="AE80" s="288"/>
      <c r="AF80" s="288"/>
      <c r="AG80" s="86"/>
      <c r="AH80" s="86"/>
      <c r="AI80" s="86"/>
    </row>
    <row r="81" spans="1:35" x14ac:dyDescent="0.2">
      <c r="A81" s="272"/>
      <c r="B81" s="194"/>
      <c r="C81" s="184"/>
      <c r="D81" s="184"/>
      <c r="E81" s="184"/>
      <c r="F81" s="184"/>
      <c r="G81" s="184"/>
      <c r="H81" s="184"/>
      <c r="I81" s="127"/>
      <c r="J81" s="127"/>
      <c r="K81" s="127"/>
      <c r="L81" s="127"/>
      <c r="M81" s="127"/>
      <c r="N81" s="127"/>
      <c r="O81" s="127"/>
      <c r="P81" s="127"/>
      <c r="Q81" s="159"/>
      <c r="R81" s="365"/>
      <c r="S81" s="285"/>
      <c r="T81" s="285"/>
      <c r="U81" s="286"/>
      <c r="V81" s="286"/>
      <c r="W81" s="285"/>
      <c r="X81" s="285"/>
      <c r="Y81" s="285"/>
      <c r="Z81" s="286"/>
      <c r="AA81" s="286"/>
      <c r="AB81" s="285"/>
      <c r="AC81" s="285"/>
      <c r="AD81" s="285"/>
      <c r="AE81" s="286"/>
      <c r="AF81" s="286"/>
      <c r="AG81" s="85"/>
      <c r="AH81" s="85"/>
      <c r="AI81" s="85"/>
    </row>
    <row r="82" spans="1:35" ht="18.75" x14ac:dyDescent="0.3">
      <c r="A82" s="214" t="s">
        <v>361</v>
      </c>
      <c r="B82" s="191"/>
      <c r="C82" s="184"/>
      <c r="D82" s="184"/>
      <c r="E82" s="184"/>
      <c r="F82" s="184"/>
      <c r="G82" s="184"/>
      <c r="H82" s="184"/>
      <c r="I82" s="127"/>
      <c r="J82" s="127"/>
      <c r="K82" s="127"/>
      <c r="L82" s="127"/>
      <c r="M82" s="127"/>
      <c r="N82" s="127"/>
      <c r="O82" s="127"/>
      <c r="P82" s="127"/>
      <c r="Q82" s="159"/>
      <c r="R82" s="365"/>
      <c r="S82" s="285"/>
      <c r="T82" s="285"/>
      <c r="U82" s="286"/>
      <c r="V82" s="286"/>
      <c r="W82" s="285"/>
      <c r="X82" s="285"/>
      <c r="Y82" s="285"/>
      <c r="Z82" s="286"/>
      <c r="AA82" s="286"/>
      <c r="AB82" s="285"/>
      <c r="AC82" s="285"/>
      <c r="AD82" s="285"/>
      <c r="AE82" s="286"/>
      <c r="AF82" s="286"/>
      <c r="AG82" s="85"/>
      <c r="AH82" s="85"/>
      <c r="AI82" s="85"/>
    </row>
    <row r="83" spans="1:35" ht="13.5" customHeight="1" thickBot="1" x14ac:dyDescent="0.25">
      <c r="A83" s="183"/>
      <c r="B83" s="184"/>
      <c r="C83" s="184"/>
      <c r="D83" s="184"/>
      <c r="E83" s="184"/>
      <c r="F83" s="184"/>
      <c r="G83" s="184"/>
      <c r="H83" s="184"/>
      <c r="I83" s="127"/>
      <c r="J83" s="127"/>
      <c r="K83" s="127"/>
      <c r="L83" s="127"/>
      <c r="M83" s="127"/>
      <c r="N83" s="127"/>
      <c r="O83" s="127"/>
      <c r="P83" s="127"/>
      <c r="Q83" s="159"/>
      <c r="R83" s="365"/>
      <c r="S83" s="285"/>
      <c r="T83" s="178"/>
      <c r="U83" s="178"/>
      <c r="V83" s="286"/>
      <c r="W83" s="285"/>
      <c r="X83" s="285"/>
      <c r="Y83" s="285"/>
      <c r="Z83" s="286"/>
      <c r="AA83" s="286"/>
      <c r="AB83" s="285"/>
      <c r="AC83" s="285"/>
      <c r="AD83" s="285"/>
      <c r="AE83" s="286"/>
      <c r="AF83" s="286"/>
      <c r="AG83" s="85"/>
      <c r="AH83" s="85"/>
      <c r="AI83" s="85"/>
    </row>
    <row r="84" spans="1:35" ht="18" customHeight="1" x14ac:dyDescent="0.25">
      <c r="A84" s="250"/>
      <c r="B84" s="251"/>
      <c r="C84" s="252"/>
      <c r="D84" s="299" t="s">
        <v>529</v>
      </c>
      <c r="E84" s="352" t="s">
        <v>763</v>
      </c>
      <c r="F84" s="253"/>
      <c r="G84" s="184"/>
      <c r="H84" s="184"/>
      <c r="I84" s="127"/>
      <c r="J84" s="127"/>
      <c r="K84" s="127"/>
      <c r="L84" s="127"/>
      <c r="M84" s="127"/>
      <c r="N84" s="127"/>
      <c r="O84" s="127"/>
      <c r="P84" s="127"/>
      <c r="Q84" s="159"/>
      <c r="R84" s="365"/>
      <c r="S84" s="285"/>
      <c r="T84" s="178"/>
      <c r="U84" s="178"/>
      <c r="V84" s="286"/>
      <c r="W84" s="285"/>
      <c r="X84" s="285"/>
      <c r="Y84" s="285"/>
      <c r="Z84" s="286"/>
      <c r="AA84" s="286"/>
      <c r="AB84" s="285"/>
      <c r="AC84" s="285"/>
      <c r="AD84" s="285"/>
      <c r="AE84" s="286"/>
      <c r="AF84" s="286"/>
      <c r="AG84" s="85"/>
      <c r="AH84" s="85"/>
      <c r="AI84" s="85"/>
    </row>
    <row r="85" spans="1:35" ht="14.45" customHeight="1" x14ac:dyDescent="0.25">
      <c r="A85" s="183"/>
      <c r="B85" s="184"/>
      <c r="C85" s="192"/>
      <c r="D85" s="180" t="s">
        <v>545</v>
      </c>
      <c r="E85" s="185">
        <v>52</v>
      </c>
      <c r="F85" s="234" t="s">
        <v>115</v>
      </c>
      <c r="G85" s="184"/>
      <c r="H85" s="184"/>
      <c r="I85" s="127"/>
      <c r="J85" s="127"/>
      <c r="K85" s="127"/>
      <c r="L85" s="127"/>
      <c r="M85" s="127"/>
      <c r="N85" s="127"/>
      <c r="O85" s="127"/>
      <c r="P85" s="127"/>
      <c r="Q85" s="159"/>
      <c r="R85" s="365"/>
      <c r="S85" s="285"/>
      <c r="T85" s="178"/>
      <c r="U85" s="178"/>
      <c r="V85" s="286"/>
      <c r="W85" s="285"/>
      <c r="X85" s="285"/>
      <c r="Y85" s="285"/>
      <c r="Z85" s="286"/>
      <c r="AA85" s="286"/>
      <c r="AB85" s="285"/>
      <c r="AC85" s="285"/>
      <c r="AD85" s="285"/>
      <c r="AE85" s="286"/>
      <c r="AF85" s="286"/>
      <c r="AG85" s="85"/>
      <c r="AH85" s="85"/>
      <c r="AI85" s="85"/>
    </row>
    <row r="86" spans="1:35" ht="14.45" customHeight="1" x14ac:dyDescent="0.25">
      <c r="A86" s="183"/>
      <c r="B86" s="184"/>
      <c r="C86" s="192"/>
      <c r="D86" s="180" t="s">
        <v>546</v>
      </c>
      <c r="E86" s="185">
        <v>3.2</v>
      </c>
      <c r="F86" s="234" t="s">
        <v>136</v>
      </c>
      <c r="G86" s="184"/>
      <c r="H86" s="184"/>
      <c r="I86" s="127"/>
      <c r="J86" s="127"/>
      <c r="K86" s="127"/>
      <c r="L86" s="127"/>
      <c r="M86" s="127"/>
      <c r="N86" s="127"/>
      <c r="O86" s="127"/>
      <c r="P86" s="127"/>
      <c r="Q86" s="159"/>
      <c r="R86" s="365"/>
      <c r="S86" s="285"/>
      <c r="T86" s="178"/>
      <c r="U86" s="178"/>
      <c r="V86" s="286"/>
      <c r="W86" s="285"/>
      <c r="X86" s="285"/>
      <c r="Y86" s="285"/>
      <c r="Z86" s="286"/>
      <c r="AA86" s="286"/>
      <c r="AB86" s="285"/>
      <c r="AC86" s="285"/>
      <c r="AD86" s="285"/>
      <c r="AE86" s="286"/>
      <c r="AF86" s="286"/>
      <c r="AG86" s="85"/>
      <c r="AH86" s="85"/>
      <c r="AI86" s="85"/>
    </row>
    <row r="87" spans="1:35" ht="14.45" customHeight="1" x14ac:dyDescent="0.25">
      <c r="A87" s="183"/>
      <c r="B87" s="184"/>
      <c r="C87" s="192"/>
      <c r="D87" s="180" t="s">
        <v>547</v>
      </c>
      <c r="E87" s="185">
        <v>0.8</v>
      </c>
      <c r="F87" s="234" t="s">
        <v>136</v>
      </c>
      <c r="G87" s="184"/>
      <c r="H87" s="184"/>
      <c r="I87" s="127"/>
      <c r="J87" s="127"/>
      <c r="K87" s="127"/>
      <c r="L87" s="127"/>
      <c r="M87" s="127"/>
      <c r="N87" s="127"/>
      <c r="O87" s="127"/>
      <c r="P87" s="127"/>
      <c r="Q87" s="159"/>
      <c r="R87" s="365"/>
      <c r="S87" s="285"/>
      <c r="T87" s="178"/>
      <c r="U87" s="178"/>
      <c r="V87" s="286"/>
      <c r="W87" s="285"/>
      <c r="X87" s="285"/>
      <c r="Y87" s="285"/>
      <c r="Z87" s="286"/>
      <c r="AA87" s="286"/>
      <c r="AB87" s="285"/>
      <c r="AC87" s="285"/>
      <c r="AD87" s="285"/>
      <c r="AE87" s="286"/>
      <c r="AF87" s="286"/>
      <c r="AG87" s="85"/>
      <c r="AH87" s="85"/>
      <c r="AI87" s="85"/>
    </row>
    <row r="88" spans="1:35" ht="14.45" customHeight="1" x14ac:dyDescent="0.25">
      <c r="A88" s="183"/>
      <c r="B88" s="184"/>
      <c r="C88" s="192"/>
      <c r="D88" s="180" t="s">
        <v>548</v>
      </c>
      <c r="E88" s="185">
        <v>1.6</v>
      </c>
      <c r="F88" s="234" t="s">
        <v>136</v>
      </c>
      <c r="G88" s="184"/>
      <c r="H88" s="184"/>
      <c r="I88" s="127"/>
      <c r="J88" s="127"/>
      <c r="K88" s="127"/>
      <c r="L88" s="127"/>
      <c r="M88" s="127"/>
      <c r="N88" s="127"/>
      <c r="O88" s="127"/>
      <c r="P88" s="127"/>
      <c r="Q88" s="159"/>
      <c r="R88" s="365"/>
      <c r="S88" s="285"/>
      <c r="T88" s="178"/>
      <c r="U88" s="178"/>
      <c r="V88" s="286"/>
      <c r="W88" s="285"/>
      <c r="X88" s="285"/>
      <c r="Y88" s="285"/>
      <c r="Z88" s="286"/>
      <c r="AA88" s="286"/>
      <c r="AB88" s="285"/>
      <c r="AC88" s="285"/>
      <c r="AD88" s="285"/>
      <c r="AE88" s="286"/>
      <c r="AF88" s="286"/>
      <c r="AG88" s="85"/>
      <c r="AH88" s="85"/>
      <c r="AI88" s="85"/>
    </row>
    <row r="89" spans="1:35" ht="14.45" customHeight="1" x14ac:dyDescent="0.25">
      <c r="A89" s="183"/>
      <c r="B89" s="184"/>
      <c r="C89" s="192"/>
      <c r="D89" s="180" t="s">
        <v>717</v>
      </c>
      <c r="E89" s="185">
        <v>69</v>
      </c>
      <c r="F89" s="234" t="s">
        <v>53</v>
      </c>
      <c r="G89" s="184"/>
      <c r="H89" s="184"/>
      <c r="I89" s="127"/>
      <c r="J89" s="127"/>
      <c r="K89" s="127"/>
      <c r="L89" s="127"/>
      <c r="M89" s="127"/>
      <c r="N89" s="127"/>
      <c r="O89" s="127"/>
      <c r="P89" s="127"/>
      <c r="Q89" s="159"/>
      <c r="R89" s="365"/>
      <c r="S89" s="285"/>
      <c r="T89" s="178"/>
      <c r="U89" s="178"/>
      <c r="V89" s="286"/>
      <c r="W89" s="285"/>
      <c r="X89" s="285"/>
      <c r="Y89" s="285"/>
      <c r="Z89" s="286"/>
      <c r="AA89" s="286"/>
      <c r="AB89" s="285"/>
      <c r="AC89" s="285"/>
      <c r="AD89" s="285"/>
      <c r="AE89" s="286"/>
      <c r="AF89" s="286"/>
      <c r="AG89" s="85"/>
      <c r="AH89" s="85"/>
      <c r="AI89" s="85"/>
    </row>
    <row r="90" spans="1:35" ht="14.45" customHeight="1" x14ac:dyDescent="0.25">
      <c r="A90" s="183"/>
      <c r="B90" s="184"/>
      <c r="C90" s="192"/>
      <c r="D90" s="180" t="s">
        <v>549</v>
      </c>
      <c r="E90" s="185">
        <v>4.5999999999999996</v>
      </c>
      <c r="F90" s="234" t="s">
        <v>274</v>
      </c>
      <c r="G90" s="184"/>
      <c r="H90" s="184"/>
      <c r="I90" s="127"/>
      <c r="J90" s="127"/>
      <c r="K90" s="127"/>
      <c r="L90" s="127"/>
      <c r="M90" s="127"/>
      <c r="N90" s="127"/>
      <c r="O90" s="127"/>
      <c r="P90" s="127"/>
      <c r="Q90" s="159"/>
      <c r="R90" s="365"/>
      <c r="S90" s="285"/>
      <c r="T90" s="178"/>
      <c r="U90" s="178"/>
      <c r="V90" s="286"/>
      <c r="W90" s="285"/>
      <c r="X90" s="285"/>
      <c r="Y90" s="285"/>
      <c r="Z90" s="286"/>
      <c r="AA90" s="286"/>
      <c r="AB90" s="285"/>
      <c r="AC90" s="285"/>
      <c r="AD90" s="285"/>
      <c r="AE90" s="286"/>
      <c r="AF90" s="286"/>
      <c r="AG90" s="85"/>
      <c r="AH90" s="85"/>
      <c r="AI90" s="85"/>
    </row>
    <row r="91" spans="1:35" ht="14.45" customHeight="1" x14ac:dyDescent="0.25">
      <c r="A91" s="183"/>
      <c r="B91" s="184"/>
      <c r="C91" s="192"/>
      <c r="D91" s="180" t="s">
        <v>550</v>
      </c>
      <c r="E91" s="185">
        <v>45</v>
      </c>
      <c r="F91" s="234" t="s">
        <v>137</v>
      </c>
      <c r="G91" s="184"/>
      <c r="H91" s="184"/>
      <c r="I91" s="127"/>
      <c r="J91" s="127"/>
      <c r="K91" s="127"/>
      <c r="L91" s="127"/>
      <c r="M91" s="127"/>
      <c r="N91" s="127"/>
      <c r="O91" s="127"/>
      <c r="P91" s="127"/>
      <c r="Q91" s="159"/>
      <c r="R91" s="365"/>
      <c r="S91" s="285"/>
      <c r="T91" s="178"/>
      <c r="U91" s="178"/>
      <c r="V91" s="286"/>
      <c r="W91" s="285"/>
      <c r="X91" s="285"/>
      <c r="Y91" s="285"/>
      <c r="Z91" s="286"/>
      <c r="AA91" s="286"/>
      <c r="AB91" s="285"/>
      <c r="AC91" s="285"/>
      <c r="AD91" s="285"/>
      <c r="AE91" s="286"/>
      <c r="AF91" s="286"/>
      <c r="AG91" s="85"/>
      <c r="AH91" s="85"/>
      <c r="AI91" s="85"/>
    </row>
    <row r="92" spans="1:35" ht="14.45" customHeight="1" x14ac:dyDescent="0.25">
      <c r="A92" s="183"/>
      <c r="B92" s="184"/>
      <c r="C92" s="192"/>
      <c r="D92" s="180" t="s">
        <v>761</v>
      </c>
      <c r="E92" s="185">
        <v>5</v>
      </c>
      <c r="F92" s="234" t="s">
        <v>0</v>
      </c>
      <c r="G92" s="184"/>
      <c r="H92" s="184"/>
      <c r="I92" s="127"/>
      <c r="J92" s="127"/>
      <c r="K92" s="127"/>
      <c r="L92" s="127"/>
      <c r="M92" s="127"/>
      <c r="N92" s="127"/>
      <c r="O92" s="127"/>
      <c r="P92" s="127"/>
      <c r="Q92" s="159"/>
      <c r="R92" s="365"/>
      <c r="S92" s="285"/>
      <c r="T92" s="178"/>
      <c r="U92" s="178"/>
      <c r="V92" s="286"/>
      <c r="W92" s="285"/>
      <c r="X92" s="285"/>
      <c r="Y92" s="285"/>
      <c r="Z92" s="286"/>
      <c r="AA92" s="286"/>
      <c r="AB92" s="285"/>
      <c r="AC92" s="285"/>
      <c r="AD92" s="285"/>
      <c r="AE92" s="286"/>
      <c r="AF92" s="286"/>
      <c r="AG92" s="85"/>
      <c r="AH92" s="85"/>
      <c r="AI92" s="85"/>
    </row>
    <row r="93" spans="1:35" ht="14.45" customHeight="1" x14ac:dyDescent="0.25">
      <c r="A93" s="183"/>
      <c r="B93" s="184"/>
      <c r="C93" s="192"/>
      <c r="D93" s="180" t="s">
        <v>554</v>
      </c>
      <c r="E93" s="185">
        <v>0.8</v>
      </c>
      <c r="F93" s="234" t="s">
        <v>0</v>
      </c>
      <c r="G93" s="184"/>
      <c r="H93" s="184"/>
      <c r="I93" s="127"/>
      <c r="J93" s="127"/>
      <c r="K93" s="127"/>
      <c r="L93" s="127"/>
      <c r="M93" s="127"/>
      <c r="N93" s="127"/>
      <c r="O93" s="127"/>
      <c r="P93" s="127"/>
      <c r="Q93" s="159"/>
      <c r="R93" s="365"/>
      <c r="S93" s="285"/>
      <c r="T93" s="178"/>
      <c r="U93" s="178"/>
      <c r="V93" s="286"/>
      <c r="W93" s="285"/>
      <c r="X93" s="285"/>
      <c r="Y93" s="285"/>
      <c r="Z93" s="286"/>
      <c r="AA93" s="286"/>
      <c r="AB93" s="285"/>
      <c r="AC93" s="285"/>
      <c r="AD93" s="285"/>
      <c r="AE93" s="286"/>
      <c r="AF93" s="286"/>
      <c r="AG93" s="85"/>
      <c r="AH93" s="85"/>
      <c r="AI93" s="85"/>
    </row>
    <row r="94" spans="1:35" ht="14.45" customHeight="1" thickBot="1" x14ac:dyDescent="0.3">
      <c r="A94" s="289"/>
      <c r="B94" s="255"/>
      <c r="C94" s="290"/>
      <c r="D94" s="256" t="s">
        <v>551</v>
      </c>
      <c r="E94" s="349">
        <v>55</v>
      </c>
      <c r="F94" s="257" t="s">
        <v>380</v>
      </c>
      <c r="G94" s="184"/>
      <c r="H94" s="184"/>
      <c r="I94" s="127"/>
      <c r="J94" s="127"/>
      <c r="K94" s="127"/>
      <c r="L94" s="127"/>
      <c r="M94" s="127"/>
      <c r="N94" s="127"/>
      <c r="O94" s="127"/>
      <c r="P94" s="127"/>
      <c r="Q94" s="159"/>
      <c r="R94" s="365"/>
      <c r="S94" s="285"/>
      <c r="T94" s="178"/>
      <c r="U94" s="178"/>
      <c r="V94" s="286"/>
      <c r="W94" s="285"/>
      <c r="X94" s="285"/>
      <c r="Y94" s="285"/>
      <c r="Z94" s="286"/>
      <c r="AA94" s="286"/>
      <c r="AB94" s="285"/>
      <c r="AC94" s="285"/>
      <c r="AD94" s="285"/>
      <c r="AE94" s="286"/>
      <c r="AF94" s="286"/>
      <c r="AG94" s="85"/>
      <c r="AH94" s="85"/>
      <c r="AI94" s="85"/>
    </row>
    <row r="95" spans="1:35" ht="18" customHeight="1" thickBot="1" x14ac:dyDescent="0.25">
      <c r="A95" s="183"/>
      <c r="B95" s="184"/>
      <c r="C95" s="192"/>
      <c r="D95" s="180"/>
      <c r="E95" s="194"/>
      <c r="F95" s="291"/>
      <c r="G95" s="184"/>
      <c r="H95" s="184"/>
      <c r="I95" s="127"/>
      <c r="J95" s="127"/>
      <c r="K95" s="127"/>
      <c r="L95" s="127"/>
      <c r="M95" s="127"/>
      <c r="N95" s="127"/>
      <c r="O95" s="127"/>
      <c r="P95" s="127"/>
      <c r="Q95" s="159"/>
      <c r="R95" s="365"/>
      <c r="S95" s="285"/>
      <c r="T95" s="178"/>
      <c r="U95" s="178"/>
      <c r="V95" s="286"/>
      <c r="W95" s="285"/>
      <c r="X95" s="285"/>
      <c r="Y95" s="285"/>
      <c r="Z95" s="286"/>
      <c r="AA95" s="286"/>
      <c r="AB95" s="285"/>
      <c r="AC95" s="285"/>
      <c r="AD95" s="285"/>
      <c r="AE95" s="286"/>
      <c r="AF95" s="286"/>
      <c r="AG95" s="85"/>
      <c r="AH95" s="85"/>
      <c r="AI95" s="85"/>
    </row>
    <row r="96" spans="1:35" ht="18" customHeight="1" x14ac:dyDescent="0.25">
      <c r="A96" s="250"/>
      <c r="B96" s="251"/>
      <c r="C96" s="254"/>
      <c r="D96" s="299" t="s">
        <v>530</v>
      </c>
      <c r="E96" s="352" t="s">
        <v>764</v>
      </c>
      <c r="F96" s="253"/>
      <c r="G96" s="184"/>
      <c r="H96" s="184"/>
      <c r="I96" s="127"/>
      <c r="J96" s="127"/>
      <c r="K96" s="127"/>
      <c r="L96" s="127"/>
      <c r="M96" s="127"/>
      <c r="N96" s="127"/>
      <c r="O96" s="127"/>
      <c r="P96" s="127"/>
      <c r="Q96" s="159"/>
      <c r="R96" s="365"/>
      <c r="S96" s="285"/>
      <c r="T96" s="178"/>
      <c r="U96" s="178"/>
      <c r="V96" s="286"/>
      <c r="W96" s="285"/>
      <c r="X96" s="285"/>
      <c r="Y96" s="285"/>
      <c r="Z96" s="286"/>
      <c r="AA96" s="286"/>
      <c r="AB96" s="285"/>
      <c r="AC96" s="285"/>
      <c r="AD96" s="285"/>
      <c r="AE96" s="286"/>
      <c r="AF96" s="286"/>
      <c r="AG96" s="85"/>
      <c r="AH96" s="85"/>
      <c r="AI96" s="85"/>
    </row>
    <row r="97" spans="1:35" ht="14.45" customHeight="1" x14ac:dyDescent="0.25">
      <c r="A97" s="183"/>
      <c r="B97" s="184"/>
      <c r="C97" s="184"/>
      <c r="D97" s="180" t="s">
        <v>545</v>
      </c>
      <c r="E97" s="185">
        <v>10</v>
      </c>
      <c r="F97" s="234" t="s">
        <v>115</v>
      </c>
      <c r="G97" s="184"/>
      <c r="H97" s="184"/>
      <c r="I97" s="127"/>
      <c r="J97" s="127"/>
      <c r="K97" s="127"/>
      <c r="L97" s="127"/>
      <c r="M97" s="127"/>
      <c r="N97" s="127"/>
      <c r="O97" s="127"/>
      <c r="P97" s="127"/>
      <c r="Q97" s="159"/>
      <c r="R97" s="365"/>
      <c r="S97" s="285"/>
      <c r="T97" s="178"/>
      <c r="U97" s="178"/>
      <c r="V97" s="286"/>
      <c r="W97" s="285"/>
      <c r="X97" s="285"/>
      <c r="Y97" s="285"/>
      <c r="Z97" s="286"/>
      <c r="AA97" s="286"/>
      <c r="AB97" s="285"/>
      <c r="AC97" s="285"/>
      <c r="AD97" s="285"/>
      <c r="AE97" s="286"/>
      <c r="AF97" s="286"/>
      <c r="AG97" s="85"/>
      <c r="AH97" s="85"/>
      <c r="AI97" s="85"/>
    </row>
    <row r="98" spans="1:35" ht="14.45" customHeight="1" x14ac:dyDescent="0.25">
      <c r="A98" s="183"/>
      <c r="B98" s="184"/>
      <c r="C98" s="184"/>
      <c r="D98" s="180" t="s">
        <v>546</v>
      </c>
      <c r="E98" s="185">
        <v>13</v>
      </c>
      <c r="F98" s="234" t="s">
        <v>136</v>
      </c>
      <c r="G98" s="184"/>
      <c r="H98" s="184"/>
      <c r="I98" s="127"/>
      <c r="J98" s="127"/>
      <c r="K98" s="127"/>
      <c r="L98" s="127"/>
      <c r="M98" s="127"/>
      <c r="N98" s="127"/>
      <c r="O98" s="127"/>
      <c r="P98" s="127"/>
      <c r="Q98" s="159"/>
      <c r="R98" s="365"/>
      <c r="S98" s="85"/>
      <c r="T98" s="6"/>
      <c r="U98" s="6"/>
      <c r="W98" s="85"/>
      <c r="X98" s="85"/>
      <c r="Y98" s="85"/>
      <c r="AB98" s="85"/>
      <c r="AC98" s="85"/>
      <c r="AD98" s="85"/>
      <c r="AG98" s="85"/>
      <c r="AH98" s="85"/>
      <c r="AI98" s="85"/>
    </row>
    <row r="99" spans="1:35" ht="14.45" customHeight="1" x14ac:dyDescent="0.25">
      <c r="A99" s="183"/>
      <c r="B99" s="184"/>
      <c r="C99" s="184"/>
      <c r="D99" s="180" t="s">
        <v>710</v>
      </c>
      <c r="E99" s="185">
        <v>20</v>
      </c>
      <c r="F99" s="234" t="s">
        <v>136</v>
      </c>
      <c r="G99" s="184"/>
      <c r="H99" s="184"/>
      <c r="I99" s="127"/>
      <c r="J99" s="127"/>
      <c r="K99" s="127"/>
      <c r="L99" s="127"/>
      <c r="M99" s="127"/>
      <c r="N99" s="127"/>
      <c r="O99" s="127"/>
      <c r="P99" s="127"/>
      <c r="Q99" s="159"/>
      <c r="R99" s="365"/>
      <c r="S99" s="85"/>
      <c r="T99" s="85"/>
      <c r="W99" s="85"/>
      <c r="X99" s="85"/>
      <c r="Y99" s="85"/>
      <c r="AB99" s="85"/>
      <c r="AC99" s="85"/>
      <c r="AD99" s="85"/>
      <c r="AG99" s="85"/>
      <c r="AH99" s="85"/>
      <c r="AI99" s="85"/>
    </row>
    <row r="100" spans="1:35" ht="14.45" customHeight="1" x14ac:dyDescent="0.25">
      <c r="A100" s="183"/>
      <c r="B100" s="184"/>
      <c r="C100" s="184"/>
      <c r="D100" s="180" t="s">
        <v>717</v>
      </c>
      <c r="E100" s="185">
        <v>580</v>
      </c>
      <c r="F100" s="234" t="s">
        <v>53</v>
      </c>
      <c r="G100" s="184"/>
      <c r="H100" s="184"/>
      <c r="I100" s="127"/>
      <c r="J100" s="127"/>
      <c r="K100" s="127"/>
      <c r="L100" s="127"/>
      <c r="M100" s="127"/>
      <c r="N100" s="127"/>
      <c r="O100" s="127"/>
      <c r="P100" s="127"/>
      <c r="Q100" s="159"/>
      <c r="R100" s="365"/>
      <c r="S100" s="85"/>
      <c r="T100" s="85"/>
      <c r="W100" s="85"/>
      <c r="X100" s="85"/>
      <c r="Y100" s="85"/>
      <c r="AB100" s="85"/>
      <c r="AC100" s="85"/>
      <c r="AD100" s="85"/>
      <c r="AG100" s="85"/>
      <c r="AH100" s="85"/>
      <c r="AI100" s="85"/>
    </row>
    <row r="101" spans="1:35" ht="14.25" customHeight="1" x14ac:dyDescent="0.25">
      <c r="A101" s="183"/>
      <c r="B101" s="184"/>
      <c r="C101" s="184"/>
      <c r="D101" s="180" t="s">
        <v>553</v>
      </c>
      <c r="E101" s="185">
        <v>0.9</v>
      </c>
      <c r="F101" s="234" t="s">
        <v>0</v>
      </c>
      <c r="G101" s="184"/>
      <c r="H101" s="184"/>
      <c r="I101" s="127"/>
      <c r="J101" s="127"/>
      <c r="K101" s="127"/>
      <c r="L101" s="127"/>
      <c r="M101" s="127"/>
      <c r="N101" s="127"/>
      <c r="O101" s="127"/>
      <c r="P101" s="127"/>
      <c r="Q101" s="159"/>
      <c r="R101" s="365"/>
      <c r="S101" s="85"/>
      <c r="T101" s="85"/>
      <c r="W101" s="85"/>
      <c r="X101" s="85"/>
      <c r="Y101" s="85"/>
      <c r="AB101" s="85"/>
      <c r="AC101" s="85"/>
      <c r="AD101" s="85"/>
      <c r="AG101" s="85"/>
      <c r="AH101" s="85"/>
      <c r="AI101" s="85"/>
    </row>
    <row r="102" spans="1:35" ht="14.45" customHeight="1" x14ac:dyDescent="0.25">
      <c r="A102" s="183"/>
      <c r="B102" s="184"/>
      <c r="C102" s="184"/>
      <c r="D102" s="180" t="s">
        <v>552</v>
      </c>
      <c r="E102" s="185">
        <v>50</v>
      </c>
      <c r="F102" s="234" t="s">
        <v>136</v>
      </c>
      <c r="G102" s="184"/>
      <c r="H102" s="184"/>
      <c r="I102" s="131"/>
      <c r="J102" s="132"/>
      <c r="K102" s="127"/>
      <c r="L102" s="127"/>
      <c r="M102" s="127"/>
      <c r="N102" s="127"/>
      <c r="O102" s="127"/>
      <c r="P102" s="127"/>
      <c r="Q102" s="159"/>
      <c r="R102" s="365"/>
      <c r="S102" s="85"/>
      <c r="T102" s="85"/>
      <c r="W102" s="85"/>
      <c r="X102" s="85"/>
      <c r="Y102" s="85"/>
      <c r="AB102" s="85"/>
      <c r="AC102" s="85"/>
      <c r="AD102" s="85"/>
      <c r="AG102" s="85"/>
      <c r="AH102" s="85"/>
      <c r="AI102" s="85"/>
    </row>
    <row r="103" spans="1:35" ht="14.45" customHeight="1" thickBot="1" x14ac:dyDescent="0.3">
      <c r="A103" s="289"/>
      <c r="B103" s="255"/>
      <c r="C103" s="255"/>
      <c r="D103" s="256" t="s">
        <v>551</v>
      </c>
      <c r="E103" s="349">
        <v>40</v>
      </c>
      <c r="F103" s="257" t="s">
        <v>380</v>
      </c>
      <c r="G103" s="184"/>
      <c r="H103" s="184"/>
      <c r="I103" s="127"/>
      <c r="J103" s="127"/>
      <c r="K103" s="127"/>
      <c r="L103" s="127"/>
      <c r="M103" s="127"/>
      <c r="N103" s="127"/>
      <c r="O103" s="127"/>
      <c r="P103" s="127"/>
      <c r="Q103" s="159"/>
      <c r="R103" s="365"/>
      <c r="S103" s="85"/>
      <c r="T103" s="85"/>
      <c r="W103" s="85"/>
      <c r="X103" s="85"/>
      <c r="Y103" s="85"/>
      <c r="AB103" s="85"/>
      <c r="AC103" s="85"/>
      <c r="AD103" s="85"/>
      <c r="AG103" s="85"/>
      <c r="AH103" s="85"/>
      <c r="AI103" s="85"/>
    </row>
    <row r="104" spans="1:35" ht="14.45" customHeight="1" x14ac:dyDescent="0.2">
      <c r="A104" s="195"/>
      <c r="B104" s="192"/>
      <c r="C104" s="184"/>
      <c r="D104" s="292"/>
      <c r="E104" s="210"/>
      <c r="F104" s="252"/>
      <c r="G104" s="184"/>
      <c r="H104" s="184"/>
      <c r="I104" s="127"/>
      <c r="J104" s="127"/>
      <c r="K104" s="127"/>
      <c r="L104" s="127"/>
      <c r="M104" s="127"/>
      <c r="N104" s="127"/>
      <c r="O104" s="127"/>
      <c r="P104" s="127"/>
      <c r="Q104" s="159"/>
      <c r="R104" s="365"/>
      <c r="S104" s="85"/>
      <c r="T104" s="85"/>
      <c r="W104" s="85"/>
      <c r="X104" s="85"/>
      <c r="Y104" s="85"/>
      <c r="AB104" s="85"/>
      <c r="AC104" s="85"/>
      <c r="AD104" s="85"/>
      <c r="AG104" s="85"/>
      <c r="AH104" s="85"/>
      <c r="AI104" s="85"/>
    </row>
    <row r="105" spans="1:35" ht="14.45" customHeight="1" x14ac:dyDescent="0.2">
      <c r="A105" s="183"/>
      <c r="B105" s="184"/>
      <c r="C105" s="184"/>
      <c r="D105" s="180"/>
      <c r="E105" s="502"/>
      <c r="F105" s="184"/>
      <c r="G105" s="184"/>
      <c r="H105" s="184"/>
      <c r="I105" s="127"/>
      <c r="J105" s="127"/>
      <c r="K105" s="127"/>
      <c r="L105" s="127"/>
      <c r="M105" s="127"/>
      <c r="N105" s="127"/>
      <c r="O105" s="127"/>
      <c r="P105" s="127"/>
      <c r="Q105" s="159"/>
      <c r="R105" s="365"/>
      <c r="S105" s="85"/>
      <c r="T105" s="85"/>
      <c r="W105" s="85"/>
      <c r="X105" s="85"/>
      <c r="Y105" s="85"/>
      <c r="AB105" s="85"/>
      <c r="AC105" s="85"/>
      <c r="AD105" s="85"/>
      <c r="AG105" s="85"/>
      <c r="AH105" s="85"/>
      <c r="AI105" s="85"/>
    </row>
    <row r="106" spans="1:35" ht="18" customHeight="1" thickBot="1" x14ac:dyDescent="0.3">
      <c r="A106" s="503" t="s">
        <v>757</v>
      </c>
      <c r="B106" s="194"/>
      <c r="C106" s="504"/>
      <c r="D106" s="505"/>
      <c r="E106" s="170"/>
      <c r="F106" s="170"/>
      <c r="G106" s="184"/>
      <c r="H106" s="184"/>
      <c r="I106" s="127"/>
      <c r="J106" s="127"/>
      <c r="K106" s="127"/>
      <c r="L106" s="127"/>
      <c r="M106" s="127"/>
      <c r="N106" s="127"/>
      <c r="O106" s="127"/>
      <c r="P106" s="127"/>
      <c r="Q106" s="159"/>
      <c r="R106" s="365"/>
      <c r="S106" s="85"/>
      <c r="T106" s="85"/>
      <c r="W106" s="85"/>
      <c r="X106" s="85"/>
      <c r="Y106" s="85"/>
      <c r="AB106" s="85"/>
      <c r="AC106" s="85"/>
      <c r="AD106" s="85"/>
      <c r="AG106" s="85"/>
      <c r="AH106" s="85"/>
      <c r="AI106" s="85"/>
    </row>
    <row r="107" spans="1:35" ht="14.45" customHeight="1" x14ac:dyDescent="0.2">
      <c r="A107" s="271"/>
      <c r="B107" s="252"/>
      <c r="C107" s="506"/>
      <c r="D107" s="506" t="s">
        <v>758</v>
      </c>
      <c r="E107" s="507">
        <f>'Power Calculations'!AN9</f>
        <v>0.100338</v>
      </c>
      <c r="F107" s="253" t="s">
        <v>208</v>
      </c>
      <c r="G107" s="184"/>
      <c r="H107" s="184"/>
      <c r="I107" s="127"/>
      <c r="J107" s="127"/>
      <c r="K107" s="127"/>
      <c r="L107" s="127"/>
      <c r="M107" s="127"/>
      <c r="N107" s="127"/>
      <c r="O107" s="127"/>
      <c r="P107" s="127"/>
      <c r="Q107" s="159"/>
      <c r="R107" s="365"/>
      <c r="S107" s="85"/>
      <c r="T107" s="85"/>
      <c r="W107" s="85"/>
      <c r="X107" s="85"/>
      <c r="Y107" s="85"/>
      <c r="AB107" s="85"/>
      <c r="AC107" s="85"/>
      <c r="AD107" s="85"/>
      <c r="AG107" s="85"/>
      <c r="AH107" s="85"/>
      <c r="AI107" s="85"/>
    </row>
    <row r="108" spans="1:35" ht="19.5" customHeight="1" thickBot="1" x14ac:dyDescent="0.25">
      <c r="A108" s="289"/>
      <c r="B108" s="255"/>
      <c r="C108" s="255"/>
      <c r="D108" s="508" t="s">
        <v>759</v>
      </c>
      <c r="E108" s="509">
        <f>'Power Calculations'!AN9*50</f>
        <v>5.0168999999999997</v>
      </c>
      <c r="F108" s="510" t="s">
        <v>441</v>
      </c>
      <c r="G108" s="170"/>
      <c r="H108" s="184"/>
      <c r="I108" s="127"/>
      <c r="J108" s="127"/>
      <c r="K108" s="127"/>
      <c r="L108" s="127"/>
      <c r="M108" s="127"/>
      <c r="N108" s="127"/>
      <c r="O108" s="127"/>
      <c r="P108" s="127"/>
      <c r="Q108" s="159"/>
      <c r="R108" s="365"/>
      <c r="S108" s="85"/>
      <c r="T108" s="85"/>
      <c r="W108" s="85"/>
      <c r="X108" s="85"/>
      <c r="Y108" s="85"/>
      <c r="AB108" s="85"/>
      <c r="AC108" s="85"/>
      <c r="AD108" s="85"/>
      <c r="AG108" s="85"/>
      <c r="AH108" s="85"/>
      <c r="AI108" s="85"/>
    </row>
    <row r="109" spans="1:35" ht="15.75" customHeight="1" x14ac:dyDescent="0.2">
      <c r="A109" s="277"/>
      <c r="B109" s="170"/>
      <c r="C109" s="170"/>
      <c r="D109" s="170"/>
      <c r="E109" s="170"/>
      <c r="F109" s="170"/>
      <c r="G109" s="170"/>
      <c r="H109" s="184"/>
      <c r="I109" s="127"/>
      <c r="J109" s="127"/>
      <c r="K109" s="127"/>
      <c r="L109" s="127"/>
      <c r="M109" s="127"/>
      <c r="N109" s="127"/>
      <c r="O109" s="127"/>
      <c r="P109" s="127"/>
      <c r="Q109" s="159"/>
      <c r="R109" s="365"/>
      <c r="S109" s="85"/>
      <c r="T109" s="85"/>
      <c r="W109" s="85"/>
      <c r="X109" s="85"/>
      <c r="Y109" s="85"/>
      <c r="AB109" s="85"/>
      <c r="AC109" s="85"/>
      <c r="AD109" s="85"/>
      <c r="AG109" s="85"/>
      <c r="AH109" s="85"/>
      <c r="AI109" s="85"/>
    </row>
    <row r="110" spans="1:35" ht="14.45" customHeight="1" x14ac:dyDescent="0.2">
      <c r="A110" s="277"/>
      <c r="B110" s="170"/>
      <c r="C110" s="170"/>
      <c r="D110" s="170"/>
      <c r="E110" s="170"/>
      <c r="F110" s="170"/>
      <c r="G110" s="170"/>
      <c r="H110" s="184"/>
      <c r="I110" s="127"/>
      <c r="J110" s="127"/>
      <c r="K110" s="127"/>
      <c r="L110" s="127"/>
      <c r="M110" s="127"/>
      <c r="N110" s="127"/>
      <c r="O110" s="127"/>
      <c r="P110" s="127"/>
      <c r="Q110" s="159"/>
      <c r="R110" s="365"/>
      <c r="S110" s="85"/>
      <c r="T110" s="85"/>
      <c r="W110" s="85"/>
      <c r="X110" s="85"/>
      <c r="Y110" s="85"/>
      <c r="AB110" s="85"/>
      <c r="AC110" s="85"/>
      <c r="AD110" s="85"/>
      <c r="AG110" s="85"/>
      <c r="AH110" s="85"/>
      <c r="AI110" s="85"/>
    </row>
    <row r="111" spans="1:35" ht="16.149999999999999" customHeight="1" thickBot="1" x14ac:dyDescent="0.25">
      <c r="A111" s="183"/>
      <c r="B111" s="184"/>
      <c r="C111" s="184"/>
      <c r="D111" s="180"/>
      <c r="E111" s="283"/>
      <c r="F111" s="184"/>
      <c r="G111" s="184"/>
      <c r="H111" s="184"/>
      <c r="I111" s="127"/>
      <c r="J111" s="127"/>
      <c r="K111" s="127"/>
      <c r="L111" s="127"/>
      <c r="M111" s="127"/>
      <c r="N111" s="127"/>
      <c r="O111" s="127"/>
      <c r="P111" s="127"/>
      <c r="Q111" s="159"/>
      <c r="R111" s="365"/>
      <c r="S111" s="85"/>
      <c r="T111" s="85"/>
      <c r="W111" s="85"/>
      <c r="X111" s="85"/>
      <c r="Y111" s="85"/>
      <c r="AB111" s="85"/>
      <c r="AC111" s="85"/>
      <c r="AD111" s="85"/>
      <c r="AG111" s="85"/>
      <c r="AH111" s="85"/>
      <c r="AI111" s="85"/>
    </row>
    <row r="112" spans="1:35" ht="13.5" thickBot="1" x14ac:dyDescent="0.25">
      <c r="A112" s="360"/>
      <c r="B112" s="361"/>
      <c r="C112" s="362"/>
      <c r="D112" s="362"/>
      <c r="E112" s="362"/>
      <c r="F112" s="362"/>
      <c r="G112" s="362"/>
      <c r="H112" s="362"/>
      <c r="I112" s="362"/>
      <c r="J112" s="362"/>
      <c r="K112" s="362"/>
      <c r="L112" s="362"/>
      <c r="M112" s="362"/>
      <c r="N112" s="362"/>
      <c r="O112" s="362"/>
      <c r="P112" s="362"/>
      <c r="Q112" s="362"/>
      <c r="R112" s="363"/>
      <c r="S112" s="85"/>
      <c r="T112" s="85"/>
      <c r="W112" s="85"/>
      <c r="X112" s="85"/>
      <c r="Y112" s="85"/>
      <c r="AB112" s="85"/>
      <c r="AC112" s="85"/>
      <c r="AD112" s="85"/>
      <c r="AG112" s="85"/>
      <c r="AH112" s="85"/>
      <c r="AI112" s="85"/>
    </row>
    <row r="113" spans="18:35" x14ac:dyDescent="0.2">
      <c r="R113" s="85"/>
      <c r="S113" s="85"/>
      <c r="T113" s="85"/>
      <c r="W113" s="85"/>
      <c r="X113" s="85"/>
      <c r="Y113" s="85"/>
      <c r="AB113" s="85"/>
      <c r="AC113" s="85"/>
      <c r="AD113" s="85"/>
      <c r="AG113" s="85"/>
      <c r="AH113" s="85"/>
      <c r="AI113" s="85"/>
    </row>
    <row r="114" spans="18:35" x14ac:dyDescent="0.2">
      <c r="R114" s="85"/>
      <c r="S114" s="85"/>
      <c r="T114" s="85"/>
      <c r="W114" s="85"/>
      <c r="X114" s="85"/>
      <c r="Y114" s="85"/>
      <c r="AB114" s="85"/>
      <c r="AC114" s="85"/>
      <c r="AD114" s="85"/>
      <c r="AG114" s="85"/>
      <c r="AH114" s="85"/>
      <c r="AI114" s="85"/>
    </row>
    <row r="115" spans="18:35" x14ac:dyDescent="0.2">
      <c r="R115" s="85"/>
      <c r="S115" s="85"/>
      <c r="T115" s="85"/>
      <c r="W115" s="85"/>
      <c r="X115" s="85"/>
      <c r="Y115" s="85"/>
      <c r="AB115" s="85"/>
      <c r="AC115" s="85"/>
      <c r="AD115" s="85"/>
      <c r="AG115" s="85"/>
      <c r="AH115" s="85"/>
      <c r="AI115" s="85"/>
    </row>
    <row r="116" spans="18:35" x14ac:dyDescent="0.2">
      <c r="R116" s="85"/>
      <c r="S116" s="85"/>
      <c r="T116" s="85"/>
      <c r="W116" s="85"/>
      <c r="X116" s="85"/>
      <c r="Y116" s="85"/>
      <c r="AB116" s="85"/>
      <c r="AC116" s="85"/>
      <c r="AD116" s="85"/>
      <c r="AG116" s="85"/>
      <c r="AH116" s="85"/>
      <c r="AI116" s="85"/>
    </row>
    <row r="117" spans="18:35" x14ac:dyDescent="0.2">
      <c r="R117" s="85"/>
      <c r="S117" s="85"/>
      <c r="T117" s="85"/>
      <c r="W117" s="85"/>
      <c r="X117" s="85"/>
      <c r="Y117" s="85"/>
      <c r="AB117" s="85"/>
      <c r="AC117" s="85"/>
      <c r="AD117" s="85"/>
      <c r="AG117" s="85"/>
      <c r="AH117" s="85"/>
      <c r="AI117" s="85"/>
    </row>
    <row r="118" spans="18:35" x14ac:dyDescent="0.2">
      <c r="R118" s="85"/>
      <c r="S118" s="85"/>
      <c r="T118" s="85"/>
      <c r="W118" s="85"/>
      <c r="X118" s="85"/>
      <c r="Y118" s="85"/>
      <c r="AB118" s="85"/>
      <c r="AC118" s="85"/>
      <c r="AD118" s="85"/>
      <c r="AG118" s="85"/>
      <c r="AH118" s="85"/>
      <c r="AI118" s="85"/>
    </row>
    <row r="119" spans="18:35" x14ac:dyDescent="0.2">
      <c r="R119" s="85"/>
      <c r="S119" s="85"/>
      <c r="T119" s="85"/>
      <c r="W119" s="85"/>
      <c r="X119" s="85"/>
      <c r="Y119" s="85"/>
      <c r="AB119" s="85"/>
      <c r="AC119" s="85"/>
      <c r="AD119" s="85"/>
      <c r="AG119" s="85"/>
      <c r="AH119" s="85"/>
      <c r="AI119" s="85"/>
    </row>
    <row r="120" spans="18:35" x14ac:dyDescent="0.2">
      <c r="R120" s="85"/>
      <c r="S120" s="85"/>
      <c r="T120" s="85"/>
      <c r="W120" s="85"/>
      <c r="X120" s="85"/>
      <c r="Y120" s="85"/>
      <c r="AB120" s="85"/>
      <c r="AC120" s="85"/>
      <c r="AD120" s="85"/>
      <c r="AG120" s="85"/>
      <c r="AH120" s="85"/>
      <c r="AI120" s="85"/>
    </row>
    <row r="121" spans="18:35" x14ac:dyDescent="0.2">
      <c r="R121" s="85"/>
      <c r="S121" s="85"/>
      <c r="T121" s="85"/>
      <c r="W121" s="85"/>
      <c r="X121" s="85"/>
      <c r="Y121" s="85"/>
      <c r="AB121" s="85"/>
      <c r="AC121" s="85"/>
      <c r="AD121" s="85"/>
      <c r="AG121" s="85"/>
      <c r="AH121" s="85"/>
      <c r="AI121" s="85"/>
    </row>
    <row r="122" spans="18:35" x14ac:dyDescent="0.2">
      <c r="R122" s="85"/>
      <c r="S122" s="85"/>
      <c r="T122" s="85"/>
      <c r="W122" s="85"/>
      <c r="X122" s="85"/>
      <c r="Y122" s="85"/>
      <c r="AB122" s="85"/>
      <c r="AC122" s="85"/>
      <c r="AD122" s="85"/>
      <c r="AG122" s="85"/>
      <c r="AH122" s="85"/>
      <c r="AI122" s="85"/>
    </row>
    <row r="123" spans="18:35" x14ac:dyDescent="0.2">
      <c r="R123" s="85"/>
      <c r="S123" s="85"/>
      <c r="T123" s="85"/>
      <c r="W123" s="85"/>
      <c r="X123" s="85"/>
      <c r="Y123" s="85"/>
      <c r="AB123" s="85"/>
      <c r="AC123" s="85"/>
      <c r="AD123" s="85"/>
      <c r="AG123" s="85"/>
      <c r="AH123" s="85"/>
      <c r="AI123" s="85"/>
    </row>
    <row r="124" spans="18:35" x14ac:dyDescent="0.2">
      <c r="R124" s="85"/>
      <c r="S124" s="85"/>
      <c r="T124" s="85"/>
      <c r="W124" s="85"/>
      <c r="X124" s="85"/>
      <c r="Y124" s="85"/>
      <c r="AB124" s="85"/>
      <c r="AC124" s="85"/>
      <c r="AD124" s="85"/>
      <c r="AG124" s="85"/>
      <c r="AH124" s="85"/>
      <c r="AI124" s="85"/>
    </row>
    <row r="125" spans="18:35" x14ac:dyDescent="0.2">
      <c r="R125" s="85"/>
      <c r="S125" s="85"/>
      <c r="T125" s="85"/>
      <c r="W125" s="85"/>
      <c r="X125" s="85"/>
      <c r="Y125" s="85"/>
      <c r="AB125" s="85"/>
      <c r="AC125" s="85"/>
      <c r="AD125" s="85"/>
      <c r="AG125" s="85"/>
      <c r="AH125" s="85"/>
      <c r="AI125" s="85"/>
    </row>
    <row r="126" spans="18:35" x14ac:dyDescent="0.2">
      <c r="R126" s="85"/>
      <c r="S126" s="85"/>
      <c r="T126" s="85"/>
      <c r="W126" s="85"/>
      <c r="X126" s="85"/>
      <c r="Y126" s="85"/>
      <c r="AB126" s="85"/>
      <c r="AC126" s="85"/>
      <c r="AD126" s="85"/>
      <c r="AG126" s="85"/>
      <c r="AH126" s="85"/>
      <c r="AI126" s="85"/>
    </row>
    <row r="127" spans="18:35" x14ac:dyDescent="0.2">
      <c r="R127" s="85"/>
      <c r="S127" s="85"/>
      <c r="T127" s="85"/>
      <c r="W127" s="85"/>
      <c r="X127" s="85"/>
      <c r="Y127" s="85"/>
      <c r="AB127" s="85"/>
      <c r="AC127" s="85"/>
      <c r="AD127" s="85"/>
      <c r="AG127" s="85"/>
      <c r="AH127" s="85"/>
      <c r="AI127" s="85"/>
    </row>
    <row r="128" spans="18:35" x14ac:dyDescent="0.2">
      <c r="R128" s="85"/>
      <c r="S128" s="85"/>
      <c r="T128" s="85"/>
      <c r="W128" s="85"/>
      <c r="X128" s="85"/>
      <c r="Y128" s="85"/>
      <c r="AB128" s="85"/>
      <c r="AC128" s="85"/>
      <c r="AD128" s="85"/>
      <c r="AG128" s="85"/>
      <c r="AH128" s="85"/>
      <c r="AI128" s="85"/>
    </row>
    <row r="129" spans="18:35" x14ac:dyDescent="0.2">
      <c r="R129" s="85"/>
      <c r="S129" s="85"/>
      <c r="T129" s="85"/>
      <c r="W129" s="85"/>
      <c r="X129" s="85"/>
      <c r="Y129" s="85"/>
      <c r="AB129" s="85"/>
      <c r="AC129" s="85"/>
      <c r="AD129" s="85"/>
      <c r="AG129" s="85"/>
      <c r="AH129" s="85"/>
      <c r="AI129" s="85"/>
    </row>
    <row r="130" spans="18:35" x14ac:dyDescent="0.2">
      <c r="R130" s="85"/>
      <c r="S130" s="85"/>
      <c r="T130" s="85"/>
      <c r="W130" s="85"/>
      <c r="X130" s="85"/>
      <c r="Y130" s="85"/>
      <c r="AB130" s="85"/>
      <c r="AC130" s="85"/>
      <c r="AD130" s="85"/>
      <c r="AG130" s="85"/>
      <c r="AH130" s="85"/>
      <c r="AI130" s="85"/>
    </row>
    <row r="131" spans="18:35" x14ac:dyDescent="0.2">
      <c r="R131" s="85"/>
      <c r="S131" s="85"/>
      <c r="T131" s="85"/>
      <c r="W131" s="85"/>
      <c r="X131" s="85"/>
      <c r="Y131" s="85"/>
      <c r="AB131" s="85"/>
      <c r="AC131" s="85"/>
      <c r="AD131" s="85"/>
      <c r="AG131" s="85"/>
      <c r="AH131" s="85"/>
      <c r="AI131" s="85"/>
    </row>
    <row r="132" spans="18:35" x14ac:dyDescent="0.2">
      <c r="R132" s="85"/>
      <c r="S132" s="85"/>
      <c r="T132" s="85"/>
      <c r="W132" s="85"/>
      <c r="X132" s="85"/>
      <c r="Y132" s="85"/>
      <c r="AB132" s="85"/>
      <c r="AC132" s="85"/>
      <c r="AD132" s="85"/>
      <c r="AG132" s="85"/>
      <c r="AH132" s="85"/>
      <c r="AI132" s="85"/>
    </row>
    <row r="133" spans="18:35" x14ac:dyDescent="0.2">
      <c r="R133" s="85"/>
      <c r="S133" s="85"/>
      <c r="T133" s="85"/>
      <c r="W133" s="85"/>
      <c r="X133" s="85"/>
      <c r="Y133" s="85"/>
      <c r="AB133" s="85"/>
      <c r="AC133" s="85"/>
      <c r="AD133" s="85"/>
      <c r="AG133" s="85"/>
      <c r="AH133" s="85"/>
      <c r="AI133" s="85"/>
    </row>
    <row r="134" spans="18:35" x14ac:dyDescent="0.2">
      <c r="R134" s="85"/>
      <c r="S134" s="85"/>
      <c r="T134" s="85"/>
      <c r="W134" s="85"/>
      <c r="X134" s="85"/>
      <c r="Y134" s="85"/>
      <c r="AB134" s="85"/>
      <c r="AC134" s="85"/>
      <c r="AD134" s="85"/>
      <c r="AG134" s="85"/>
      <c r="AH134" s="85"/>
      <c r="AI134" s="85"/>
    </row>
    <row r="135" spans="18:35" x14ac:dyDescent="0.2">
      <c r="R135" s="85"/>
      <c r="S135" s="85"/>
      <c r="T135" s="85"/>
      <c r="W135" s="85"/>
      <c r="X135" s="85"/>
      <c r="Y135" s="85"/>
      <c r="AB135" s="85"/>
      <c r="AC135" s="85"/>
      <c r="AD135" s="85"/>
      <c r="AG135" s="85"/>
      <c r="AH135" s="85"/>
      <c r="AI135" s="85"/>
    </row>
    <row r="136" spans="18:35" x14ac:dyDescent="0.2">
      <c r="R136" s="85"/>
      <c r="S136" s="85"/>
      <c r="T136" s="85"/>
      <c r="W136" s="85"/>
      <c r="X136" s="85"/>
      <c r="Y136" s="85"/>
      <c r="AB136" s="85"/>
      <c r="AC136" s="85"/>
      <c r="AD136" s="85"/>
      <c r="AG136" s="85"/>
      <c r="AH136" s="85"/>
      <c r="AI136" s="85"/>
    </row>
    <row r="137" spans="18:35" x14ac:dyDescent="0.2">
      <c r="R137" s="85"/>
      <c r="S137" s="85"/>
      <c r="T137" s="85"/>
      <c r="W137" s="85"/>
      <c r="X137" s="85"/>
      <c r="Y137" s="85"/>
      <c r="AB137" s="85"/>
      <c r="AC137" s="85"/>
      <c r="AD137" s="85"/>
      <c r="AG137" s="85"/>
      <c r="AH137" s="85"/>
      <c r="AI137" s="85"/>
    </row>
    <row r="138" spans="18:35" x14ac:dyDescent="0.2">
      <c r="R138" s="85"/>
      <c r="S138" s="85"/>
      <c r="T138" s="85"/>
      <c r="W138" s="85"/>
      <c r="X138" s="85"/>
      <c r="Y138" s="85"/>
      <c r="AB138" s="85"/>
      <c r="AC138" s="85"/>
      <c r="AD138" s="85"/>
      <c r="AG138" s="85"/>
      <c r="AH138" s="85"/>
      <c r="AI138" s="85"/>
    </row>
    <row r="139" spans="18:35" x14ac:dyDescent="0.2">
      <c r="R139" s="85"/>
      <c r="S139" s="85"/>
      <c r="T139" s="85"/>
      <c r="W139" s="85"/>
      <c r="X139" s="85"/>
      <c r="Y139" s="85"/>
      <c r="AB139" s="85"/>
      <c r="AC139" s="85"/>
      <c r="AD139" s="85"/>
      <c r="AG139" s="85"/>
      <c r="AH139" s="85"/>
      <c r="AI139" s="85"/>
    </row>
    <row r="140" spans="18:35" x14ac:dyDescent="0.2">
      <c r="R140" s="85"/>
      <c r="S140" s="85"/>
      <c r="T140" s="85"/>
      <c r="W140" s="85"/>
      <c r="X140" s="85"/>
      <c r="Y140" s="85"/>
      <c r="AB140" s="85"/>
      <c r="AC140" s="85"/>
      <c r="AD140" s="85"/>
      <c r="AG140" s="85"/>
      <c r="AH140" s="85"/>
      <c r="AI140" s="85"/>
    </row>
    <row r="141" spans="18:35" x14ac:dyDescent="0.2">
      <c r="R141" s="85"/>
      <c r="S141" s="85"/>
      <c r="T141" s="85"/>
      <c r="W141" s="85"/>
      <c r="X141" s="85"/>
      <c r="Y141" s="85"/>
      <c r="AB141" s="85"/>
      <c r="AC141" s="85"/>
      <c r="AD141" s="85"/>
      <c r="AG141" s="85"/>
      <c r="AH141" s="85"/>
      <c r="AI141" s="85"/>
    </row>
    <row r="142" spans="18:35" x14ac:dyDescent="0.2">
      <c r="R142" s="85"/>
      <c r="S142" s="85"/>
      <c r="T142" s="85"/>
      <c r="W142" s="85"/>
      <c r="X142" s="85"/>
      <c r="Y142" s="85"/>
      <c r="AB142" s="85"/>
      <c r="AC142" s="85"/>
      <c r="AD142" s="85"/>
      <c r="AG142" s="85"/>
      <c r="AH142" s="85"/>
      <c r="AI142" s="85"/>
    </row>
    <row r="143" spans="18:35" x14ac:dyDescent="0.2">
      <c r="R143" s="85"/>
      <c r="S143" s="85"/>
      <c r="T143" s="85"/>
      <c r="W143" s="85"/>
      <c r="X143" s="85"/>
      <c r="Y143" s="85"/>
      <c r="AB143" s="85"/>
      <c r="AC143" s="85"/>
      <c r="AD143" s="85"/>
      <c r="AG143" s="85"/>
      <c r="AH143" s="85"/>
      <c r="AI143" s="85"/>
    </row>
    <row r="144" spans="18:35" x14ac:dyDescent="0.2">
      <c r="R144" s="85"/>
      <c r="S144" s="85"/>
      <c r="T144" s="85"/>
      <c r="W144" s="85"/>
      <c r="X144" s="85"/>
      <c r="Y144" s="85"/>
      <c r="AB144" s="85"/>
      <c r="AC144" s="85"/>
      <c r="AD144" s="85"/>
      <c r="AG144" s="85"/>
      <c r="AH144" s="85"/>
      <c r="AI144" s="85"/>
    </row>
    <row r="145" spans="18:35" x14ac:dyDescent="0.2">
      <c r="R145" s="85"/>
      <c r="S145" s="85"/>
      <c r="T145" s="85"/>
      <c r="W145" s="85"/>
      <c r="X145" s="85"/>
      <c r="Y145" s="85"/>
      <c r="AB145" s="85"/>
      <c r="AC145" s="85"/>
      <c r="AD145" s="85"/>
      <c r="AG145" s="85"/>
      <c r="AH145" s="85"/>
      <c r="AI145" s="85"/>
    </row>
    <row r="146" spans="18:35" x14ac:dyDescent="0.2">
      <c r="R146" s="85"/>
      <c r="S146" s="85"/>
      <c r="T146" s="85"/>
      <c r="W146" s="85"/>
      <c r="X146" s="85"/>
      <c r="Y146" s="85"/>
      <c r="AB146" s="85"/>
      <c r="AC146" s="85"/>
      <c r="AD146" s="85"/>
      <c r="AG146" s="85"/>
      <c r="AH146" s="85"/>
      <c r="AI146" s="85"/>
    </row>
    <row r="147" spans="18:35" x14ac:dyDescent="0.2">
      <c r="R147" s="85"/>
      <c r="S147" s="85"/>
      <c r="T147" s="85"/>
      <c r="W147" s="85"/>
      <c r="X147" s="85"/>
      <c r="Y147" s="85"/>
      <c r="AB147" s="85"/>
      <c r="AC147" s="85"/>
      <c r="AD147" s="85"/>
      <c r="AG147" s="85"/>
      <c r="AH147" s="85"/>
      <c r="AI147" s="85"/>
    </row>
    <row r="148" spans="18:35" x14ac:dyDescent="0.2">
      <c r="R148" s="85"/>
      <c r="S148" s="85"/>
      <c r="T148" s="85"/>
      <c r="W148" s="85"/>
      <c r="X148" s="85"/>
      <c r="Y148" s="85"/>
      <c r="AB148" s="85"/>
      <c r="AC148" s="85"/>
      <c r="AD148" s="85"/>
      <c r="AG148" s="85"/>
      <c r="AH148" s="85"/>
      <c r="AI148" s="85"/>
    </row>
    <row r="149" spans="18:35" x14ac:dyDescent="0.2">
      <c r="R149" s="85"/>
      <c r="S149" s="85"/>
      <c r="T149" s="85"/>
      <c r="W149" s="85"/>
      <c r="X149" s="85"/>
      <c r="Y149" s="85"/>
      <c r="AB149" s="85"/>
      <c r="AC149" s="85"/>
      <c r="AD149" s="85"/>
      <c r="AG149" s="85"/>
      <c r="AH149" s="85"/>
      <c r="AI149" s="85"/>
    </row>
    <row r="150" spans="18:35" x14ac:dyDescent="0.2">
      <c r="R150" s="85"/>
      <c r="S150" s="85"/>
      <c r="T150" s="85"/>
      <c r="W150" s="85"/>
      <c r="X150" s="85"/>
      <c r="Y150" s="85"/>
      <c r="AB150" s="85"/>
      <c r="AC150" s="85"/>
      <c r="AD150" s="85"/>
      <c r="AG150" s="85"/>
      <c r="AH150" s="85"/>
      <c r="AI150" s="85"/>
    </row>
    <row r="151" spans="18:35" x14ac:dyDescent="0.2">
      <c r="R151" s="85"/>
      <c r="S151" s="85"/>
      <c r="T151" s="85"/>
      <c r="W151" s="85"/>
      <c r="X151" s="85"/>
      <c r="Y151" s="85"/>
      <c r="AB151" s="85"/>
      <c r="AC151" s="85"/>
      <c r="AD151" s="85"/>
      <c r="AG151" s="85"/>
      <c r="AH151" s="85"/>
      <c r="AI151" s="85"/>
    </row>
    <row r="152" spans="18:35" x14ac:dyDescent="0.2">
      <c r="R152" s="85"/>
      <c r="S152" s="85"/>
      <c r="T152" s="85"/>
      <c r="W152" s="85"/>
      <c r="X152" s="85"/>
      <c r="Y152" s="85"/>
      <c r="AB152" s="85"/>
      <c r="AC152" s="85"/>
      <c r="AD152" s="85"/>
      <c r="AG152" s="85"/>
      <c r="AH152" s="85"/>
      <c r="AI152" s="85"/>
    </row>
    <row r="153" spans="18:35" x14ac:dyDescent="0.2">
      <c r="R153" s="85"/>
      <c r="S153" s="85"/>
      <c r="T153" s="85"/>
      <c r="W153" s="85"/>
      <c r="X153" s="85"/>
      <c r="Y153" s="85"/>
      <c r="AB153" s="85"/>
      <c r="AC153" s="85"/>
      <c r="AD153" s="85"/>
      <c r="AG153" s="85"/>
      <c r="AH153" s="85"/>
      <c r="AI153" s="85"/>
    </row>
    <row r="154" spans="18:35" x14ac:dyDescent="0.2">
      <c r="R154" s="85"/>
      <c r="S154" s="85"/>
      <c r="T154" s="85"/>
      <c r="W154" s="85"/>
      <c r="X154" s="85"/>
      <c r="Y154" s="85"/>
      <c r="AB154" s="85"/>
      <c r="AC154" s="85"/>
      <c r="AD154" s="85"/>
      <c r="AG154" s="85"/>
      <c r="AH154" s="85"/>
      <c r="AI154" s="85"/>
    </row>
    <row r="155" spans="18:35" x14ac:dyDescent="0.2">
      <c r="R155" s="85"/>
      <c r="S155" s="85"/>
      <c r="T155" s="85"/>
      <c r="W155" s="85"/>
      <c r="X155" s="85"/>
      <c r="Y155" s="85"/>
      <c r="AB155" s="85"/>
      <c r="AC155" s="85"/>
      <c r="AD155" s="85"/>
      <c r="AG155" s="85"/>
      <c r="AH155" s="85"/>
      <c r="AI155" s="85"/>
    </row>
    <row r="156" spans="18:35" x14ac:dyDescent="0.2">
      <c r="R156" s="85"/>
      <c r="S156" s="85"/>
      <c r="T156" s="85"/>
      <c r="W156" s="85"/>
      <c r="X156" s="85"/>
      <c r="Y156" s="85"/>
      <c r="AB156" s="85"/>
      <c r="AC156" s="85"/>
      <c r="AD156" s="85"/>
      <c r="AG156" s="85"/>
      <c r="AH156" s="85"/>
      <c r="AI156" s="85"/>
    </row>
    <row r="157" spans="18:35" x14ac:dyDescent="0.2">
      <c r="R157" s="85"/>
      <c r="S157" s="85"/>
      <c r="T157" s="85"/>
      <c r="W157" s="85"/>
      <c r="X157" s="85"/>
      <c r="Y157" s="85"/>
      <c r="AB157" s="85"/>
      <c r="AC157" s="85"/>
      <c r="AD157" s="85"/>
      <c r="AG157" s="85"/>
      <c r="AH157" s="85"/>
      <c r="AI157" s="85"/>
    </row>
    <row r="158" spans="18:35" x14ac:dyDescent="0.2">
      <c r="R158" s="85"/>
      <c r="S158" s="85"/>
      <c r="T158" s="85"/>
      <c r="W158" s="85"/>
      <c r="X158" s="85"/>
      <c r="Y158" s="85"/>
      <c r="AB158" s="85"/>
      <c r="AC158" s="85"/>
      <c r="AD158" s="85"/>
      <c r="AG158" s="85"/>
      <c r="AH158" s="85"/>
      <c r="AI158" s="85"/>
    </row>
    <row r="159" spans="18:35" x14ac:dyDescent="0.2">
      <c r="R159" s="85"/>
      <c r="S159" s="85"/>
      <c r="T159" s="85"/>
      <c r="W159" s="85"/>
      <c r="X159" s="85"/>
      <c r="Y159" s="85"/>
      <c r="AB159" s="85"/>
      <c r="AC159" s="85"/>
      <c r="AD159" s="85"/>
      <c r="AG159" s="85"/>
      <c r="AH159" s="85"/>
      <c r="AI159" s="85"/>
    </row>
    <row r="160" spans="18:35" x14ac:dyDescent="0.2">
      <c r="R160" s="85"/>
      <c r="S160" s="85"/>
      <c r="T160" s="85"/>
      <c r="W160" s="85"/>
      <c r="X160" s="85"/>
      <c r="Y160" s="85"/>
      <c r="AB160" s="85"/>
      <c r="AC160" s="85"/>
      <c r="AD160" s="85"/>
      <c r="AG160" s="85"/>
      <c r="AH160" s="85"/>
      <c r="AI160" s="85"/>
    </row>
    <row r="161" spans="18:35" x14ac:dyDescent="0.2">
      <c r="R161" s="85"/>
      <c r="S161" s="85"/>
      <c r="T161" s="85"/>
      <c r="W161" s="85"/>
      <c r="X161" s="85"/>
      <c r="Y161" s="85"/>
      <c r="AB161" s="85"/>
      <c r="AC161" s="85"/>
      <c r="AD161" s="85"/>
      <c r="AG161" s="85"/>
      <c r="AH161" s="85"/>
      <c r="AI161" s="85"/>
    </row>
    <row r="162" spans="18:35" x14ac:dyDescent="0.2">
      <c r="R162" s="85"/>
      <c r="S162" s="85"/>
      <c r="T162" s="85"/>
      <c r="W162" s="85"/>
      <c r="X162" s="85"/>
      <c r="Y162" s="85"/>
      <c r="AB162" s="85"/>
      <c r="AC162" s="85"/>
      <c r="AD162" s="85"/>
      <c r="AG162" s="85"/>
      <c r="AH162" s="85"/>
      <c r="AI162" s="85"/>
    </row>
    <row r="163" spans="18:35" x14ac:dyDescent="0.2">
      <c r="R163" s="85"/>
      <c r="S163" s="85"/>
      <c r="T163" s="85"/>
      <c r="W163" s="85"/>
      <c r="X163" s="85"/>
      <c r="Y163" s="85"/>
      <c r="AB163" s="85"/>
      <c r="AC163" s="85"/>
      <c r="AD163" s="85"/>
      <c r="AG163" s="85"/>
      <c r="AH163" s="85"/>
      <c r="AI163" s="85"/>
    </row>
    <row r="164" spans="18:35" x14ac:dyDescent="0.2">
      <c r="R164" s="85"/>
      <c r="S164" s="85"/>
      <c r="T164" s="85"/>
      <c r="W164" s="85"/>
      <c r="X164" s="85"/>
      <c r="Y164" s="85"/>
      <c r="AB164" s="85"/>
      <c r="AC164" s="85"/>
      <c r="AD164" s="85"/>
      <c r="AG164" s="85"/>
      <c r="AH164" s="85"/>
      <c r="AI164" s="85"/>
    </row>
    <row r="165" spans="18:35" x14ac:dyDescent="0.2">
      <c r="R165" s="85"/>
      <c r="S165" s="85"/>
      <c r="T165" s="85"/>
      <c r="W165" s="85"/>
      <c r="X165" s="85"/>
      <c r="Y165" s="85"/>
      <c r="AB165" s="85"/>
      <c r="AC165" s="85"/>
      <c r="AD165" s="85"/>
      <c r="AG165" s="85"/>
      <c r="AH165" s="85"/>
      <c r="AI165" s="85"/>
    </row>
    <row r="166" spans="18:35" x14ac:dyDescent="0.2">
      <c r="R166" s="85"/>
      <c r="S166" s="85"/>
      <c r="T166" s="85"/>
      <c r="W166" s="85"/>
      <c r="X166" s="85"/>
      <c r="Y166" s="85"/>
      <c r="AB166" s="85"/>
      <c r="AC166" s="85"/>
      <c r="AD166" s="85"/>
      <c r="AG166" s="85"/>
      <c r="AH166" s="85"/>
      <c r="AI166" s="85"/>
    </row>
    <row r="167" spans="18:35" x14ac:dyDescent="0.2">
      <c r="R167" s="85"/>
      <c r="S167" s="85"/>
      <c r="T167" s="85"/>
      <c r="W167" s="85"/>
      <c r="X167" s="85"/>
      <c r="Y167" s="85"/>
      <c r="AB167" s="85"/>
      <c r="AC167" s="85"/>
      <c r="AD167" s="85"/>
      <c r="AG167" s="85"/>
      <c r="AH167" s="85"/>
      <c r="AI167" s="85"/>
    </row>
    <row r="168" spans="18:35" x14ac:dyDescent="0.2">
      <c r="R168" s="85"/>
      <c r="S168" s="85"/>
      <c r="T168" s="85"/>
      <c r="W168" s="85"/>
      <c r="X168" s="85"/>
      <c r="Y168" s="85"/>
      <c r="AB168" s="85"/>
      <c r="AC168" s="85"/>
      <c r="AD168" s="85"/>
      <c r="AG168" s="85"/>
      <c r="AH168" s="85"/>
      <c r="AI168" s="85"/>
    </row>
    <row r="169" spans="18:35" x14ac:dyDescent="0.2">
      <c r="R169" s="85"/>
      <c r="S169" s="85"/>
      <c r="T169" s="85"/>
      <c r="W169" s="85"/>
      <c r="X169" s="85"/>
      <c r="Y169" s="85"/>
      <c r="AB169" s="85"/>
      <c r="AC169" s="85"/>
      <c r="AD169" s="85"/>
      <c r="AG169" s="85"/>
      <c r="AH169" s="85"/>
      <c r="AI169" s="85"/>
    </row>
    <row r="170" spans="18:35" x14ac:dyDescent="0.2">
      <c r="R170" s="85"/>
      <c r="S170" s="85"/>
      <c r="T170" s="85"/>
      <c r="W170" s="85"/>
      <c r="X170" s="85"/>
      <c r="Y170" s="85"/>
      <c r="AB170" s="85"/>
      <c r="AC170" s="85"/>
      <c r="AD170" s="85"/>
      <c r="AG170" s="85"/>
      <c r="AH170" s="85"/>
      <c r="AI170" s="85"/>
    </row>
    <row r="171" spans="18:35" x14ac:dyDescent="0.2">
      <c r="R171" s="85"/>
      <c r="S171" s="85"/>
      <c r="T171" s="85"/>
      <c r="W171" s="85"/>
      <c r="X171" s="85"/>
      <c r="Y171" s="85"/>
      <c r="AB171" s="85"/>
      <c r="AC171" s="85"/>
      <c r="AD171" s="85"/>
      <c r="AG171" s="85"/>
      <c r="AH171" s="85"/>
      <c r="AI171" s="85"/>
    </row>
    <row r="172" spans="18:35" x14ac:dyDescent="0.2">
      <c r="R172" s="85"/>
      <c r="S172" s="85"/>
      <c r="T172" s="85"/>
      <c r="W172" s="85"/>
      <c r="X172" s="85"/>
      <c r="Y172" s="85"/>
      <c r="AB172" s="85"/>
      <c r="AC172" s="85"/>
      <c r="AD172" s="85"/>
      <c r="AG172" s="85"/>
      <c r="AH172" s="85"/>
      <c r="AI172" s="85"/>
    </row>
    <row r="173" spans="18:35" x14ac:dyDescent="0.2">
      <c r="R173" s="85"/>
      <c r="S173" s="85"/>
      <c r="T173" s="85"/>
      <c r="W173" s="85"/>
      <c r="X173" s="85"/>
      <c r="Y173" s="85"/>
      <c r="AB173" s="85"/>
      <c r="AC173" s="85"/>
      <c r="AD173" s="85"/>
      <c r="AG173" s="85"/>
      <c r="AH173" s="85"/>
      <c r="AI173" s="85"/>
    </row>
    <row r="174" spans="18:35" x14ac:dyDescent="0.2">
      <c r="R174" s="85"/>
      <c r="S174" s="85"/>
      <c r="T174" s="85"/>
      <c r="W174" s="85"/>
      <c r="X174" s="85"/>
      <c r="Y174" s="85"/>
      <c r="AB174" s="85"/>
      <c r="AC174" s="85"/>
      <c r="AD174" s="85"/>
      <c r="AG174" s="85"/>
      <c r="AH174" s="85"/>
      <c r="AI174" s="85"/>
    </row>
    <row r="175" spans="18:35" x14ac:dyDescent="0.2">
      <c r="R175" s="85"/>
      <c r="S175" s="85"/>
      <c r="T175" s="85"/>
      <c r="W175" s="85"/>
      <c r="X175" s="85"/>
      <c r="Y175" s="85"/>
      <c r="AB175" s="85"/>
      <c r="AC175" s="85"/>
      <c r="AD175" s="85"/>
      <c r="AG175" s="85"/>
      <c r="AH175" s="85"/>
      <c r="AI175" s="85"/>
    </row>
    <row r="176" spans="18:35" x14ac:dyDescent="0.2">
      <c r="R176" s="85"/>
      <c r="S176" s="85"/>
      <c r="T176" s="85"/>
      <c r="W176" s="85"/>
      <c r="X176" s="85"/>
      <c r="Y176" s="85"/>
      <c r="AB176" s="85"/>
      <c r="AC176" s="85"/>
      <c r="AD176" s="85"/>
      <c r="AG176" s="85"/>
      <c r="AH176" s="85"/>
      <c r="AI176" s="85"/>
    </row>
    <row r="177" spans="18:35" x14ac:dyDescent="0.2">
      <c r="R177" s="85"/>
      <c r="S177" s="85"/>
      <c r="T177" s="85"/>
      <c r="W177" s="85"/>
      <c r="X177" s="85"/>
      <c r="Y177" s="85"/>
      <c r="AB177" s="85"/>
      <c r="AC177" s="85"/>
      <c r="AD177" s="85"/>
      <c r="AG177" s="85"/>
      <c r="AH177" s="85"/>
      <c r="AI177" s="85"/>
    </row>
    <row r="178" spans="18:35" x14ac:dyDescent="0.2">
      <c r="R178" s="85"/>
      <c r="S178" s="85"/>
      <c r="T178" s="85"/>
      <c r="W178" s="85"/>
      <c r="X178" s="85"/>
      <c r="Y178" s="85"/>
      <c r="AB178" s="85"/>
      <c r="AC178" s="85"/>
      <c r="AD178" s="85"/>
      <c r="AG178" s="85"/>
      <c r="AH178" s="85"/>
      <c r="AI178" s="85"/>
    </row>
    <row r="179" spans="18:35" x14ac:dyDescent="0.2">
      <c r="R179" s="85"/>
      <c r="S179" s="85"/>
      <c r="T179" s="85"/>
      <c r="W179" s="85"/>
      <c r="X179" s="85"/>
      <c r="Y179" s="85"/>
      <c r="AB179" s="85"/>
      <c r="AC179" s="85"/>
      <c r="AD179" s="85"/>
      <c r="AG179" s="85"/>
      <c r="AH179" s="85"/>
      <c r="AI179" s="85"/>
    </row>
    <row r="180" spans="18:35" x14ac:dyDescent="0.2">
      <c r="R180" s="85"/>
      <c r="S180" s="85"/>
      <c r="T180" s="85"/>
      <c r="W180" s="85"/>
      <c r="X180" s="85"/>
      <c r="Y180" s="85"/>
      <c r="AB180" s="85"/>
      <c r="AC180" s="85"/>
      <c r="AD180" s="85"/>
      <c r="AG180" s="85"/>
      <c r="AH180" s="85"/>
      <c r="AI180" s="85"/>
    </row>
    <row r="181" spans="18:35" x14ac:dyDescent="0.2">
      <c r="R181" s="85"/>
      <c r="S181" s="85"/>
      <c r="T181" s="85"/>
      <c r="W181" s="85"/>
      <c r="X181" s="85"/>
      <c r="Y181" s="85"/>
      <c r="AB181" s="85"/>
      <c r="AC181" s="85"/>
      <c r="AD181" s="85"/>
      <c r="AG181" s="85"/>
      <c r="AH181" s="85"/>
      <c r="AI181" s="85"/>
    </row>
    <row r="182" spans="18:35" x14ac:dyDescent="0.2">
      <c r="R182" s="85"/>
      <c r="S182" s="85"/>
      <c r="T182" s="85"/>
      <c r="W182" s="85"/>
      <c r="X182" s="85"/>
      <c r="Y182" s="85"/>
      <c r="AB182" s="85"/>
      <c r="AC182" s="85"/>
      <c r="AD182" s="85"/>
      <c r="AG182" s="85"/>
      <c r="AH182" s="85"/>
      <c r="AI182" s="85"/>
    </row>
    <row r="183" spans="18:35" x14ac:dyDescent="0.2">
      <c r="R183" s="85"/>
      <c r="S183" s="85"/>
      <c r="T183" s="85"/>
      <c r="W183" s="85"/>
      <c r="X183" s="85"/>
      <c r="Y183" s="85"/>
      <c r="AB183" s="85"/>
      <c r="AC183" s="85"/>
      <c r="AD183" s="85"/>
      <c r="AG183" s="85"/>
      <c r="AH183" s="85"/>
      <c r="AI183" s="85"/>
    </row>
    <row r="184" spans="18:35" x14ac:dyDescent="0.2">
      <c r="R184" s="85"/>
      <c r="S184" s="85"/>
      <c r="T184" s="85"/>
      <c r="W184" s="85"/>
      <c r="X184" s="85"/>
      <c r="Y184" s="85"/>
      <c r="AB184" s="85"/>
      <c r="AC184" s="85"/>
      <c r="AD184" s="85"/>
      <c r="AG184" s="85"/>
      <c r="AH184" s="85"/>
      <c r="AI184" s="85"/>
    </row>
    <row r="185" spans="18:35" x14ac:dyDescent="0.2">
      <c r="R185" s="85"/>
      <c r="S185" s="85"/>
      <c r="T185" s="85"/>
      <c r="W185" s="85"/>
      <c r="X185" s="85"/>
      <c r="Y185" s="85"/>
      <c r="AB185" s="85"/>
      <c r="AC185" s="85"/>
      <c r="AD185" s="85"/>
      <c r="AG185" s="85"/>
      <c r="AH185" s="85"/>
      <c r="AI185" s="85"/>
    </row>
    <row r="186" spans="18:35" x14ac:dyDescent="0.2">
      <c r="R186" s="85"/>
      <c r="S186" s="85"/>
      <c r="T186" s="85"/>
      <c r="W186" s="85"/>
      <c r="X186" s="85"/>
      <c r="Y186" s="85"/>
      <c r="AB186" s="85"/>
      <c r="AC186" s="85"/>
      <c r="AD186" s="85"/>
      <c r="AG186" s="85"/>
      <c r="AH186" s="85"/>
      <c r="AI186" s="85"/>
    </row>
    <row r="187" spans="18:35" x14ac:dyDescent="0.2">
      <c r="R187" s="85"/>
      <c r="S187" s="85"/>
      <c r="T187" s="85"/>
      <c r="W187" s="85"/>
      <c r="X187" s="85"/>
      <c r="Y187" s="85"/>
      <c r="AB187" s="85"/>
      <c r="AC187" s="85"/>
      <c r="AD187" s="85"/>
      <c r="AG187" s="85"/>
      <c r="AH187" s="85"/>
      <c r="AI187" s="85"/>
    </row>
    <row r="188" spans="18:35" x14ac:dyDescent="0.2">
      <c r="R188" s="85"/>
      <c r="S188" s="85"/>
      <c r="T188" s="85"/>
      <c r="W188" s="85"/>
      <c r="X188" s="85"/>
      <c r="Y188" s="85"/>
      <c r="AB188" s="85"/>
      <c r="AC188" s="85"/>
      <c r="AD188" s="85"/>
      <c r="AG188" s="85"/>
      <c r="AH188" s="85"/>
      <c r="AI188" s="85"/>
    </row>
    <row r="189" spans="18:35" x14ac:dyDescent="0.2">
      <c r="R189" s="85"/>
      <c r="S189" s="85"/>
      <c r="T189" s="85"/>
      <c r="W189" s="85"/>
      <c r="X189" s="85"/>
      <c r="Y189" s="85"/>
      <c r="AB189" s="85"/>
      <c r="AC189" s="85"/>
      <c r="AD189" s="85"/>
      <c r="AG189" s="85"/>
      <c r="AH189" s="85"/>
      <c r="AI189" s="85"/>
    </row>
    <row r="190" spans="18:35" x14ac:dyDescent="0.2">
      <c r="R190" s="85"/>
      <c r="S190" s="85"/>
      <c r="T190" s="85"/>
      <c r="W190" s="85"/>
      <c r="X190" s="85"/>
      <c r="Y190" s="85"/>
      <c r="AB190" s="85"/>
      <c r="AC190" s="85"/>
      <c r="AD190" s="85"/>
      <c r="AG190" s="85"/>
      <c r="AH190" s="85"/>
      <c r="AI190" s="85"/>
    </row>
    <row r="191" spans="18:35" x14ac:dyDescent="0.2">
      <c r="R191" s="85"/>
      <c r="S191" s="85"/>
      <c r="T191" s="85"/>
      <c r="W191" s="85"/>
      <c r="X191" s="85"/>
      <c r="Y191" s="85"/>
      <c r="AB191" s="85"/>
      <c r="AC191" s="85"/>
      <c r="AD191" s="85"/>
      <c r="AG191" s="85"/>
      <c r="AH191" s="85"/>
      <c r="AI191" s="85"/>
    </row>
    <row r="192" spans="18:35" x14ac:dyDescent="0.2">
      <c r="R192" s="85"/>
      <c r="S192" s="85"/>
      <c r="T192" s="85"/>
      <c r="W192" s="85"/>
      <c r="X192" s="85"/>
      <c r="Y192" s="85"/>
      <c r="AB192" s="85"/>
      <c r="AC192" s="85"/>
      <c r="AD192" s="85"/>
      <c r="AG192" s="85"/>
      <c r="AH192" s="85"/>
      <c r="AI192" s="85"/>
    </row>
    <row r="193" spans="18:35" x14ac:dyDescent="0.2">
      <c r="R193" s="85"/>
      <c r="S193" s="85"/>
      <c r="T193" s="85"/>
      <c r="W193" s="85"/>
      <c r="X193" s="85"/>
      <c r="Y193" s="85"/>
      <c r="AB193" s="85"/>
      <c r="AC193" s="85"/>
      <c r="AD193" s="85"/>
      <c r="AG193" s="85"/>
      <c r="AH193" s="85"/>
      <c r="AI193" s="85"/>
    </row>
    <row r="194" spans="18:35" x14ac:dyDescent="0.2">
      <c r="R194" s="85"/>
      <c r="S194" s="85"/>
      <c r="T194" s="85"/>
      <c r="W194" s="85"/>
      <c r="X194" s="85"/>
      <c r="Y194" s="85"/>
      <c r="AB194" s="85"/>
      <c r="AC194" s="85"/>
      <c r="AD194" s="85"/>
      <c r="AG194" s="85"/>
      <c r="AH194" s="85"/>
      <c r="AI194" s="85"/>
    </row>
    <row r="195" spans="18:35" x14ac:dyDescent="0.2">
      <c r="R195" s="85"/>
      <c r="S195" s="85"/>
      <c r="T195" s="85"/>
      <c r="W195" s="85"/>
      <c r="X195" s="85"/>
      <c r="Y195" s="85"/>
      <c r="AB195" s="85"/>
      <c r="AC195" s="85"/>
      <c r="AD195" s="85"/>
      <c r="AG195" s="85"/>
      <c r="AH195" s="85"/>
      <c r="AI195" s="85"/>
    </row>
    <row r="196" spans="18:35" x14ac:dyDescent="0.2">
      <c r="R196" s="85"/>
      <c r="S196" s="85"/>
      <c r="T196" s="85"/>
      <c r="W196" s="85"/>
      <c r="X196" s="85"/>
      <c r="Y196" s="85"/>
      <c r="AB196" s="85"/>
      <c r="AC196" s="85"/>
      <c r="AD196" s="85"/>
      <c r="AG196" s="85"/>
      <c r="AH196" s="85"/>
      <c r="AI196" s="85"/>
    </row>
    <row r="197" spans="18:35" x14ac:dyDescent="0.2">
      <c r="R197" s="85"/>
      <c r="S197" s="85"/>
      <c r="T197" s="85"/>
      <c r="W197" s="85"/>
      <c r="X197" s="85"/>
      <c r="Y197" s="85"/>
      <c r="AB197" s="85"/>
      <c r="AC197" s="85"/>
      <c r="AD197" s="85"/>
      <c r="AG197" s="85"/>
      <c r="AH197" s="85"/>
      <c r="AI197" s="85"/>
    </row>
    <row r="198" spans="18:35" x14ac:dyDescent="0.2">
      <c r="R198" s="85"/>
      <c r="S198" s="85"/>
      <c r="T198" s="85"/>
      <c r="W198" s="85"/>
      <c r="X198" s="85"/>
      <c r="Y198" s="85"/>
      <c r="AB198" s="85"/>
      <c r="AC198" s="85"/>
      <c r="AD198" s="85"/>
      <c r="AG198" s="85"/>
      <c r="AH198" s="85"/>
      <c r="AI198" s="85"/>
    </row>
    <row r="199" spans="18:35" x14ac:dyDescent="0.2">
      <c r="R199" s="85"/>
      <c r="S199" s="85"/>
      <c r="T199" s="85"/>
      <c r="W199" s="85"/>
      <c r="X199" s="85"/>
      <c r="Y199" s="85"/>
      <c r="AB199" s="85"/>
      <c r="AC199" s="85"/>
      <c r="AD199" s="85"/>
      <c r="AG199" s="85"/>
      <c r="AH199" s="85"/>
      <c r="AI199" s="85"/>
    </row>
    <row r="200" spans="18:35" x14ac:dyDescent="0.2">
      <c r="R200" s="85"/>
      <c r="S200" s="85"/>
      <c r="T200" s="85"/>
      <c r="W200" s="85"/>
      <c r="X200" s="85"/>
      <c r="Y200" s="85"/>
      <c r="AB200" s="85"/>
      <c r="AC200" s="85"/>
      <c r="AD200" s="85"/>
      <c r="AG200" s="85"/>
      <c r="AH200" s="85"/>
      <c r="AI200" s="85"/>
    </row>
    <row r="201" spans="18:35" x14ac:dyDescent="0.2">
      <c r="R201" s="85"/>
      <c r="S201" s="85"/>
      <c r="T201" s="85"/>
      <c r="W201" s="85"/>
      <c r="X201" s="85"/>
      <c r="Y201" s="85"/>
      <c r="AB201" s="85"/>
      <c r="AC201" s="85"/>
      <c r="AD201" s="85"/>
      <c r="AG201" s="85"/>
      <c r="AH201" s="85"/>
      <c r="AI201" s="85"/>
    </row>
    <row r="202" spans="18:35" x14ac:dyDescent="0.2">
      <c r="R202" s="85"/>
      <c r="S202" s="85"/>
      <c r="T202" s="85"/>
      <c r="W202" s="85"/>
      <c r="X202" s="85"/>
      <c r="Y202" s="85"/>
      <c r="AB202" s="85"/>
      <c r="AC202" s="85"/>
      <c r="AD202" s="85"/>
      <c r="AG202" s="85"/>
      <c r="AH202" s="85"/>
      <c r="AI202" s="85"/>
    </row>
    <row r="203" spans="18:35" x14ac:dyDescent="0.2">
      <c r="R203" s="85"/>
      <c r="S203" s="85"/>
      <c r="T203" s="85"/>
      <c r="W203" s="85"/>
      <c r="X203" s="85"/>
      <c r="Y203" s="85"/>
      <c r="AB203" s="85"/>
      <c r="AC203" s="85"/>
      <c r="AD203" s="85"/>
      <c r="AG203" s="85"/>
      <c r="AH203" s="85"/>
      <c r="AI203" s="85"/>
    </row>
    <row r="204" spans="18:35" x14ac:dyDescent="0.2">
      <c r="R204" s="85"/>
      <c r="S204" s="85"/>
      <c r="T204" s="85"/>
      <c r="W204" s="85"/>
      <c r="X204" s="85"/>
      <c r="Y204" s="85"/>
      <c r="AB204" s="85"/>
      <c r="AC204" s="85"/>
      <c r="AD204" s="85"/>
      <c r="AG204" s="85"/>
      <c r="AH204" s="85"/>
      <c r="AI204" s="85"/>
    </row>
    <row r="205" spans="18:35" x14ac:dyDescent="0.2">
      <c r="R205" s="85"/>
      <c r="S205" s="85"/>
      <c r="T205" s="85"/>
      <c r="W205" s="85"/>
      <c r="X205" s="85"/>
      <c r="Y205" s="85"/>
      <c r="AB205" s="85"/>
      <c r="AC205" s="85"/>
      <c r="AD205" s="85"/>
      <c r="AG205" s="85"/>
      <c r="AH205" s="85"/>
      <c r="AI205" s="85"/>
    </row>
    <row r="206" spans="18:35" x14ac:dyDescent="0.2">
      <c r="R206" s="85"/>
      <c r="S206" s="85"/>
      <c r="T206" s="85"/>
      <c r="W206" s="85"/>
      <c r="X206" s="85"/>
      <c r="Y206" s="85"/>
      <c r="AB206" s="85"/>
      <c r="AC206" s="85"/>
      <c r="AD206" s="85"/>
      <c r="AG206" s="85"/>
      <c r="AH206" s="85"/>
      <c r="AI206" s="85"/>
    </row>
    <row r="207" spans="18:35" x14ac:dyDescent="0.2">
      <c r="R207" s="85"/>
      <c r="S207" s="85"/>
      <c r="T207" s="85"/>
      <c r="W207" s="85"/>
      <c r="X207" s="85"/>
      <c r="Y207" s="85"/>
      <c r="AB207" s="85"/>
      <c r="AC207" s="85"/>
      <c r="AD207" s="85"/>
      <c r="AG207" s="85"/>
      <c r="AH207" s="85"/>
      <c r="AI207" s="85"/>
    </row>
    <row r="208" spans="18:35" x14ac:dyDescent="0.2">
      <c r="R208" s="85"/>
      <c r="S208" s="85"/>
      <c r="T208" s="85"/>
      <c r="W208" s="85"/>
      <c r="X208" s="85"/>
      <c r="Y208" s="85"/>
      <c r="AB208" s="85"/>
      <c r="AC208" s="85"/>
      <c r="AD208" s="85"/>
      <c r="AG208" s="85"/>
      <c r="AH208" s="85"/>
      <c r="AI208" s="85"/>
    </row>
    <row r="209" spans="18:35" x14ac:dyDescent="0.2">
      <c r="R209" s="85"/>
      <c r="S209" s="85"/>
      <c r="T209" s="85"/>
      <c r="W209" s="85"/>
      <c r="X209" s="85"/>
      <c r="Y209" s="85"/>
      <c r="AB209" s="85"/>
      <c r="AC209" s="85"/>
      <c r="AD209" s="85"/>
      <c r="AG209" s="85"/>
      <c r="AH209" s="85"/>
      <c r="AI209" s="85"/>
    </row>
    <row r="210" spans="18:35" x14ac:dyDescent="0.2">
      <c r="R210" s="85"/>
      <c r="S210" s="85"/>
      <c r="T210" s="85"/>
      <c r="W210" s="85"/>
      <c r="X210" s="85"/>
      <c r="Y210" s="85"/>
      <c r="AB210" s="85"/>
      <c r="AC210" s="85"/>
      <c r="AD210" s="85"/>
      <c r="AG210" s="85"/>
      <c r="AH210" s="85"/>
      <c r="AI210" s="85"/>
    </row>
    <row r="211" spans="18:35" x14ac:dyDescent="0.2">
      <c r="R211" s="85"/>
      <c r="S211" s="85"/>
      <c r="T211" s="85"/>
      <c r="W211" s="85"/>
      <c r="X211" s="85"/>
      <c r="Y211" s="85"/>
      <c r="AB211" s="85"/>
      <c r="AC211" s="85"/>
      <c r="AD211" s="85"/>
      <c r="AG211" s="85"/>
      <c r="AH211" s="85"/>
      <c r="AI211" s="85"/>
    </row>
    <row r="212" spans="18:35" x14ac:dyDescent="0.2">
      <c r="R212" s="85"/>
      <c r="S212" s="85"/>
      <c r="T212" s="85"/>
      <c r="W212" s="85"/>
      <c r="X212" s="85"/>
      <c r="Y212" s="85"/>
      <c r="AB212" s="85"/>
      <c r="AC212" s="85"/>
      <c r="AD212" s="85"/>
      <c r="AG212" s="85"/>
      <c r="AH212" s="85"/>
      <c r="AI212" s="85"/>
    </row>
    <row r="213" spans="18:35" x14ac:dyDescent="0.2">
      <c r="R213" s="85"/>
      <c r="S213" s="85"/>
      <c r="T213" s="85"/>
      <c r="W213" s="85"/>
      <c r="X213" s="85"/>
      <c r="Y213" s="85"/>
      <c r="AB213" s="85"/>
      <c r="AC213" s="85"/>
      <c r="AD213" s="85"/>
      <c r="AG213" s="85"/>
      <c r="AH213" s="85"/>
      <c r="AI213" s="85"/>
    </row>
    <row r="214" spans="18:35" x14ac:dyDescent="0.2">
      <c r="R214" s="85"/>
      <c r="S214" s="85"/>
      <c r="T214" s="85"/>
      <c r="W214" s="85"/>
      <c r="X214" s="85"/>
      <c r="Y214" s="85"/>
      <c r="AB214" s="85"/>
      <c r="AC214" s="85"/>
      <c r="AD214" s="85"/>
      <c r="AG214" s="85"/>
      <c r="AH214" s="85"/>
      <c r="AI214" s="85"/>
    </row>
    <row r="215" spans="18:35" x14ac:dyDescent="0.2">
      <c r="R215" s="85"/>
      <c r="S215" s="85"/>
      <c r="T215" s="85"/>
      <c r="W215" s="85"/>
      <c r="X215" s="85"/>
      <c r="Y215" s="85"/>
      <c r="AB215" s="85"/>
      <c r="AC215" s="85"/>
      <c r="AD215" s="85"/>
      <c r="AG215" s="85"/>
      <c r="AH215" s="85"/>
      <c r="AI215" s="85"/>
    </row>
    <row r="216" spans="18:35" x14ac:dyDescent="0.2">
      <c r="R216" s="85"/>
      <c r="S216" s="85"/>
      <c r="T216" s="85"/>
      <c r="W216" s="85"/>
      <c r="X216" s="85"/>
      <c r="Y216" s="85"/>
      <c r="AB216" s="85"/>
      <c r="AC216" s="85"/>
      <c r="AD216" s="85"/>
      <c r="AG216" s="85"/>
      <c r="AH216" s="85"/>
      <c r="AI216" s="85"/>
    </row>
    <row r="217" spans="18:35" x14ac:dyDescent="0.2">
      <c r="R217" s="85"/>
      <c r="S217" s="85"/>
      <c r="T217" s="85"/>
      <c r="W217" s="85"/>
      <c r="X217" s="85"/>
      <c r="Y217" s="85"/>
      <c r="AB217" s="85"/>
      <c r="AC217" s="85"/>
      <c r="AD217" s="85"/>
      <c r="AG217" s="85"/>
      <c r="AH217" s="85"/>
      <c r="AI217" s="85"/>
    </row>
    <row r="218" spans="18:35" x14ac:dyDescent="0.2">
      <c r="R218" s="85"/>
      <c r="S218" s="85"/>
      <c r="T218" s="85"/>
      <c r="W218" s="85"/>
      <c r="X218" s="85"/>
      <c r="Y218" s="85"/>
      <c r="AB218" s="85"/>
      <c r="AC218" s="85"/>
      <c r="AD218" s="85"/>
      <c r="AG218" s="85"/>
      <c r="AH218" s="85"/>
      <c r="AI218" s="85"/>
    </row>
    <row r="219" spans="18:35" x14ac:dyDescent="0.2">
      <c r="R219" s="85"/>
      <c r="S219" s="85"/>
      <c r="T219" s="85"/>
      <c r="W219" s="85"/>
      <c r="X219" s="85"/>
      <c r="Y219" s="85"/>
      <c r="AB219" s="85"/>
      <c r="AC219" s="85"/>
      <c r="AD219" s="85"/>
      <c r="AG219" s="85"/>
      <c r="AH219" s="85"/>
      <c r="AI219" s="85"/>
    </row>
    <row r="220" spans="18:35" x14ac:dyDescent="0.2">
      <c r="R220" s="85"/>
      <c r="S220" s="85"/>
      <c r="T220" s="85"/>
      <c r="W220" s="85"/>
      <c r="X220" s="85"/>
      <c r="Y220" s="85"/>
      <c r="AB220" s="85"/>
      <c r="AC220" s="85"/>
      <c r="AD220" s="85"/>
      <c r="AG220" s="85"/>
      <c r="AH220" s="85"/>
      <c r="AI220" s="85"/>
    </row>
    <row r="221" spans="18:35" x14ac:dyDescent="0.2">
      <c r="R221" s="85"/>
      <c r="S221" s="85"/>
      <c r="T221" s="85"/>
      <c r="W221" s="85"/>
      <c r="X221" s="85"/>
      <c r="Y221" s="85"/>
      <c r="AB221" s="85"/>
      <c r="AC221" s="85"/>
      <c r="AD221" s="85"/>
      <c r="AG221" s="85"/>
      <c r="AH221" s="85"/>
      <c r="AI221" s="85"/>
    </row>
    <row r="222" spans="18:35" x14ac:dyDescent="0.2">
      <c r="R222" s="85"/>
      <c r="S222" s="85"/>
      <c r="T222" s="85"/>
      <c r="W222" s="85"/>
      <c r="X222" s="85"/>
      <c r="Y222" s="85"/>
      <c r="AB222" s="85"/>
      <c r="AC222" s="85"/>
      <c r="AD222" s="85"/>
      <c r="AG222" s="85"/>
      <c r="AH222" s="85"/>
      <c r="AI222" s="85"/>
    </row>
    <row r="223" spans="18:35" x14ac:dyDescent="0.2">
      <c r="R223" s="85"/>
      <c r="S223" s="85"/>
      <c r="T223" s="85"/>
      <c r="W223" s="85"/>
      <c r="X223" s="85"/>
      <c r="Y223" s="85"/>
      <c r="AB223" s="85"/>
      <c r="AC223" s="85"/>
      <c r="AD223" s="85"/>
      <c r="AG223" s="85"/>
      <c r="AH223" s="85"/>
      <c r="AI223" s="85"/>
    </row>
    <row r="224" spans="18:35" x14ac:dyDescent="0.2">
      <c r="R224" s="85"/>
      <c r="S224" s="85"/>
      <c r="T224" s="85"/>
      <c r="W224" s="85"/>
      <c r="X224" s="85"/>
      <c r="Y224" s="85"/>
      <c r="AB224" s="85"/>
      <c r="AC224" s="85"/>
      <c r="AD224" s="85"/>
      <c r="AG224" s="85"/>
      <c r="AH224" s="85"/>
      <c r="AI224" s="85"/>
    </row>
    <row r="225" spans="18:35" x14ac:dyDescent="0.2">
      <c r="R225" s="85"/>
      <c r="S225" s="85"/>
      <c r="T225" s="85"/>
      <c r="W225" s="85"/>
      <c r="X225" s="85"/>
      <c r="Y225" s="85"/>
      <c r="AB225" s="85"/>
      <c r="AC225" s="85"/>
      <c r="AD225" s="85"/>
      <c r="AG225" s="85"/>
      <c r="AH225" s="85"/>
      <c r="AI225" s="85"/>
    </row>
    <row r="226" spans="18:35" x14ac:dyDescent="0.2">
      <c r="R226" s="85"/>
      <c r="S226" s="85"/>
      <c r="T226" s="85"/>
      <c r="W226" s="85"/>
      <c r="X226" s="85"/>
      <c r="Y226" s="85"/>
      <c r="AB226" s="85"/>
      <c r="AC226" s="85"/>
      <c r="AD226" s="85"/>
      <c r="AG226" s="85"/>
      <c r="AH226" s="85"/>
      <c r="AI226" s="85"/>
    </row>
    <row r="227" spans="18:35" x14ac:dyDescent="0.2">
      <c r="R227" s="85"/>
      <c r="S227" s="85"/>
      <c r="T227" s="85"/>
      <c r="W227" s="85"/>
      <c r="X227" s="85"/>
      <c r="Y227" s="85"/>
      <c r="AB227" s="85"/>
      <c r="AC227" s="85"/>
      <c r="AD227" s="85"/>
      <c r="AG227" s="85"/>
      <c r="AH227" s="85"/>
      <c r="AI227" s="85"/>
    </row>
    <row r="228" spans="18:35" x14ac:dyDescent="0.2">
      <c r="R228" s="85"/>
      <c r="S228" s="85"/>
      <c r="T228" s="85"/>
      <c r="W228" s="85"/>
      <c r="X228" s="85"/>
      <c r="Y228" s="85"/>
      <c r="AB228" s="85"/>
      <c r="AC228" s="85"/>
      <c r="AD228" s="85"/>
      <c r="AG228" s="85"/>
      <c r="AH228" s="85"/>
      <c r="AI228" s="85"/>
    </row>
    <row r="229" spans="18:35" x14ac:dyDescent="0.2">
      <c r="R229" s="85"/>
      <c r="S229" s="85"/>
      <c r="T229" s="85"/>
      <c r="W229" s="85"/>
      <c r="X229" s="85"/>
      <c r="Y229" s="85"/>
      <c r="AB229" s="85"/>
      <c r="AC229" s="85"/>
      <c r="AD229" s="85"/>
      <c r="AG229" s="85"/>
      <c r="AH229" s="85"/>
      <c r="AI229" s="85"/>
    </row>
    <row r="230" spans="18:35" x14ac:dyDescent="0.2">
      <c r="R230" s="85"/>
      <c r="S230" s="85"/>
      <c r="T230" s="85"/>
      <c r="W230" s="85"/>
      <c r="X230" s="85"/>
      <c r="Y230" s="85"/>
      <c r="AB230" s="85"/>
      <c r="AC230" s="85"/>
      <c r="AD230" s="85"/>
      <c r="AG230" s="85"/>
      <c r="AH230" s="85"/>
      <c r="AI230" s="85"/>
    </row>
    <row r="231" spans="18:35" x14ac:dyDescent="0.2">
      <c r="R231" s="85"/>
      <c r="S231" s="85"/>
      <c r="T231" s="85"/>
      <c r="W231" s="85"/>
      <c r="X231" s="85"/>
      <c r="Y231" s="85"/>
      <c r="AB231" s="85"/>
      <c r="AC231" s="85"/>
      <c r="AD231" s="85"/>
      <c r="AG231" s="85"/>
      <c r="AH231" s="85"/>
      <c r="AI231" s="85"/>
    </row>
    <row r="232" spans="18:35" x14ac:dyDescent="0.2">
      <c r="R232" s="85"/>
      <c r="S232" s="85"/>
      <c r="T232" s="85"/>
      <c r="W232" s="85"/>
      <c r="X232" s="85"/>
      <c r="Y232" s="85"/>
      <c r="AB232" s="85"/>
      <c r="AC232" s="85"/>
      <c r="AD232" s="85"/>
      <c r="AG232" s="85"/>
      <c r="AH232" s="85"/>
      <c r="AI232" s="85"/>
    </row>
    <row r="233" spans="18:35" x14ac:dyDescent="0.2">
      <c r="R233" s="85"/>
      <c r="S233" s="85"/>
      <c r="T233" s="85"/>
      <c r="W233" s="85"/>
      <c r="X233" s="85"/>
      <c r="Y233" s="85"/>
      <c r="AB233" s="85"/>
      <c r="AC233" s="85"/>
      <c r="AD233" s="85"/>
      <c r="AG233" s="85"/>
      <c r="AH233" s="85"/>
      <c r="AI233" s="85"/>
    </row>
    <row r="234" spans="18:35" x14ac:dyDescent="0.2">
      <c r="R234" s="85"/>
      <c r="S234" s="85"/>
      <c r="T234" s="85"/>
      <c r="W234" s="85"/>
      <c r="X234" s="85"/>
      <c r="Y234" s="85"/>
      <c r="AB234" s="85"/>
      <c r="AC234" s="85"/>
      <c r="AD234" s="85"/>
      <c r="AG234" s="85"/>
      <c r="AH234" s="85"/>
      <c r="AI234" s="85"/>
    </row>
    <row r="235" spans="18:35" x14ac:dyDescent="0.2">
      <c r="R235" s="85"/>
      <c r="S235" s="85"/>
      <c r="T235" s="85"/>
      <c r="W235" s="85"/>
      <c r="X235" s="85"/>
      <c r="Y235" s="85"/>
      <c r="AB235" s="85"/>
      <c r="AC235" s="85"/>
      <c r="AD235" s="85"/>
      <c r="AG235" s="85"/>
      <c r="AH235" s="85"/>
      <c r="AI235" s="85"/>
    </row>
    <row r="236" spans="18:35" x14ac:dyDescent="0.2">
      <c r="R236" s="85"/>
      <c r="S236" s="85"/>
      <c r="T236" s="85"/>
      <c r="W236" s="85"/>
      <c r="X236" s="85"/>
      <c r="Y236" s="85"/>
      <c r="AB236" s="85"/>
      <c r="AC236" s="85"/>
      <c r="AD236" s="85"/>
      <c r="AG236" s="85"/>
      <c r="AH236" s="85"/>
      <c r="AI236" s="85"/>
    </row>
    <row r="237" spans="18:35" x14ac:dyDescent="0.2">
      <c r="R237" s="85"/>
      <c r="S237" s="85"/>
      <c r="T237" s="85"/>
      <c r="W237" s="85"/>
      <c r="X237" s="85"/>
      <c r="Y237" s="85"/>
      <c r="AB237" s="85"/>
      <c r="AC237" s="85"/>
      <c r="AD237" s="85"/>
      <c r="AG237" s="85"/>
      <c r="AH237" s="85"/>
      <c r="AI237" s="85"/>
    </row>
    <row r="238" spans="18:35" x14ac:dyDescent="0.2">
      <c r="R238" s="85"/>
      <c r="S238" s="85"/>
      <c r="T238" s="85"/>
      <c r="W238" s="85"/>
      <c r="X238" s="85"/>
      <c r="Y238" s="85"/>
      <c r="AB238" s="85"/>
      <c r="AC238" s="85"/>
      <c r="AD238" s="85"/>
      <c r="AG238" s="85"/>
      <c r="AH238" s="85"/>
      <c r="AI238" s="85"/>
    </row>
    <row r="239" spans="18:35" x14ac:dyDescent="0.2">
      <c r="R239" s="85"/>
      <c r="S239" s="85"/>
      <c r="T239" s="85"/>
      <c r="W239" s="85"/>
      <c r="X239" s="85"/>
      <c r="Y239" s="85"/>
      <c r="AB239" s="85"/>
      <c r="AC239" s="85"/>
      <c r="AD239" s="85"/>
      <c r="AG239" s="85"/>
      <c r="AH239" s="85"/>
      <c r="AI239" s="85"/>
    </row>
    <row r="240" spans="18:35" x14ac:dyDescent="0.2">
      <c r="R240" s="85"/>
      <c r="S240" s="85"/>
      <c r="T240" s="85"/>
      <c r="W240" s="85"/>
      <c r="X240" s="85"/>
      <c r="Y240" s="85"/>
      <c r="AB240" s="85"/>
      <c r="AC240" s="85"/>
      <c r="AD240" s="85"/>
      <c r="AG240" s="85"/>
      <c r="AH240" s="85"/>
      <c r="AI240" s="85"/>
    </row>
    <row r="241" spans="18:35" x14ac:dyDescent="0.2">
      <c r="R241" s="85"/>
      <c r="S241" s="85"/>
      <c r="T241" s="85"/>
      <c r="W241" s="85"/>
      <c r="X241" s="85"/>
      <c r="Y241" s="85"/>
      <c r="AB241" s="85"/>
      <c r="AC241" s="85"/>
      <c r="AD241" s="85"/>
      <c r="AG241" s="85"/>
      <c r="AH241" s="85"/>
      <c r="AI241" s="85"/>
    </row>
    <row r="242" spans="18:35" x14ac:dyDescent="0.2">
      <c r="R242" s="85"/>
      <c r="S242" s="85"/>
      <c r="T242" s="85"/>
      <c r="W242" s="85"/>
      <c r="X242" s="85"/>
      <c r="Y242" s="85"/>
      <c r="AB242" s="85"/>
      <c r="AC242" s="85"/>
      <c r="AD242" s="85"/>
      <c r="AG242" s="85"/>
      <c r="AH242" s="85"/>
      <c r="AI242" s="85"/>
    </row>
    <row r="243" spans="18:35" x14ac:dyDescent="0.2">
      <c r="R243" s="85"/>
      <c r="S243" s="85"/>
      <c r="T243" s="85"/>
      <c r="W243" s="85"/>
      <c r="X243" s="85"/>
      <c r="Y243" s="85"/>
      <c r="AB243" s="85"/>
      <c r="AC243" s="85"/>
      <c r="AD243" s="85"/>
      <c r="AG243" s="85"/>
      <c r="AH243" s="85"/>
      <c r="AI243" s="85"/>
    </row>
    <row r="244" spans="18:35" x14ac:dyDescent="0.2">
      <c r="R244" s="85"/>
      <c r="S244" s="85"/>
      <c r="T244" s="85"/>
      <c r="W244" s="85"/>
      <c r="X244" s="85"/>
      <c r="Y244" s="85"/>
      <c r="AB244" s="85"/>
      <c r="AC244" s="85"/>
      <c r="AD244" s="85"/>
      <c r="AG244" s="85"/>
      <c r="AH244" s="85"/>
      <c r="AI244" s="85"/>
    </row>
    <row r="245" spans="18:35" x14ac:dyDescent="0.2">
      <c r="R245" s="85"/>
      <c r="S245" s="85"/>
      <c r="T245" s="85"/>
      <c r="W245" s="85"/>
      <c r="X245" s="85"/>
      <c r="Y245" s="85"/>
      <c r="AB245" s="85"/>
      <c r="AC245" s="85"/>
      <c r="AD245" s="85"/>
      <c r="AG245" s="85"/>
      <c r="AH245" s="85"/>
      <c r="AI245" s="85"/>
    </row>
    <row r="246" spans="18:35" x14ac:dyDescent="0.2">
      <c r="R246" s="85"/>
      <c r="S246" s="85"/>
      <c r="T246" s="85"/>
      <c r="W246" s="85"/>
      <c r="X246" s="85"/>
      <c r="Y246" s="85"/>
      <c r="AB246" s="85"/>
      <c r="AC246" s="85"/>
      <c r="AD246" s="85"/>
      <c r="AG246" s="85"/>
      <c r="AH246" s="85"/>
      <c r="AI246" s="85"/>
    </row>
    <row r="247" spans="18:35" x14ac:dyDescent="0.2">
      <c r="R247" s="85"/>
      <c r="S247" s="85"/>
      <c r="T247" s="85"/>
      <c r="W247" s="85"/>
      <c r="X247" s="85"/>
      <c r="Y247" s="85"/>
      <c r="AB247" s="85"/>
      <c r="AC247" s="85"/>
      <c r="AD247" s="85"/>
      <c r="AG247" s="85"/>
      <c r="AH247" s="85"/>
      <c r="AI247" s="85"/>
    </row>
    <row r="248" spans="18:35" x14ac:dyDescent="0.2">
      <c r="R248" s="85"/>
      <c r="S248" s="85"/>
      <c r="T248" s="85"/>
      <c r="W248" s="85"/>
      <c r="X248" s="85"/>
      <c r="Y248" s="85"/>
      <c r="AB248" s="85"/>
      <c r="AC248" s="85"/>
      <c r="AD248" s="85"/>
      <c r="AG248" s="85"/>
      <c r="AH248" s="85"/>
      <c r="AI248" s="85"/>
    </row>
    <row r="249" spans="18:35" x14ac:dyDescent="0.2">
      <c r="R249" s="85"/>
      <c r="S249" s="85"/>
      <c r="T249" s="85"/>
      <c r="W249" s="85"/>
      <c r="X249" s="85"/>
      <c r="Y249" s="85"/>
      <c r="AB249" s="85"/>
      <c r="AC249" s="85"/>
      <c r="AD249" s="85"/>
      <c r="AG249" s="85"/>
      <c r="AH249" s="85"/>
      <c r="AI249" s="85"/>
    </row>
    <row r="250" spans="18:35" x14ac:dyDescent="0.2">
      <c r="R250" s="85"/>
      <c r="S250" s="85"/>
      <c r="T250" s="85"/>
      <c r="W250" s="85"/>
      <c r="X250" s="85"/>
      <c r="Y250" s="85"/>
      <c r="AB250" s="85"/>
      <c r="AC250" s="85"/>
      <c r="AD250" s="85"/>
      <c r="AG250" s="85"/>
      <c r="AH250" s="85"/>
      <c r="AI250" s="85"/>
    </row>
    <row r="251" spans="18:35" x14ac:dyDescent="0.2">
      <c r="R251" s="85"/>
      <c r="S251" s="85"/>
      <c r="T251" s="85"/>
      <c r="W251" s="85"/>
      <c r="X251" s="85"/>
      <c r="Y251" s="85"/>
      <c r="AB251" s="85"/>
      <c r="AC251" s="85"/>
      <c r="AD251" s="85"/>
      <c r="AG251" s="85"/>
      <c r="AH251" s="85"/>
      <c r="AI251" s="85"/>
    </row>
    <row r="252" spans="18:35" x14ac:dyDescent="0.2">
      <c r="R252" s="85"/>
      <c r="S252" s="85"/>
      <c r="T252" s="85"/>
      <c r="W252" s="85"/>
      <c r="X252" s="85"/>
      <c r="Y252" s="85"/>
      <c r="AB252" s="85"/>
      <c r="AC252" s="85"/>
      <c r="AD252" s="85"/>
      <c r="AG252" s="85"/>
      <c r="AH252" s="85"/>
      <c r="AI252" s="85"/>
    </row>
    <row r="253" spans="18:35" x14ac:dyDescent="0.2">
      <c r="R253" s="85"/>
      <c r="S253" s="85"/>
      <c r="T253" s="85"/>
      <c r="W253" s="85"/>
      <c r="X253" s="85"/>
      <c r="Y253" s="85"/>
      <c r="AB253" s="85"/>
      <c r="AC253" s="85"/>
      <c r="AD253" s="85"/>
      <c r="AG253" s="85"/>
      <c r="AH253" s="85"/>
      <c r="AI253" s="85"/>
    </row>
    <row r="254" spans="18:35" x14ac:dyDescent="0.2">
      <c r="R254" s="85"/>
      <c r="S254" s="85"/>
      <c r="T254" s="85"/>
      <c r="W254" s="85"/>
      <c r="X254" s="85"/>
      <c r="Y254" s="85"/>
      <c r="AB254" s="85"/>
      <c r="AC254" s="85"/>
      <c r="AD254" s="85"/>
      <c r="AG254" s="85"/>
      <c r="AH254" s="85"/>
      <c r="AI254" s="85"/>
    </row>
    <row r="255" spans="18:35" x14ac:dyDescent="0.2">
      <c r="R255" s="85"/>
      <c r="S255" s="85"/>
      <c r="T255" s="85"/>
      <c r="W255" s="85"/>
      <c r="X255" s="85"/>
      <c r="Y255" s="85"/>
      <c r="AB255" s="85"/>
      <c r="AC255" s="85"/>
      <c r="AD255" s="85"/>
      <c r="AG255" s="85"/>
      <c r="AH255" s="85"/>
      <c r="AI255" s="85"/>
    </row>
    <row r="256" spans="18:35" x14ac:dyDescent="0.2">
      <c r="R256" s="85"/>
      <c r="S256" s="85"/>
      <c r="T256" s="85"/>
      <c r="W256" s="85"/>
      <c r="X256" s="85"/>
      <c r="Y256" s="85"/>
      <c r="AB256" s="85"/>
      <c r="AC256" s="85"/>
      <c r="AD256" s="85"/>
      <c r="AG256" s="85"/>
      <c r="AH256" s="85"/>
      <c r="AI256" s="85"/>
    </row>
    <row r="257" spans="18:35" x14ac:dyDescent="0.2">
      <c r="R257" s="85"/>
      <c r="S257" s="85"/>
      <c r="T257" s="85"/>
      <c r="W257" s="85"/>
      <c r="X257" s="85"/>
      <c r="Y257" s="85"/>
      <c r="AB257" s="85"/>
      <c r="AC257" s="85"/>
      <c r="AD257" s="85"/>
      <c r="AG257" s="85"/>
      <c r="AH257" s="85"/>
      <c r="AI257" s="85"/>
    </row>
    <row r="258" spans="18:35" x14ac:dyDescent="0.2">
      <c r="R258" s="85"/>
      <c r="S258" s="85"/>
      <c r="T258" s="85"/>
      <c r="W258" s="85"/>
      <c r="X258" s="85"/>
      <c r="Y258" s="85"/>
      <c r="AB258" s="85"/>
      <c r="AC258" s="85"/>
      <c r="AD258" s="85"/>
      <c r="AG258" s="85"/>
      <c r="AH258" s="85"/>
      <c r="AI258" s="85"/>
    </row>
    <row r="259" spans="18:35" x14ac:dyDescent="0.2">
      <c r="R259" s="85"/>
      <c r="S259" s="85"/>
      <c r="T259" s="85"/>
      <c r="W259" s="85"/>
      <c r="X259" s="85"/>
      <c r="Y259" s="85"/>
      <c r="AB259" s="85"/>
      <c r="AC259" s="85"/>
      <c r="AD259" s="85"/>
      <c r="AG259" s="85"/>
      <c r="AH259" s="85"/>
      <c r="AI259" s="85"/>
    </row>
    <row r="260" spans="18:35" x14ac:dyDescent="0.2">
      <c r="R260" s="85"/>
      <c r="S260" s="85"/>
      <c r="T260" s="85"/>
      <c r="W260" s="85"/>
      <c r="X260" s="85"/>
      <c r="Y260" s="85"/>
      <c r="AB260" s="85"/>
      <c r="AC260" s="85"/>
      <c r="AD260" s="85"/>
      <c r="AG260" s="85"/>
      <c r="AH260" s="85"/>
      <c r="AI260" s="85"/>
    </row>
    <row r="261" spans="18:35" x14ac:dyDescent="0.2">
      <c r="R261" s="85"/>
      <c r="S261" s="85"/>
      <c r="T261" s="85"/>
      <c r="W261" s="85"/>
      <c r="X261" s="85"/>
      <c r="Y261" s="85"/>
      <c r="AB261" s="85"/>
      <c r="AC261" s="85"/>
      <c r="AD261" s="85"/>
      <c r="AG261" s="85"/>
      <c r="AH261" s="85"/>
      <c r="AI261" s="85"/>
    </row>
    <row r="262" spans="18:35" x14ac:dyDescent="0.2">
      <c r="R262" s="85"/>
      <c r="S262" s="85"/>
      <c r="T262" s="85"/>
      <c r="W262" s="85"/>
      <c r="X262" s="85"/>
      <c r="Y262" s="85"/>
      <c r="AB262" s="85"/>
      <c r="AC262" s="85"/>
      <c r="AD262" s="85"/>
      <c r="AG262" s="85"/>
      <c r="AH262" s="85"/>
      <c r="AI262" s="85"/>
    </row>
    <row r="263" spans="18:35" x14ac:dyDescent="0.2">
      <c r="R263" s="85"/>
      <c r="S263" s="85"/>
      <c r="T263" s="85"/>
      <c r="W263" s="85"/>
      <c r="X263" s="85"/>
      <c r="Y263" s="85"/>
      <c r="AB263" s="85"/>
      <c r="AC263" s="85"/>
      <c r="AD263" s="85"/>
      <c r="AG263" s="85"/>
      <c r="AH263" s="85"/>
      <c r="AI263" s="85"/>
    </row>
    <row r="264" spans="18:35" x14ac:dyDescent="0.2">
      <c r="R264" s="85"/>
      <c r="S264" s="85"/>
      <c r="T264" s="85"/>
      <c r="W264" s="85"/>
      <c r="X264" s="85"/>
      <c r="Y264" s="85"/>
      <c r="AB264" s="85"/>
      <c r="AC264" s="85"/>
      <c r="AD264" s="85"/>
      <c r="AG264" s="85"/>
      <c r="AH264" s="85"/>
      <c r="AI264" s="85"/>
    </row>
    <row r="265" spans="18:35" x14ac:dyDescent="0.2">
      <c r="R265" s="85"/>
      <c r="S265" s="85"/>
      <c r="T265" s="85"/>
      <c r="W265" s="85"/>
      <c r="X265" s="85"/>
      <c r="Y265" s="85"/>
      <c r="AB265" s="85"/>
      <c r="AC265" s="85"/>
      <c r="AD265" s="85"/>
      <c r="AG265" s="85"/>
      <c r="AH265" s="85"/>
      <c r="AI265" s="85"/>
    </row>
    <row r="266" spans="18:35" x14ac:dyDescent="0.2">
      <c r="R266" s="85"/>
      <c r="S266" s="85"/>
      <c r="T266" s="85"/>
      <c r="W266" s="85"/>
      <c r="X266" s="85"/>
      <c r="Y266" s="85"/>
      <c r="AB266" s="85"/>
      <c r="AC266" s="85"/>
      <c r="AD266" s="85"/>
      <c r="AG266" s="85"/>
      <c r="AH266" s="85"/>
      <c r="AI266" s="85"/>
    </row>
    <row r="267" spans="18:35" x14ac:dyDescent="0.2">
      <c r="R267" s="85"/>
      <c r="S267" s="85"/>
      <c r="T267" s="85"/>
      <c r="W267" s="85"/>
      <c r="X267" s="85"/>
      <c r="Y267" s="85"/>
      <c r="AB267" s="85"/>
      <c r="AC267" s="85"/>
      <c r="AD267" s="85"/>
      <c r="AG267" s="85"/>
      <c r="AH267" s="85"/>
      <c r="AI267" s="85"/>
    </row>
    <row r="268" spans="18:35" x14ac:dyDescent="0.2">
      <c r="R268" s="85"/>
      <c r="S268" s="85"/>
      <c r="T268" s="85"/>
      <c r="W268" s="85"/>
      <c r="X268" s="85"/>
      <c r="Y268" s="85"/>
      <c r="AB268" s="85"/>
      <c r="AC268" s="85"/>
      <c r="AD268" s="85"/>
      <c r="AG268" s="85"/>
      <c r="AH268" s="85"/>
      <c r="AI268" s="85"/>
    </row>
    <row r="269" spans="18:35" x14ac:dyDescent="0.2">
      <c r="R269" s="85"/>
      <c r="S269" s="85"/>
      <c r="T269" s="85"/>
      <c r="W269" s="85"/>
      <c r="X269" s="85"/>
      <c r="Y269" s="85"/>
      <c r="AB269" s="85"/>
      <c r="AC269" s="85"/>
      <c r="AD269" s="85"/>
      <c r="AG269" s="85"/>
      <c r="AH269" s="85"/>
      <c r="AI269" s="85"/>
    </row>
    <row r="270" spans="18:35" x14ac:dyDescent="0.2">
      <c r="R270" s="85"/>
      <c r="S270" s="85"/>
      <c r="T270" s="85"/>
      <c r="W270" s="85"/>
      <c r="X270" s="85"/>
      <c r="Y270" s="85"/>
      <c r="AB270" s="85"/>
      <c r="AC270" s="85"/>
      <c r="AD270" s="85"/>
      <c r="AG270" s="85"/>
      <c r="AH270" s="85"/>
      <c r="AI270" s="85"/>
    </row>
    <row r="271" spans="18:35" x14ac:dyDescent="0.2">
      <c r="R271" s="85"/>
      <c r="S271" s="85"/>
      <c r="T271" s="85"/>
      <c r="W271" s="85"/>
      <c r="X271" s="85"/>
      <c r="Y271" s="85"/>
      <c r="AB271" s="85"/>
      <c r="AC271" s="85"/>
      <c r="AD271" s="85"/>
      <c r="AG271" s="85"/>
      <c r="AH271" s="85"/>
      <c r="AI271" s="85"/>
    </row>
    <row r="272" spans="18:35" x14ac:dyDescent="0.2">
      <c r="R272" s="85"/>
      <c r="S272" s="85"/>
      <c r="T272" s="85"/>
      <c r="W272" s="85"/>
      <c r="X272" s="85"/>
      <c r="Y272" s="85"/>
      <c r="AB272" s="85"/>
      <c r="AC272" s="85"/>
      <c r="AD272" s="85"/>
      <c r="AG272" s="85"/>
      <c r="AH272" s="85"/>
      <c r="AI272" s="85"/>
    </row>
    <row r="273" spans="18:35" x14ac:dyDescent="0.2">
      <c r="R273" s="85"/>
      <c r="S273" s="85"/>
      <c r="T273" s="85"/>
      <c r="W273" s="85"/>
      <c r="X273" s="85"/>
      <c r="Y273" s="85"/>
      <c r="AB273" s="85"/>
      <c r="AC273" s="85"/>
      <c r="AD273" s="85"/>
      <c r="AG273" s="85"/>
      <c r="AH273" s="85"/>
      <c r="AI273" s="85"/>
    </row>
    <row r="274" spans="18:35" x14ac:dyDescent="0.2">
      <c r="R274" s="85"/>
      <c r="S274" s="85"/>
      <c r="T274" s="85"/>
      <c r="W274" s="85"/>
      <c r="X274" s="85"/>
      <c r="Y274" s="85"/>
      <c r="AB274" s="85"/>
      <c r="AC274" s="85"/>
      <c r="AD274" s="85"/>
      <c r="AG274" s="85"/>
      <c r="AH274" s="85"/>
      <c r="AI274" s="85"/>
    </row>
    <row r="275" spans="18:35" x14ac:dyDescent="0.2">
      <c r="R275" s="85"/>
      <c r="S275" s="85"/>
      <c r="T275" s="85"/>
      <c r="W275" s="85"/>
      <c r="X275" s="85"/>
      <c r="Y275" s="85"/>
      <c r="AB275" s="85"/>
      <c r="AC275" s="85"/>
      <c r="AD275" s="85"/>
      <c r="AG275" s="85"/>
      <c r="AH275" s="85"/>
      <c r="AI275" s="85"/>
    </row>
    <row r="276" spans="18:35" x14ac:dyDescent="0.2">
      <c r="R276" s="85"/>
      <c r="S276" s="85"/>
      <c r="T276" s="85"/>
      <c r="W276" s="85"/>
      <c r="X276" s="85"/>
      <c r="Y276" s="85"/>
      <c r="AB276" s="85"/>
      <c r="AC276" s="85"/>
      <c r="AD276" s="85"/>
      <c r="AG276" s="85"/>
      <c r="AH276" s="85"/>
      <c r="AI276" s="85"/>
    </row>
    <row r="277" spans="18:35" x14ac:dyDescent="0.2">
      <c r="R277" s="85"/>
      <c r="S277" s="85"/>
      <c r="T277" s="85"/>
      <c r="W277" s="85"/>
      <c r="X277" s="85"/>
      <c r="Y277" s="85"/>
      <c r="AB277" s="85"/>
      <c r="AC277" s="85"/>
      <c r="AD277" s="85"/>
      <c r="AG277" s="85"/>
      <c r="AH277" s="85"/>
      <c r="AI277" s="85"/>
    </row>
    <row r="278" spans="18:35" x14ac:dyDescent="0.2">
      <c r="R278" s="85"/>
      <c r="S278" s="85"/>
      <c r="T278" s="85"/>
      <c r="W278" s="85"/>
      <c r="X278" s="85"/>
      <c r="Y278" s="85"/>
      <c r="AB278" s="85"/>
      <c r="AC278" s="85"/>
      <c r="AD278" s="85"/>
      <c r="AG278" s="85"/>
      <c r="AH278" s="85"/>
      <c r="AI278" s="85"/>
    </row>
    <row r="279" spans="18:35" x14ac:dyDescent="0.2">
      <c r="R279" s="85"/>
      <c r="S279" s="85"/>
      <c r="T279" s="85"/>
      <c r="W279" s="85"/>
      <c r="X279" s="85"/>
      <c r="Y279" s="85"/>
      <c r="AB279" s="85"/>
      <c r="AC279" s="85"/>
      <c r="AD279" s="85"/>
      <c r="AG279" s="85"/>
      <c r="AH279" s="85"/>
      <c r="AI279" s="85"/>
    </row>
    <row r="280" spans="18:35" x14ac:dyDescent="0.2">
      <c r="R280" s="85"/>
      <c r="S280" s="85"/>
      <c r="T280" s="85"/>
      <c r="W280" s="85"/>
      <c r="X280" s="85"/>
      <c r="Y280" s="85"/>
      <c r="AB280" s="85"/>
      <c r="AC280" s="85"/>
      <c r="AD280" s="85"/>
      <c r="AG280" s="85"/>
      <c r="AH280" s="85"/>
      <c r="AI280" s="85"/>
    </row>
    <row r="281" spans="18:35" x14ac:dyDescent="0.2">
      <c r="R281" s="85"/>
      <c r="S281" s="85"/>
      <c r="T281" s="85"/>
      <c r="W281" s="85"/>
      <c r="X281" s="85"/>
      <c r="Y281" s="85"/>
      <c r="AB281" s="85"/>
      <c r="AC281" s="85"/>
      <c r="AD281" s="85"/>
      <c r="AG281" s="85"/>
      <c r="AH281" s="85"/>
      <c r="AI281" s="85"/>
    </row>
    <row r="282" spans="18:35" x14ac:dyDescent="0.2">
      <c r="R282" s="85"/>
      <c r="S282" s="85"/>
      <c r="T282" s="85"/>
      <c r="W282" s="85"/>
      <c r="X282" s="85"/>
      <c r="Y282" s="85"/>
      <c r="AB282" s="85"/>
      <c r="AC282" s="85"/>
      <c r="AD282" s="85"/>
      <c r="AG282" s="85"/>
      <c r="AH282" s="85"/>
      <c r="AI282" s="85"/>
    </row>
    <row r="283" spans="18:35" x14ac:dyDescent="0.2">
      <c r="R283" s="85"/>
      <c r="S283" s="85"/>
      <c r="T283" s="85"/>
      <c r="W283" s="85"/>
      <c r="X283" s="85"/>
      <c r="Y283" s="85"/>
      <c r="AB283" s="85"/>
      <c r="AC283" s="85"/>
      <c r="AD283" s="85"/>
      <c r="AG283" s="85"/>
      <c r="AH283" s="85"/>
      <c r="AI283" s="85"/>
    </row>
    <row r="284" spans="18:35" x14ac:dyDescent="0.2">
      <c r="R284" s="85"/>
      <c r="S284" s="85"/>
      <c r="T284" s="85"/>
      <c r="W284" s="85"/>
      <c r="X284" s="85"/>
      <c r="Y284" s="85"/>
      <c r="AB284" s="85"/>
      <c r="AC284" s="85"/>
      <c r="AD284" s="85"/>
      <c r="AG284" s="85"/>
      <c r="AH284" s="85"/>
      <c r="AI284" s="85"/>
    </row>
    <row r="285" spans="18:35" x14ac:dyDescent="0.2">
      <c r="R285" s="85"/>
      <c r="S285" s="85"/>
      <c r="T285" s="85"/>
      <c r="W285" s="85"/>
      <c r="X285" s="85"/>
      <c r="Y285" s="85"/>
      <c r="AB285" s="85"/>
      <c r="AC285" s="85"/>
      <c r="AD285" s="85"/>
      <c r="AG285" s="85"/>
      <c r="AH285" s="85"/>
      <c r="AI285" s="85"/>
    </row>
    <row r="286" spans="18:35" x14ac:dyDescent="0.2">
      <c r="R286" s="85"/>
      <c r="S286" s="85"/>
      <c r="T286" s="85"/>
      <c r="W286" s="85"/>
      <c r="X286" s="85"/>
      <c r="Y286" s="85"/>
      <c r="AB286" s="85"/>
      <c r="AC286" s="85"/>
      <c r="AD286" s="85"/>
      <c r="AG286" s="85"/>
      <c r="AH286" s="85"/>
      <c r="AI286" s="85"/>
    </row>
    <row r="287" spans="18:35" x14ac:dyDescent="0.2">
      <c r="R287" s="85"/>
      <c r="S287" s="85"/>
      <c r="T287" s="85"/>
      <c r="W287" s="85"/>
      <c r="X287" s="85"/>
      <c r="Y287" s="85"/>
      <c r="AB287" s="85"/>
      <c r="AC287" s="85"/>
      <c r="AD287" s="85"/>
      <c r="AG287" s="85"/>
      <c r="AH287" s="85"/>
      <c r="AI287" s="85"/>
    </row>
    <row r="288" spans="18:35" x14ac:dyDescent="0.2">
      <c r="R288" s="85"/>
      <c r="S288" s="85"/>
      <c r="T288" s="85"/>
      <c r="W288" s="85"/>
      <c r="X288" s="85"/>
      <c r="Y288" s="85"/>
      <c r="AB288" s="85"/>
      <c r="AC288" s="85"/>
      <c r="AD288" s="85"/>
      <c r="AG288" s="85"/>
      <c r="AH288" s="85"/>
      <c r="AI288" s="85"/>
    </row>
    <row r="289" spans="18:35" x14ac:dyDescent="0.2">
      <c r="R289" s="85"/>
      <c r="S289" s="85"/>
      <c r="T289" s="85"/>
      <c r="W289" s="85"/>
      <c r="X289" s="85"/>
      <c r="Y289" s="85"/>
      <c r="AB289" s="85"/>
      <c r="AC289" s="85"/>
      <c r="AD289" s="85"/>
      <c r="AG289" s="85"/>
      <c r="AH289" s="85"/>
      <c r="AI289" s="85"/>
    </row>
    <row r="290" spans="18:35" x14ac:dyDescent="0.2">
      <c r="R290" s="85"/>
      <c r="S290" s="85"/>
      <c r="T290" s="85"/>
      <c r="W290" s="85"/>
      <c r="X290" s="85"/>
      <c r="Y290" s="85"/>
      <c r="AB290" s="85"/>
      <c r="AC290" s="85"/>
      <c r="AD290" s="85"/>
      <c r="AG290" s="85"/>
      <c r="AH290" s="85"/>
      <c r="AI290" s="85"/>
    </row>
    <row r="291" spans="18:35" x14ac:dyDescent="0.2">
      <c r="R291" s="85"/>
      <c r="S291" s="85"/>
      <c r="T291" s="85"/>
      <c r="W291" s="85"/>
      <c r="X291" s="85"/>
      <c r="Y291" s="85"/>
      <c r="AB291" s="85"/>
      <c r="AC291" s="85"/>
      <c r="AD291" s="85"/>
      <c r="AG291" s="85"/>
      <c r="AH291" s="85"/>
      <c r="AI291" s="85"/>
    </row>
    <row r="292" spans="18:35" x14ac:dyDescent="0.2">
      <c r="R292" s="85"/>
      <c r="S292" s="85"/>
      <c r="T292" s="85"/>
      <c r="W292" s="85"/>
      <c r="X292" s="85"/>
      <c r="Y292" s="85"/>
      <c r="AB292" s="85"/>
      <c r="AC292" s="85"/>
      <c r="AD292" s="85"/>
      <c r="AG292" s="85"/>
      <c r="AH292" s="85"/>
      <c r="AI292" s="85"/>
    </row>
    <row r="293" spans="18:35" x14ac:dyDescent="0.2">
      <c r="R293" s="85"/>
      <c r="S293" s="85"/>
      <c r="T293" s="85"/>
      <c r="W293" s="85"/>
      <c r="X293" s="85"/>
      <c r="Y293" s="85"/>
      <c r="AB293" s="85"/>
      <c r="AC293" s="85"/>
      <c r="AD293" s="85"/>
      <c r="AG293" s="85"/>
      <c r="AH293" s="85"/>
      <c r="AI293" s="85"/>
    </row>
    <row r="294" spans="18:35" x14ac:dyDescent="0.2">
      <c r="R294" s="85"/>
      <c r="S294" s="85"/>
      <c r="T294" s="85"/>
      <c r="W294" s="85"/>
      <c r="X294" s="85"/>
      <c r="Y294" s="85"/>
      <c r="AB294" s="85"/>
      <c r="AC294" s="85"/>
      <c r="AD294" s="85"/>
      <c r="AG294" s="85"/>
      <c r="AH294" s="85"/>
      <c r="AI294" s="85"/>
    </row>
    <row r="295" spans="18:35" x14ac:dyDescent="0.2">
      <c r="R295" s="85"/>
      <c r="S295" s="85"/>
      <c r="T295" s="85"/>
      <c r="W295" s="85"/>
      <c r="X295" s="85"/>
      <c r="Y295" s="85"/>
      <c r="AB295" s="85"/>
      <c r="AC295" s="85"/>
      <c r="AD295" s="85"/>
      <c r="AG295" s="85"/>
      <c r="AH295" s="85"/>
      <c r="AI295" s="85"/>
    </row>
    <row r="296" spans="18:35" x14ac:dyDescent="0.2">
      <c r="R296" s="85"/>
      <c r="S296" s="85"/>
      <c r="T296" s="85"/>
      <c r="W296" s="85"/>
      <c r="X296" s="85"/>
      <c r="Y296" s="85"/>
      <c r="AB296" s="85"/>
      <c r="AC296" s="85"/>
      <c r="AD296" s="85"/>
      <c r="AG296" s="85"/>
      <c r="AH296" s="85"/>
      <c r="AI296" s="85"/>
    </row>
    <row r="297" spans="18:35" x14ac:dyDescent="0.2">
      <c r="R297" s="85"/>
      <c r="S297" s="85"/>
      <c r="T297" s="85"/>
      <c r="W297" s="85"/>
      <c r="X297" s="85"/>
      <c r="Y297" s="85"/>
      <c r="AB297" s="85"/>
      <c r="AC297" s="85"/>
      <c r="AD297" s="85"/>
      <c r="AG297" s="85"/>
      <c r="AH297" s="85"/>
      <c r="AI297" s="85"/>
    </row>
    <row r="298" spans="18:35" x14ac:dyDescent="0.2">
      <c r="R298" s="85"/>
      <c r="S298" s="85"/>
      <c r="T298" s="85"/>
      <c r="W298" s="85"/>
      <c r="X298" s="85"/>
      <c r="Y298" s="85"/>
      <c r="AB298" s="85"/>
      <c r="AC298" s="85"/>
      <c r="AD298" s="85"/>
      <c r="AG298" s="85"/>
      <c r="AH298" s="85"/>
      <c r="AI298" s="85"/>
    </row>
    <row r="299" spans="18:35" x14ac:dyDescent="0.2">
      <c r="R299" s="85"/>
      <c r="S299" s="85"/>
      <c r="T299" s="85"/>
      <c r="W299" s="85"/>
      <c r="X299" s="85"/>
      <c r="Y299" s="85"/>
      <c r="AB299" s="85"/>
      <c r="AC299" s="85"/>
      <c r="AD299" s="85"/>
      <c r="AG299" s="85"/>
      <c r="AH299" s="85"/>
      <c r="AI299" s="85"/>
    </row>
    <row r="300" spans="18:35" x14ac:dyDescent="0.2">
      <c r="R300" s="85"/>
      <c r="S300" s="85"/>
      <c r="T300" s="85"/>
      <c r="W300" s="85"/>
      <c r="X300" s="85"/>
      <c r="Y300" s="85"/>
      <c r="AB300" s="85"/>
      <c r="AC300" s="85"/>
      <c r="AD300" s="85"/>
      <c r="AG300" s="85"/>
      <c r="AH300" s="85"/>
      <c r="AI300" s="85"/>
    </row>
    <row r="301" spans="18:35" x14ac:dyDescent="0.2">
      <c r="R301" s="85"/>
      <c r="S301" s="85"/>
      <c r="T301" s="85"/>
      <c r="W301" s="85"/>
      <c r="X301" s="85"/>
      <c r="Y301" s="85"/>
      <c r="AB301" s="85"/>
      <c r="AC301" s="85"/>
      <c r="AD301" s="85"/>
      <c r="AG301" s="85"/>
      <c r="AH301" s="85"/>
      <c r="AI301" s="85"/>
    </row>
    <row r="302" spans="18:35" x14ac:dyDescent="0.2">
      <c r="R302" s="85"/>
      <c r="S302" s="85"/>
      <c r="T302" s="85"/>
      <c r="W302" s="85"/>
      <c r="X302" s="85"/>
      <c r="Y302" s="85"/>
      <c r="AB302" s="85"/>
      <c r="AC302" s="85"/>
      <c r="AD302" s="85"/>
      <c r="AG302" s="85"/>
      <c r="AH302" s="85"/>
      <c r="AI302" s="85"/>
    </row>
    <row r="303" spans="18:35" x14ac:dyDescent="0.2">
      <c r="R303" s="85"/>
      <c r="S303" s="85"/>
      <c r="T303" s="85"/>
      <c r="W303" s="85"/>
      <c r="X303" s="85"/>
      <c r="Y303" s="85"/>
      <c r="AB303" s="85"/>
      <c r="AC303" s="85"/>
      <c r="AD303" s="85"/>
      <c r="AG303" s="85"/>
      <c r="AH303" s="85"/>
      <c r="AI303" s="85"/>
    </row>
    <row r="304" spans="18:35" x14ac:dyDescent="0.2">
      <c r="R304" s="85"/>
      <c r="S304" s="85"/>
      <c r="T304" s="85"/>
      <c r="W304" s="85"/>
      <c r="X304" s="85"/>
      <c r="Y304" s="85"/>
      <c r="AB304" s="85"/>
      <c r="AC304" s="85"/>
      <c r="AD304" s="85"/>
      <c r="AG304" s="85"/>
      <c r="AH304" s="85"/>
      <c r="AI304" s="85"/>
    </row>
    <row r="305" spans="18:35" x14ac:dyDescent="0.2">
      <c r="R305" s="85"/>
      <c r="S305" s="85"/>
      <c r="T305" s="85"/>
      <c r="W305" s="85"/>
      <c r="X305" s="85"/>
      <c r="Y305" s="85"/>
      <c r="AB305" s="85"/>
      <c r="AC305" s="85"/>
      <c r="AD305" s="85"/>
      <c r="AG305" s="85"/>
      <c r="AH305" s="85"/>
      <c r="AI305" s="85"/>
    </row>
    <row r="306" spans="18:35" x14ac:dyDescent="0.2">
      <c r="R306" s="85"/>
      <c r="S306" s="85"/>
      <c r="T306" s="85"/>
      <c r="W306" s="85"/>
      <c r="X306" s="85"/>
      <c r="Y306" s="85"/>
      <c r="AB306" s="85"/>
      <c r="AC306" s="85"/>
      <c r="AD306" s="85"/>
      <c r="AG306" s="85"/>
      <c r="AH306" s="85"/>
      <c r="AI306" s="85"/>
    </row>
    <row r="307" spans="18:35" x14ac:dyDescent="0.2">
      <c r="R307" s="85"/>
      <c r="S307" s="85"/>
      <c r="T307" s="85"/>
      <c r="W307" s="85"/>
      <c r="X307" s="85"/>
      <c r="Y307" s="85"/>
      <c r="AB307" s="85"/>
      <c r="AC307" s="85"/>
      <c r="AD307" s="85"/>
      <c r="AG307" s="85"/>
      <c r="AH307" s="85"/>
      <c r="AI307" s="85"/>
    </row>
    <row r="308" spans="18:35" x14ac:dyDescent="0.2">
      <c r="R308" s="85"/>
      <c r="S308" s="85"/>
      <c r="T308" s="85"/>
      <c r="W308" s="85"/>
      <c r="X308" s="85"/>
      <c r="Y308" s="85"/>
      <c r="AB308" s="85"/>
      <c r="AC308" s="85"/>
      <c r="AD308" s="85"/>
      <c r="AG308" s="85"/>
      <c r="AH308" s="85"/>
      <c r="AI308" s="85"/>
    </row>
    <row r="309" spans="18:35" x14ac:dyDescent="0.2">
      <c r="R309" s="85"/>
      <c r="S309" s="85"/>
      <c r="T309" s="85"/>
      <c r="W309" s="85"/>
      <c r="X309" s="85"/>
      <c r="Y309" s="85"/>
      <c r="AB309" s="85"/>
      <c r="AC309" s="85"/>
      <c r="AD309" s="85"/>
      <c r="AG309" s="85"/>
      <c r="AH309" s="85"/>
      <c r="AI309" s="85"/>
    </row>
    <row r="310" spans="18:35" x14ac:dyDescent="0.2">
      <c r="R310" s="85"/>
      <c r="S310" s="85"/>
      <c r="T310" s="85"/>
      <c r="W310" s="85"/>
      <c r="X310" s="85"/>
      <c r="Y310" s="85"/>
      <c r="AB310" s="85"/>
      <c r="AC310" s="85"/>
      <c r="AD310" s="85"/>
      <c r="AG310" s="85"/>
      <c r="AH310" s="85"/>
      <c r="AI310" s="85"/>
    </row>
    <row r="311" spans="18:35" x14ac:dyDescent="0.2">
      <c r="R311" s="85"/>
      <c r="S311" s="85"/>
      <c r="T311" s="85"/>
      <c r="W311" s="85"/>
      <c r="X311" s="85"/>
      <c r="Y311" s="85"/>
      <c r="AB311" s="85"/>
      <c r="AC311" s="85"/>
      <c r="AD311" s="85"/>
      <c r="AG311" s="85"/>
      <c r="AH311" s="85"/>
      <c r="AI311" s="85"/>
    </row>
    <row r="312" spans="18:35" x14ac:dyDescent="0.2">
      <c r="R312" s="85"/>
      <c r="S312" s="85"/>
      <c r="T312" s="85"/>
      <c r="W312" s="85"/>
      <c r="X312" s="85"/>
      <c r="Y312" s="85"/>
      <c r="AB312" s="85"/>
      <c r="AC312" s="85"/>
      <c r="AD312" s="85"/>
      <c r="AG312" s="85"/>
      <c r="AH312" s="85"/>
      <c r="AI312" s="85"/>
    </row>
    <row r="313" spans="18:35" x14ac:dyDescent="0.2">
      <c r="R313" s="85"/>
      <c r="S313" s="85"/>
      <c r="T313" s="85"/>
      <c r="W313" s="85"/>
      <c r="X313" s="85"/>
      <c r="Y313" s="85"/>
      <c r="AB313" s="85"/>
      <c r="AC313" s="85"/>
      <c r="AD313" s="85"/>
      <c r="AG313" s="85"/>
      <c r="AH313" s="85"/>
      <c r="AI313" s="85"/>
    </row>
    <row r="314" spans="18:35" x14ac:dyDescent="0.2">
      <c r="R314" s="85"/>
      <c r="S314" s="85"/>
      <c r="T314" s="85"/>
      <c r="W314" s="85"/>
      <c r="X314" s="85"/>
      <c r="Y314" s="85"/>
      <c r="AB314" s="85"/>
      <c r="AC314" s="85"/>
      <c r="AD314" s="85"/>
      <c r="AG314" s="85"/>
      <c r="AH314" s="85"/>
      <c r="AI314" s="85"/>
    </row>
    <row r="315" spans="18:35" x14ac:dyDescent="0.2">
      <c r="R315" s="85"/>
      <c r="S315" s="85"/>
      <c r="T315" s="85"/>
      <c r="W315" s="85"/>
      <c r="X315" s="85"/>
      <c r="Y315" s="85"/>
      <c r="AB315" s="85"/>
      <c r="AC315" s="85"/>
      <c r="AD315" s="85"/>
      <c r="AG315" s="85"/>
      <c r="AH315" s="85"/>
      <c r="AI315" s="85"/>
    </row>
    <row r="316" spans="18:35" x14ac:dyDescent="0.2">
      <c r="R316" s="85"/>
      <c r="S316" s="85"/>
      <c r="T316" s="85"/>
      <c r="W316" s="85"/>
      <c r="X316" s="85"/>
      <c r="Y316" s="85"/>
      <c r="AB316" s="85"/>
      <c r="AC316" s="85"/>
      <c r="AD316" s="85"/>
      <c r="AG316" s="85"/>
      <c r="AH316" s="85"/>
      <c r="AI316" s="85"/>
    </row>
    <row r="317" spans="18:35" x14ac:dyDescent="0.2">
      <c r="R317" s="85"/>
      <c r="S317" s="85"/>
      <c r="T317" s="85"/>
      <c r="W317" s="85"/>
      <c r="X317" s="85"/>
      <c r="Y317" s="85"/>
      <c r="AB317" s="85"/>
      <c r="AC317" s="85"/>
      <c r="AD317" s="85"/>
      <c r="AG317" s="85"/>
      <c r="AH317" s="85"/>
      <c r="AI317" s="85"/>
    </row>
    <row r="318" spans="18:35" x14ac:dyDescent="0.2">
      <c r="R318" s="85"/>
      <c r="S318" s="85"/>
      <c r="T318" s="85"/>
      <c r="W318" s="85"/>
      <c r="X318" s="85"/>
      <c r="Y318" s="85"/>
      <c r="AB318" s="85"/>
      <c r="AC318" s="85"/>
      <c r="AD318" s="85"/>
      <c r="AG318" s="85"/>
      <c r="AH318" s="85"/>
      <c r="AI318" s="85"/>
    </row>
    <row r="319" spans="18:35" x14ac:dyDescent="0.2">
      <c r="R319" s="85"/>
      <c r="S319" s="85"/>
      <c r="T319" s="85"/>
      <c r="W319" s="85"/>
      <c r="X319" s="85"/>
      <c r="Y319" s="85"/>
      <c r="AB319" s="85"/>
      <c r="AC319" s="85"/>
      <c r="AD319" s="85"/>
      <c r="AG319" s="85"/>
      <c r="AH319" s="85"/>
      <c r="AI319" s="85"/>
    </row>
    <row r="320" spans="18:35" x14ac:dyDescent="0.2">
      <c r="R320" s="85"/>
      <c r="S320" s="85"/>
      <c r="T320" s="85"/>
      <c r="W320" s="85"/>
      <c r="X320" s="85"/>
      <c r="Y320" s="85"/>
      <c r="AB320" s="85"/>
      <c r="AC320" s="85"/>
      <c r="AD320" s="85"/>
      <c r="AG320" s="85"/>
      <c r="AH320" s="85"/>
      <c r="AI320" s="85"/>
    </row>
    <row r="321" spans="18:35" x14ac:dyDescent="0.2">
      <c r="R321" s="85"/>
      <c r="S321" s="85"/>
      <c r="T321" s="85"/>
      <c r="W321" s="85"/>
      <c r="X321" s="85"/>
      <c r="Y321" s="85"/>
      <c r="AB321" s="85"/>
      <c r="AC321" s="85"/>
      <c r="AD321" s="85"/>
      <c r="AG321" s="85"/>
      <c r="AH321" s="85"/>
      <c r="AI321" s="85"/>
    </row>
    <row r="322" spans="18:35" x14ac:dyDescent="0.2">
      <c r="R322" s="85"/>
      <c r="S322" s="85"/>
      <c r="T322" s="85"/>
      <c r="W322" s="85"/>
      <c r="X322" s="85"/>
      <c r="Y322" s="85"/>
      <c r="AB322" s="85"/>
      <c r="AC322" s="85"/>
      <c r="AD322" s="85"/>
      <c r="AG322" s="85"/>
      <c r="AH322" s="85"/>
      <c r="AI322" s="85"/>
    </row>
    <row r="323" spans="18:35" x14ac:dyDescent="0.2">
      <c r="R323" s="85"/>
      <c r="S323" s="85"/>
      <c r="T323" s="85"/>
      <c r="W323" s="85"/>
      <c r="X323" s="85"/>
      <c r="Y323" s="85"/>
      <c r="AB323" s="85"/>
      <c r="AC323" s="85"/>
      <c r="AD323" s="85"/>
      <c r="AG323" s="85"/>
      <c r="AH323" s="85"/>
      <c r="AI323" s="85"/>
    </row>
    <row r="324" spans="18:35" x14ac:dyDescent="0.2">
      <c r="R324" s="85"/>
      <c r="S324" s="85"/>
      <c r="T324" s="85"/>
      <c r="W324" s="85"/>
      <c r="X324" s="85"/>
      <c r="Y324" s="85"/>
      <c r="AB324" s="85"/>
      <c r="AC324" s="85"/>
      <c r="AD324" s="85"/>
      <c r="AG324" s="85"/>
      <c r="AH324" s="85"/>
      <c r="AI324" s="85"/>
    </row>
    <row r="325" spans="18:35" x14ac:dyDescent="0.2">
      <c r="R325" s="85"/>
      <c r="S325" s="85"/>
      <c r="T325" s="85"/>
      <c r="W325" s="85"/>
      <c r="X325" s="85"/>
      <c r="Y325" s="85"/>
      <c r="AB325" s="85"/>
      <c r="AC325" s="85"/>
      <c r="AD325" s="85"/>
      <c r="AG325" s="85"/>
      <c r="AH325" s="85"/>
      <c r="AI325" s="85"/>
    </row>
    <row r="326" spans="18:35" x14ac:dyDescent="0.2">
      <c r="R326" s="85"/>
      <c r="S326" s="85"/>
      <c r="T326" s="85"/>
      <c r="W326" s="85"/>
      <c r="X326" s="85"/>
      <c r="Y326" s="85"/>
      <c r="AB326" s="85"/>
      <c r="AC326" s="85"/>
      <c r="AD326" s="85"/>
      <c r="AG326" s="85"/>
      <c r="AH326" s="85"/>
      <c r="AI326" s="85"/>
    </row>
    <row r="327" spans="18:35" x14ac:dyDescent="0.2">
      <c r="R327" s="85"/>
      <c r="S327" s="85"/>
      <c r="T327" s="85"/>
      <c r="W327" s="85"/>
      <c r="X327" s="85"/>
      <c r="Y327" s="85"/>
      <c r="AB327" s="85"/>
      <c r="AC327" s="85"/>
      <c r="AD327" s="85"/>
      <c r="AG327" s="85"/>
      <c r="AH327" s="85"/>
      <c r="AI327" s="85"/>
    </row>
    <row r="328" spans="18:35" x14ac:dyDescent="0.2">
      <c r="R328" s="85"/>
      <c r="S328" s="85"/>
      <c r="T328" s="85"/>
      <c r="W328" s="85"/>
      <c r="X328" s="85"/>
      <c r="Y328" s="85"/>
      <c r="AB328" s="85"/>
      <c r="AC328" s="85"/>
      <c r="AD328" s="85"/>
      <c r="AG328" s="85"/>
      <c r="AH328" s="85"/>
      <c r="AI328" s="85"/>
    </row>
    <row r="329" spans="18:35" x14ac:dyDescent="0.2">
      <c r="R329" s="85"/>
      <c r="S329" s="85"/>
      <c r="T329" s="85"/>
      <c r="W329" s="85"/>
      <c r="X329" s="85"/>
      <c r="Y329" s="85"/>
      <c r="AB329" s="85"/>
      <c r="AC329" s="85"/>
      <c r="AD329" s="85"/>
      <c r="AG329" s="85"/>
      <c r="AH329" s="85"/>
      <c r="AI329" s="85"/>
    </row>
    <row r="330" spans="18:35" x14ac:dyDescent="0.2">
      <c r="R330" s="85"/>
      <c r="S330" s="85"/>
      <c r="T330" s="85"/>
      <c r="W330" s="85"/>
      <c r="X330" s="85"/>
      <c r="Y330" s="85"/>
      <c r="AB330" s="85"/>
      <c r="AC330" s="85"/>
      <c r="AD330" s="85"/>
      <c r="AG330" s="85"/>
      <c r="AH330" s="85"/>
      <c r="AI330" s="85"/>
    </row>
    <row r="331" spans="18:35" x14ac:dyDescent="0.2">
      <c r="R331" s="85"/>
      <c r="S331" s="85"/>
      <c r="T331" s="85"/>
      <c r="W331" s="85"/>
      <c r="X331" s="85"/>
      <c r="Y331" s="85"/>
      <c r="AB331" s="85"/>
      <c r="AC331" s="85"/>
      <c r="AD331" s="85"/>
      <c r="AG331" s="85"/>
      <c r="AH331" s="85"/>
      <c r="AI331" s="85"/>
    </row>
    <row r="332" spans="18:35" x14ac:dyDescent="0.2">
      <c r="R332" s="85"/>
      <c r="S332" s="85"/>
      <c r="T332" s="85"/>
      <c r="W332" s="85"/>
      <c r="X332" s="85"/>
      <c r="Y332" s="85"/>
      <c r="AB332" s="85"/>
      <c r="AC332" s="85"/>
      <c r="AD332" s="85"/>
      <c r="AG332" s="85"/>
      <c r="AH332" s="85"/>
      <c r="AI332" s="85"/>
    </row>
    <row r="333" spans="18:35" x14ac:dyDescent="0.2">
      <c r="R333" s="85"/>
      <c r="S333" s="85"/>
      <c r="T333" s="85"/>
      <c r="W333" s="85"/>
      <c r="X333" s="85"/>
      <c r="Y333" s="85"/>
      <c r="AB333" s="85"/>
      <c r="AC333" s="85"/>
      <c r="AD333" s="85"/>
      <c r="AG333" s="85"/>
      <c r="AH333" s="85"/>
      <c r="AI333" s="85"/>
    </row>
    <row r="334" spans="18:35" x14ac:dyDescent="0.2">
      <c r="R334" s="85"/>
      <c r="S334" s="85"/>
      <c r="T334" s="85"/>
      <c r="W334" s="85"/>
      <c r="X334" s="85"/>
      <c r="Y334" s="85"/>
      <c r="AB334" s="85"/>
      <c r="AC334" s="85"/>
      <c r="AD334" s="85"/>
      <c r="AG334" s="85"/>
      <c r="AH334" s="85"/>
      <c r="AI334" s="85"/>
    </row>
    <row r="335" spans="18:35" x14ac:dyDescent="0.2">
      <c r="R335" s="85"/>
      <c r="S335" s="85"/>
      <c r="T335" s="85"/>
      <c r="W335" s="85"/>
      <c r="X335" s="85"/>
      <c r="Y335" s="85"/>
      <c r="AB335" s="85"/>
      <c r="AC335" s="85"/>
      <c r="AD335" s="85"/>
      <c r="AG335" s="85"/>
      <c r="AH335" s="85"/>
      <c r="AI335" s="85"/>
    </row>
    <row r="336" spans="18:35" x14ac:dyDescent="0.2">
      <c r="R336" s="85"/>
      <c r="S336" s="85"/>
      <c r="T336" s="85"/>
      <c r="W336" s="85"/>
      <c r="X336" s="85"/>
      <c r="Y336" s="85"/>
      <c r="AB336" s="85"/>
      <c r="AC336" s="85"/>
      <c r="AD336" s="85"/>
      <c r="AG336" s="85"/>
      <c r="AH336" s="85"/>
      <c r="AI336" s="85"/>
    </row>
    <row r="337" spans="18:35" x14ac:dyDescent="0.2">
      <c r="R337" s="85"/>
      <c r="S337" s="85"/>
      <c r="T337" s="85"/>
      <c r="W337" s="85"/>
      <c r="X337" s="85"/>
      <c r="Y337" s="85"/>
      <c r="AB337" s="85"/>
      <c r="AC337" s="85"/>
      <c r="AD337" s="85"/>
      <c r="AG337" s="85"/>
      <c r="AH337" s="85"/>
      <c r="AI337" s="85"/>
    </row>
    <row r="338" spans="18:35" x14ac:dyDescent="0.2">
      <c r="R338" s="85"/>
      <c r="S338" s="85"/>
      <c r="T338" s="85"/>
      <c r="W338" s="85"/>
      <c r="X338" s="85"/>
      <c r="Y338" s="85"/>
      <c r="AB338" s="85"/>
      <c r="AC338" s="85"/>
      <c r="AD338" s="85"/>
      <c r="AG338" s="85"/>
      <c r="AH338" s="85"/>
      <c r="AI338" s="85"/>
    </row>
    <row r="339" spans="18:35" x14ac:dyDescent="0.2">
      <c r="R339" s="85"/>
      <c r="S339" s="85"/>
      <c r="T339" s="85"/>
      <c r="W339" s="85"/>
      <c r="X339" s="85"/>
      <c r="Y339" s="85"/>
      <c r="AB339" s="85"/>
      <c r="AC339" s="85"/>
      <c r="AD339" s="85"/>
      <c r="AG339" s="85"/>
      <c r="AH339" s="85"/>
      <c r="AI339" s="85"/>
    </row>
    <row r="340" spans="18:35" x14ac:dyDescent="0.2">
      <c r="R340" s="85"/>
      <c r="S340" s="85"/>
      <c r="T340" s="85"/>
      <c r="W340" s="85"/>
      <c r="X340" s="85"/>
      <c r="Y340" s="85"/>
      <c r="AB340" s="85"/>
      <c r="AC340" s="85"/>
      <c r="AD340" s="85"/>
      <c r="AG340" s="85"/>
      <c r="AH340" s="85"/>
      <c r="AI340" s="85"/>
    </row>
    <row r="341" spans="18:35" x14ac:dyDescent="0.2">
      <c r="R341" s="85"/>
      <c r="S341" s="85"/>
      <c r="T341" s="85"/>
      <c r="W341" s="85"/>
      <c r="X341" s="85"/>
      <c r="Y341" s="85"/>
      <c r="AB341" s="85"/>
      <c r="AC341" s="85"/>
      <c r="AD341" s="85"/>
      <c r="AG341" s="85"/>
      <c r="AH341" s="85"/>
      <c r="AI341" s="85"/>
    </row>
    <row r="342" spans="18:35" x14ac:dyDescent="0.2">
      <c r="R342" s="85"/>
      <c r="S342" s="85"/>
      <c r="T342" s="85"/>
      <c r="W342" s="85"/>
      <c r="X342" s="85"/>
      <c r="Y342" s="85"/>
      <c r="AB342" s="85"/>
      <c r="AC342" s="85"/>
      <c r="AD342" s="85"/>
      <c r="AG342" s="85"/>
      <c r="AH342" s="85"/>
      <c r="AI342" s="85"/>
    </row>
    <row r="343" spans="18:35" x14ac:dyDescent="0.2">
      <c r="R343" s="85"/>
      <c r="S343" s="85"/>
      <c r="T343" s="85"/>
      <c r="W343" s="85"/>
      <c r="X343" s="85"/>
      <c r="Y343" s="85"/>
      <c r="AB343" s="85"/>
      <c r="AC343" s="85"/>
      <c r="AD343" s="85"/>
      <c r="AG343" s="85"/>
      <c r="AH343" s="85"/>
      <c r="AI343" s="85"/>
    </row>
    <row r="344" spans="18:35" x14ac:dyDescent="0.2">
      <c r="R344" s="85"/>
      <c r="S344" s="85"/>
      <c r="T344" s="85"/>
      <c r="W344" s="85"/>
      <c r="X344" s="85"/>
      <c r="Y344" s="85"/>
      <c r="AB344" s="85"/>
      <c r="AC344" s="85"/>
      <c r="AD344" s="85"/>
      <c r="AG344" s="85"/>
      <c r="AH344" s="85"/>
      <c r="AI344" s="85"/>
    </row>
    <row r="345" spans="18:35" x14ac:dyDescent="0.2">
      <c r="R345" s="85"/>
      <c r="S345" s="85"/>
      <c r="T345" s="85"/>
      <c r="W345" s="85"/>
      <c r="X345" s="85"/>
      <c r="Y345" s="85"/>
      <c r="AB345" s="85"/>
      <c r="AC345" s="85"/>
      <c r="AD345" s="85"/>
      <c r="AG345" s="85"/>
      <c r="AH345" s="85"/>
      <c r="AI345" s="85"/>
    </row>
    <row r="346" spans="18:35" x14ac:dyDescent="0.2">
      <c r="R346" s="85"/>
      <c r="S346" s="85"/>
      <c r="T346" s="85"/>
      <c r="W346" s="85"/>
      <c r="X346" s="85"/>
      <c r="Y346" s="85"/>
      <c r="AB346" s="85"/>
      <c r="AC346" s="85"/>
      <c r="AD346" s="85"/>
      <c r="AG346" s="85"/>
      <c r="AH346" s="85"/>
      <c r="AI346" s="85"/>
    </row>
    <row r="347" spans="18:35" x14ac:dyDescent="0.2">
      <c r="R347" s="85"/>
      <c r="S347" s="85"/>
      <c r="T347" s="85"/>
      <c r="W347" s="85"/>
      <c r="X347" s="85"/>
      <c r="Y347" s="85"/>
      <c r="AB347" s="85"/>
      <c r="AC347" s="85"/>
      <c r="AD347" s="85"/>
      <c r="AG347" s="85"/>
      <c r="AH347" s="85"/>
      <c r="AI347" s="85"/>
    </row>
    <row r="348" spans="18:35" x14ac:dyDescent="0.2">
      <c r="R348" s="85"/>
      <c r="S348" s="85"/>
      <c r="T348" s="85"/>
      <c r="W348" s="85"/>
      <c r="X348" s="85"/>
      <c r="Y348" s="85"/>
      <c r="AB348" s="85"/>
      <c r="AC348" s="85"/>
      <c r="AD348" s="85"/>
      <c r="AG348" s="85"/>
      <c r="AH348" s="85"/>
      <c r="AI348" s="85"/>
    </row>
    <row r="349" spans="18:35" x14ac:dyDescent="0.2">
      <c r="R349" s="85"/>
      <c r="S349" s="85"/>
      <c r="T349" s="85"/>
      <c r="W349" s="85"/>
      <c r="X349" s="85"/>
      <c r="Y349" s="85"/>
      <c r="AB349" s="85"/>
      <c r="AC349" s="85"/>
      <c r="AD349" s="85"/>
      <c r="AG349" s="85"/>
      <c r="AH349" s="85"/>
      <c r="AI349" s="85"/>
    </row>
    <row r="350" spans="18:35" x14ac:dyDescent="0.2">
      <c r="R350" s="85"/>
      <c r="S350" s="85"/>
      <c r="T350" s="85"/>
      <c r="W350" s="85"/>
      <c r="X350" s="85"/>
      <c r="Y350" s="85"/>
      <c r="AB350" s="85"/>
      <c r="AC350" s="85"/>
      <c r="AD350" s="85"/>
      <c r="AG350" s="85"/>
      <c r="AH350" s="85"/>
      <c r="AI350" s="85"/>
    </row>
    <row r="351" spans="18:35" x14ac:dyDescent="0.2">
      <c r="R351" s="85"/>
      <c r="S351" s="85"/>
      <c r="T351" s="85"/>
      <c r="W351" s="85"/>
      <c r="X351" s="85"/>
      <c r="Y351" s="85"/>
      <c r="AB351" s="85"/>
      <c r="AC351" s="85"/>
      <c r="AD351" s="85"/>
      <c r="AG351" s="85"/>
      <c r="AH351" s="85"/>
      <c r="AI351" s="85"/>
    </row>
    <row r="352" spans="18:35" x14ac:dyDescent="0.2">
      <c r="R352" s="85"/>
      <c r="S352" s="85"/>
      <c r="T352" s="85"/>
      <c r="W352" s="85"/>
      <c r="X352" s="85"/>
      <c r="Y352" s="85"/>
      <c r="AB352" s="85"/>
      <c r="AC352" s="85"/>
      <c r="AD352" s="85"/>
      <c r="AG352" s="85"/>
      <c r="AH352" s="85"/>
      <c r="AI352" s="85"/>
    </row>
    <row r="353" spans="18:35" x14ac:dyDescent="0.2">
      <c r="R353" s="85"/>
      <c r="S353" s="85"/>
      <c r="T353" s="85"/>
      <c r="W353" s="85"/>
      <c r="X353" s="85"/>
      <c r="Y353" s="85"/>
      <c r="AB353" s="85"/>
      <c r="AC353" s="85"/>
      <c r="AD353" s="85"/>
      <c r="AG353" s="85"/>
      <c r="AH353" s="85"/>
      <c r="AI353" s="85"/>
    </row>
    <row r="354" spans="18:35" x14ac:dyDescent="0.2">
      <c r="R354" s="85"/>
      <c r="S354" s="85"/>
      <c r="T354" s="85"/>
      <c r="W354" s="85"/>
      <c r="X354" s="85"/>
      <c r="Y354" s="85"/>
      <c r="AB354" s="85"/>
      <c r="AC354" s="85"/>
      <c r="AD354" s="85"/>
      <c r="AG354" s="85"/>
      <c r="AH354" s="85"/>
      <c r="AI354" s="85"/>
    </row>
    <row r="355" spans="18:35" x14ac:dyDescent="0.2">
      <c r="R355" s="85"/>
      <c r="S355" s="85"/>
      <c r="T355" s="85"/>
      <c r="W355" s="85"/>
      <c r="X355" s="85"/>
      <c r="Y355" s="85"/>
      <c r="AB355" s="85"/>
      <c r="AC355" s="85"/>
      <c r="AD355" s="85"/>
      <c r="AG355" s="85"/>
      <c r="AH355" s="85"/>
      <c r="AI355" s="85"/>
    </row>
    <row r="356" spans="18:35" x14ac:dyDescent="0.2">
      <c r="R356" s="85"/>
      <c r="S356" s="85"/>
      <c r="T356" s="85"/>
      <c r="W356" s="85"/>
      <c r="X356" s="85"/>
      <c r="Y356" s="85"/>
      <c r="AB356" s="85"/>
      <c r="AC356" s="85"/>
      <c r="AD356" s="85"/>
      <c r="AG356" s="85"/>
      <c r="AH356" s="85"/>
      <c r="AI356" s="85"/>
    </row>
    <row r="357" spans="18:35" x14ac:dyDescent="0.2">
      <c r="R357" s="85"/>
      <c r="S357" s="85"/>
      <c r="T357" s="85"/>
      <c r="W357" s="85"/>
      <c r="X357" s="85"/>
      <c r="Y357" s="85"/>
      <c r="AB357" s="85"/>
      <c r="AC357" s="85"/>
      <c r="AD357" s="85"/>
      <c r="AG357" s="85"/>
      <c r="AH357" s="85"/>
      <c r="AI357" s="85"/>
    </row>
    <row r="358" spans="18:35" x14ac:dyDescent="0.2">
      <c r="R358" s="85"/>
      <c r="S358" s="85"/>
      <c r="T358" s="85"/>
      <c r="W358" s="85"/>
      <c r="X358" s="85"/>
      <c r="Y358" s="85"/>
      <c r="AB358" s="85"/>
      <c r="AC358" s="85"/>
      <c r="AD358" s="85"/>
      <c r="AG358" s="85"/>
      <c r="AH358" s="85"/>
      <c r="AI358" s="85"/>
    </row>
    <row r="359" spans="18:35" x14ac:dyDescent="0.2">
      <c r="R359" s="85"/>
      <c r="S359" s="85"/>
      <c r="T359" s="85"/>
      <c r="W359" s="85"/>
      <c r="X359" s="85"/>
      <c r="Y359" s="85"/>
      <c r="AB359" s="85"/>
      <c r="AC359" s="85"/>
      <c r="AD359" s="85"/>
      <c r="AG359" s="85"/>
      <c r="AH359" s="85"/>
      <c r="AI359" s="85"/>
    </row>
    <row r="360" spans="18:35" x14ac:dyDescent="0.2">
      <c r="R360" s="85"/>
      <c r="S360" s="85"/>
      <c r="T360" s="85"/>
      <c r="W360" s="85"/>
      <c r="X360" s="85"/>
      <c r="Y360" s="85"/>
      <c r="AB360" s="85"/>
      <c r="AC360" s="85"/>
      <c r="AD360" s="85"/>
      <c r="AG360" s="85"/>
      <c r="AH360" s="85"/>
      <c r="AI360" s="85"/>
    </row>
    <row r="361" spans="18:35" x14ac:dyDescent="0.2">
      <c r="R361" s="85"/>
      <c r="S361" s="85"/>
      <c r="T361" s="85"/>
      <c r="W361" s="85"/>
      <c r="X361" s="85"/>
      <c r="Y361" s="85"/>
      <c r="AB361" s="85"/>
      <c r="AC361" s="85"/>
      <c r="AD361" s="85"/>
      <c r="AG361" s="85"/>
      <c r="AH361" s="85"/>
      <c r="AI361" s="85"/>
    </row>
    <row r="362" spans="18:35" x14ac:dyDescent="0.2">
      <c r="R362" s="85"/>
      <c r="S362" s="85"/>
      <c r="T362" s="85"/>
      <c r="W362" s="85"/>
      <c r="X362" s="85"/>
      <c r="Y362" s="85"/>
      <c r="AB362" s="85"/>
      <c r="AC362" s="85"/>
      <c r="AD362" s="85"/>
      <c r="AG362" s="85"/>
      <c r="AH362" s="85"/>
      <c r="AI362" s="85"/>
    </row>
    <row r="363" spans="18:35" x14ac:dyDescent="0.2">
      <c r="R363" s="85"/>
      <c r="S363" s="85"/>
      <c r="T363" s="85"/>
      <c r="W363" s="85"/>
      <c r="X363" s="85"/>
      <c r="Y363" s="85"/>
      <c r="AB363" s="85"/>
      <c r="AC363" s="85"/>
      <c r="AD363" s="85"/>
      <c r="AG363" s="85"/>
      <c r="AH363" s="85"/>
      <c r="AI363" s="85"/>
    </row>
    <row r="364" spans="18:35" x14ac:dyDescent="0.2">
      <c r="R364" s="85"/>
      <c r="S364" s="85"/>
      <c r="T364" s="85"/>
      <c r="W364" s="85"/>
      <c r="X364" s="85"/>
      <c r="Y364" s="85"/>
      <c r="AB364" s="85"/>
      <c r="AC364" s="85"/>
      <c r="AD364" s="85"/>
      <c r="AG364" s="85"/>
      <c r="AH364" s="85"/>
      <c r="AI364" s="85"/>
    </row>
    <row r="365" spans="18:35" x14ac:dyDescent="0.2">
      <c r="R365" s="85"/>
      <c r="S365" s="85"/>
      <c r="T365" s="85"/>
      <c r="W365" s="85"/>
      <c r="X365" s="85"/>
      <c r="Y365" s="85"/>
      <c r="AB365" s="85"/>
      <c r="AC365" s="85"/>
      <c r="AD365" s="85"/>
      <c r="AG365" s="85"/>
      <c r="AH365" s="85"/>
      <c r="AI365" s="85"/>
    </row>
    <row r="366" spans="18:35" x14ac:dyDescent="0.2">
      <c r="R366" s="85"/>
      <c r="S366" s="85"/>
      <c r="T366" s="85"/>
      <c r="W366" s="85"/>
      <c r="X366" s="85"/>
      <c r="Y366" s="85"/>
      <c r="AB366" s="85"/>
      <c r="AC366" s="85"/>
      <c r="AD366" s="85"/>
      <c r="AG366" s="85"/>
      <c r="AH366" s="85"/>
      <c r="AI366" s="85"/>
    </row>
    <row r="367" spans="18:35" x14ac:dyDescent="0.2">
      <c r="R367" s="85"/>
      <c r="S367" s="85"/>
      <c r="T367" s="85"/>
      <c r="W367" s="85"/>
      <c r="X367" s="85"/>
      <c r="Y367" s="85"/>
      <c r="AB367" s="85"/>
      <c r="AC367" s="85"/>
      <c r="AD367" s="85"/>
      <c r="AG367" s="85"/>
      <c r="AH367" s="85"/>
      <c r="AI367" s="85"/>
    </row>
    <row r="368" spans="18:35" x14ac:dyDescent="0.2">
      <c r="R368" s="85"/>
      <c r="S368" s="85"/>
      <c r="T368" s="85"/>
      <c r="W368" s="85"/>
      <c r="X368" s="85"/>
      <c r="Y368" s="85"/>
      <c r="AB368" s="85"/>
      <c r="AC368" s="85"/>
      <c r="AD368" s="85"/>
      <c r="AG368" s="85"/>
      <c r="AH368" s="85"/>
      <c r="AI368" s="85"/>
    </row>
    <row r="369" spans="18:35" x14ac:dyDescent="0.2">
      <c r="R369" s="85"/>
      <c r="S369" s="85"/>
      <c r="T369" s="85"/>
      <c r="W369" s="85"/>
      <c r="X369" s="85"/>
      <c r="Y369" s="85"/>
      <c r="AB369" s="85"/>
      <c r="AC369" s="85"/>
      <c r="AD369" s="85"/>
      <c r="AG369" s="85"/>
      <c r="AH369" s="85"/>
      <c r="AI369" s="85"/>
    </row>
    <row r="370" spans="18:35" x14ac:dyDescent="0.2">
      <c r="R370" s="85"/>
      <c r="S370" s="85"/>
      <c r="T370" s="85"/>
      <c r="W370" s="85"/>
      <c r="X370" s="85"/>
      <c r="Y370" s="85"/>
      <c r="AB370" s="85"/>
      <c r="AC370" s="85"/>
      <c r="AD370" s="85"/>
      <c r="AG370" s="85"/>
      <c r="AH370" s="85"/>
      <c r="AI370" s="85"/>
    </row>
    <row r="371" spans="18:35" x14ac:dyDescent="0.2">
      <c r="R371" s="85"/>
      <c r="S371" s="85"/>
      <c r="T371" s="85"/>
      <c r="W371" s="85"/>
      <c r="X371" s="85"/>
      <c r="Y371" s="85"/>
      <c r="AB371" s="85"/>
      <c r="AC371" s="85"/>
      <c r="AD371" s="85"/>
      <c r="AG371" s="85"/>
      <c r="AH371" s="85"/>
      <c r="AI371" s="85"/>
    </row>
    <row r="372" spans="18:35" x14ac:dyDescent="0.2">
      <c r="R372" s="85"/>
      <c r="S372" s="85"/>
      <c r="T372" s="85"/>
      <c r="W372" s="85"/>
      <c r="X372" s="85"/>
      <c r="Y372" s="85"/>
      <c r="AB372" s="85"/>
      <c r="AC372" s="85"/>
      <c r="AD372" s="85"/>
      <c r="AG372" s="85"/>
      <c r="AH372" s="85"/>
      <c r="AI372" s="85"/>
    </row>
    <row r="373" spans="18:35" x14ac:dyDescent="0.2">
      <c r="R373" s="85"/>
      <c r="S373" s="85"/>
      <c r="T373" s="85"/>
      <c r="W373" s="85"/>
      <c r="X373" s="85"/>
      <c r="Y373" s="85"/>
      <c r="AB373" s="85"/>
      <c r="AC373" s="85"/>
      <c r="AD373" s="85"/>
      <c r="AG373" s="85"/>
      <c r="AH373" s="85"/>
      <c r="AI373" s="85"/>
    </row>
    <row r="374" spans="18:35" x14ac:dyDescent="0.2">
      <c r="R374" s="85"/>
      <c r="S374" s="85"/>
      <c r="T374" s="85"/>
      <c r="W374" s="85"/>
      <c r="X374" s="85"/>
      <c r="Y374" s="85"/>
      <c r="AB374" s="85"/>
      <c r="AC374" s="85"/>
      <c r="AD374" s="85"/>
      <c r="AG374" s="85"/>
      <c r="AH374" s="85"/>
      <c r="AI374" s="85"/>
    </row>
    <row r="375" spans="18:35" x14ac:dyDescent="0.2">
      <c r="R375" s="85"/>
      <c r="S375" s="85"/>
      <c r="T375" s="85"/>
      <c r="W375" s="85"/>
      <c r="X375" s="85"/>
      <c r="Y375" s="85"/>
      <c r="AB375" s="85"/>
      <c r="AC375" s="85"/>
      <c r="AD375" s="85"/>
      <c r="AG375" s="85"/>
      <c r="AH375" s="85"/>
      <c r="AI375" s="85"/>
    </row>
    <row r="376" spans="18:35" x14ac:dyDescent="0.2">
      <c r="R376" s="85"/>
      <c r="S376" s="85"/>
      <c r="T376" s="85"/>
      <c r="W376" s="85"/>
      <c r="X376" s="85"/>
      <c r="Y376" s="85"/>
      <c r="AB376" s="85"/>
      <c r="AC376" s="85"/>
      <c r="AD376" s="85"/>
      <c r="AG376" s="85"/>
      <c r="AH376" s="85"/>
      <c r="AI376" s="85"/>
    </row>
    <row r="377" spans="18:35" x14ac:dyDescent="0.2">
      <c r="R377" s="85"/>
      <c r="S377" s="85"/>
      <c r="T377" s="85"/>
      <c r="W377" s="85"/>
      <c r="X377" s="85"/>
      <c r="Y377" s="85"/>
      <c r="AB377" s="85"/>
      <c r="AC377" s="85"/>
      <c r="AD377" s="85"/>
      <c r="AG377" s="85"/>
      <c r="AH377" s="85"/>
      <c r="AI377" s="85"/>
    </row>
    <row r="378" spans="18:35" x14ac:dyDescent="0.2">
      <c r="R378" s="85"/>
      <c r="S378" s="85"/>
      <c r="T378" s="85"/>
      <c r="W378" s="85"/>
      <c r="X378" s="85"/>
      <c r="Y378" s="85"/>
      <c r="AB378" s="85"/>
      <c r="AC378" s="85"/>
      <c r="AD378" s="85"/>
      <c r="AG378" s="85"/>
      <c r="AH378" s="85"/>
      <c r="AI378" s="85"/>
    </row>
    <row r="379" spans="18:35" x14ac:dyDescent="0.2">
      <c r="R379" s="85"/>
      <c r="S379" s="85"/>
      <c r="T379" s="85"/>
      <c r="W379" s="85"/>
      <c r="X379" s="85"/>
      <c r="Y379" s="85"/>
      <c r="AB379" s="85"/>
      <c r="AC379" s="85"/>
      <c r="AD379" s="85"/>
      <c r="AG379" s="85"/>
      <c r="AH379" s="85"/>
      <c r="AI379" s="85"/>
    </row>
    <row r="380" spans="18:35" x14ac:dyDescent="0.2">
      <c r="R380" s="85"/>
      <c r="S380" s="85"/>
      <c r="T380" s="85"/>
      <c r="W380" s="85"/>
      <c r="X380" s="85"/>
      <c r="Y380" s="85"/>
      <c r="AB380" s="85"/>
      <c r="AC380" s="85"/>
      <c r="AD380" s="85"/>
      <c r="AG380" s="85"/>
      <c r="AH380" s="85"/>
      <c r="AI380" s="85"/>
    </row>
    <row r="381" spans="18:35" x14ac:dyDescent="0.2">
      <c r="R381" s="85"/>
      <c r="S381" s="85"/>
      <c r="T381" s="85"/>
      <c r="W381" s="85"/>
      <c r="X381" s="85"/>
      <c r="Y381" s="85"/>
      <c r="AB381" s="85"/>
      <c r="AC381" s="85"/>
      <c r="AD381" s="85"/>
      <c r="AG381" s="85"/>
      <c r="AH381" s="85"/>
      <c r="AI381" s="85"/>
    </row>
    <row r="382" spans="18:35" x14ac:dyDescent="0.2">
      <c r="R382" s="85"/>
      <c r="S382" s="85"/>
      <c r="T382" s="85"/>
      <c r="W382" s="85"/>
      <c r="X382" s="85"/>
      <c r="Y382" s="85"/>
      <c r="AB382" s="85"/>
      <c r="AC382" s="85"/>
      <c r="AD382" s="85"/>
      <c r="AG382" s="85"/>
      <c r="AH382" s="85"/>
      <c r="AI382" s="85"/>
    </row>
    <row r="383" spans="18:35" x14ac:dyDescent="0.2">
      <c r="R383" s="85"/>
      <c r="S383" s="85"/>
      <c r="T383" s="85"/>
      <c r="W383" s="85"/>
      <c r="X383" s="85"/>
      <c r="Y383" s="85"/>
      <c r="AB383" s="85"/>
      <c r="AC383" s="85"/>
      <c r="AD383" s="85"/>
      <c r="AG383" s="85"/>
      <c r="AH383" s="85"/>
      <c r="AI383" s="85"/>
    </row>
    <row r="384" spans="18:35" x14ac:dyDescent="0.2">
      <c r="R384" s="85"/>
      <c r="S384" s="85"/>
      <c r="T384" s="85"/>
      <c r="W384" s="85"/>
      <c r="X384" s="85"/>
      <c r="Y384" s="85"/>
      <c r="AB384" s="85"/>
      <c r="AC384" s="85"/>
      <c r="AD384" s="85"/>
      <c r="AG384" s="85"/>
      <c r="AH384" s="85"/>
      <c r="AI384" s="85"/>
    </row>
    <row r="385" spans="18:35" x14ac:dyDescent="0.2">
      <c r="R385" s="85"/>
      <c r="S385" s="85"/>
      <c r="T385" s="85"/>
      <c r="W385" s="85"/>
      <c r="X385" s="85"/>
      <c r="Y385" s="85"/>
      <c r="AB385" s="85"/>
      <c r="AC385" s="85"/>
      <c r="AD385" s="85"/>
      <c r="AG385" s="85"/>
      <c r="AH385" s="85"/>
      <c r="AI385" s="85"/>
    </row>
    <row r="386" spans="18:35" x14ac:dyDescent="0.2">
      <c r="R386" s="85"/>
      <c r="S386" s="85"/>
      <c r="T386" s="85"/>
      <c r="W386" s="85"/>
      <c r="X386" s="85"/>
      <c r="Y386" s="85"/>
      <c r="AB386" s="85"/>
      <c r="AC386" s="85"/>
      <c r="AD386" s="85"/>
      <c r="AG386" s="85"/>
      <c r="AH386" s="85"/>
      <c r="AI386" s="85"/>
    </row>
    <row r="387" spans="18:35" x14ac:dyDescent="0.2">
      <c r="R387" s="85"/>
      <c r="S387" s="85"/>
      <c r="T387" s="85"/>
      <c r="W387" s="85"/>
      <c r="X387" s="85"/>
      <c r="Y387" s="85"/>
      <c r="AB387" s="85"/>
      <c r="AC387" s="85"/>
      <c r="AD387" s="85"/>
      <c r="AG387" s="85"/>
      <c r="AH387" s="85"/>
      <c r="AI387" s="85"/>
    </row>
    <row r="388" spans="18:35" x14ac:dyDescent="0.2">
      <c r="R388" s="85"/>
      <c r="S388" s="85"/>
      <c r="T388" s="85"/>
      <c r="W388" s="85"/>
      <c r="X388" s="85"/>
      <c r="Y388" s="85"/>
      <c r="AB388" s="85"/>
      <c r="AC388" s="85"/>
      <c r="AD388" s="85"/>
      <c r="AG388" s="85"/>
      <c r="AH388" s="85"/>
      <c r="AI388" s="85"/>
    </row>
    <row r="389" spans="18:35" x14ac:dyDescent="0.2">
      <c r="R389" s="85"/>
      <c r="S389" s="85"/>
      <c r="T389" s="85"/>
      <c r="W389" s="85"/>
      <c r="X389" s="85"/>
      <c r="Y389" s="85"/>
      <c r="AB389" s="85"/>
      <c r="AC389" s="85"/>
      <c r="AD389" s="85"/>
      <c r="AG389" s="85"/>
      <c r="AH389" s="85"/>
      <c r="AI389" s="85"/>
    </row>
    <row r="390" spans="18:35" x14ac:dyDescent="0.2">
      <c r="R390" s="85"/>
      <c r="S390" s="85"/>
      <c r="T390" s="85"/>
      <c r="W390" s="85"/>
      <c r="X390" s="85"/>
      <c r="Y390" s="85"/>
      <c r="AB390" s="85"/>
      <c r="AC390" s="85"/>
      <c r="AD390" s="85"/>
      <c r="AG390" s="85"/>
      <c r="AH390" s="85"/>
      <c r="AI390" s="85"/>
    </row>
    <row r="391" spans="18:35" x14ac:dyDescent="0.2">
      <c r="R391" s="85"/>
      <c r="S391" s="85"/>
      <c r="T391" s="85"/>
      <c r="W391" s="85"/>
      <c r="X391" s="85"/>
      <c r="Y391" s="85"/>
      <c r="AB391" s="85"/>
      <c r="AC391" s="85"/>
      <c r="AD391" s="85"/>
      <c r="AG391" s="85"/>
      <c r="AH391" s="85"/>
      <c r="AI391" s="85"/>
    </row>
    <row r="392" spans="18:35" x14ac:dyDescent="0.2">
      <c r="R392" s="85"/>
      <c r="S392" s="85"/>
      <c r="T392" s="85"/>
      <c r="W392" s="85"/>
      <c r="X392" s="85"/>
      <c r="Y392" s="85"/>
      <c r="AB392" s="85"/>
      <c r="AC392" s="85"/>
      <c r="AD392" s="85"/>
      <c r="AG392" s="85"/>
      <c r="AH392" s="85"/>
      <c r="AI392" s="85"/>
    </row>
    <row r="393" spans="18:35" x14ac:dyDescent="0.2">
      <c r="R393" s="85"/>
      <c r="S393" s="85"/>
      <c r="T393" s="85"/>
      <c r="W393" s="85"/>
      <c r="X393" s="85"/>
      <c r="Y393" s="85"/>
      <c r="AB393" s="85"/>
      <c r="AC393" s="85"/>
      <c r="AD393" s="85"/>
      <c r="AG393" s="85"/>
      <c r="AH393" s="85"/>
      <c r="AI393" s="85"/>
    </row>
    <row r="394" spans="18:35" x14ac:dyDescent="0.2">
      <c r="R394" s="85"/>
      <c r="S394" s="85"/>
      <c r="T394" s="85"/>
      <c r="W394" s="85"/>
      <c r="X394" s="85"/>
      <c r="Y394" s="85"/>
      <c r="AB394" s="85"/>
      <c r="AC394" s="85"/>
      <c r="AD394" s="85"/>
      <c r="AG394" s="85"/>
      <c r="AH394" s="85"/>
      <c r="AI394" s="85"/>
    </row>
    <row r="395" spans="18:35" x14ac:dyDescent="0.2">
      <c r="R395" s="85"/>
      <c r="S395" s="85"/>
      <c r="T395" s="85"/>
      <c r="W395" s="85"/>
      <c r="X395" s="85"/>
      <c r="Y395" s="85"/>
      <c r="AB395" s="85"/>
      <c r="AC395" s="85"/>
      <c r="AD395" s="85"/>
      <c r="AG395" s="85"/>
      <c r="AH395" s="85"/>
      <c r="AI395" s="85"/>
    </row>
    <row r="396" spans="18:35" x14ac:dyDescent="0.2">
      <c r="R396" s="85"/>
      <c r="S396" s="85"/>
      <c r="T396" s="85"/>
      <c r="W396" s="85"/>
      <c r="X396" s="85"/>
      <c r="Y396" s="85"/>
      <c r="AB396" s="85"/>
      <c r="AC396" s="85"/>
      <c r="AD396" s="85"/>
      <c r="AG396" s="85"/>
      <c r="AH396" s="85"/>
      <c r="AI396" s="85"/>
    </row>
    <row r="397" spans="18:35" x14ac:dyDescent="0.2">
      <c r="R397" s="85"/>
      <c r="S397" s="85"/>
      <c r="T397" s="85"/>
      <c r="W397" s="85"/>
      <c r="X397" s="85"/>
      <c r="Y397" s="85"/>
      <c r="AB397" s="85"/>
      <c r="AC397" s="85"/>
      <c r="AD397" s="85"/>
      <c r="AG397" s="85"/>
      <c r="AH397" s="85"/>
      <c r="AI397" s="85"/>
    </row>
    <row r="398" spans="18:35" x14ac:dyDescent="0.2">
      <c r="R398" s="85"/>
      <c r="S398" s="85"/>
      <c r="T398" s="85"/>
      <c r="W398" s="85"/>
      <c r="X398" s="85"/>
      <c r="Y398" s="85"/>
      <c r="AB398" s="85"/>
      <c r="AC398" s="85"/>
      <c r="AD398" s="85"/>
      <c r="AG398" s="85"/>
      <c r="AH398" s="85"/>
      <c r="AI398" s="85"/>
    </row>
    <row r="399" spans="18:35" x14ac:dyDescent="0.2">
      <c r="R399" s="85"/>
      <c r="S399" s="85"/>
      <c r="T399" s="85"/>
      <c r="W399" s="85"/>
      <c r="X399" s="85"/>
      <c r="Y399" s="85"/>
      <c r="AB399" s="85"/>
      <c r="AC399" s="85"/>
      <c r="AD399" s="85"/>
      <c r="AG399" s="85"/>
      <c r="AH399" s="85"/>
      <c r="AI399" s="85"/>
    </row>
    <row r="400" spans="18:35" x14ac:dyDescent="0.2">
      <c r="R400" s="85"/>
      <c r="S400" s="85"/>
      <c r="T400" s="85"/>
      <c r="W400" s="85"/>
      <c r="X400" s="85"/>
      <c r="Y400" s="85"/>
      <c r="AB400" s="85"/>
      <c r="AC400" s="85"/>
      <c r="AD400" s="85"/>
      <c r="AG400" s="85"/>
      <c r="AH400" s="85"/>
      <c r="AI400" s="85"/>
    </row>
    <row r="401" spans="18:35" x14ac:dyDescent="0.2">
      <c r="R401" s="85"/>
      <c r="S401" s="85"/>
      <c r="T401" s="85"/>
      <c r="W401" s="85"/>
      <c r="X401" s="85"/>
      <c r="Y401" s="85"/>
      <c r="AB401" s="85"/>
      <c r="AC401" s="85"/>
      <c r="AD401" s="85"/>
      <c r="AG401" s="85"/>
      <c r="AH401" s="85"/>
      <c r="AI401" s="85"/>
    </row>
    <row r="402" spans="18:35" x14ac:dyDescent="0.2">
      <c r="R402" s="85"/>
      <c r="S402" s="85"/>
      <c r="T402" s="85"/>
      <c r="W402" s="85"/>
      <c r="X402" s="85"/>
      <c r="Y402" s="85"/>
      <c r="AB402" s="85"/>
      <c r="AC402" s="85"/>
      <c r="AD402" s="85"/>
      <c r="AG402" s="85"/>
      <c r="AH402" s="85"/>
      <c r="AI402" s="85"/>
    </row>
    <row r="403" spans="18:35" x14ac:dyDescent="0.2">
      <c r="R403" s="85"/>
      <c r="S403" s="85"/>
      <c r="T403" s="85"/>
      <c r="W403" s="85"/>
      <c r="X403" s="85"/>
      <c r="Y403" s="85"/>
      <c r="AB403" s="85"/>
      <c r="AC403" s="85"/>
      <c r="AD403" s="85"/>
      <c r="AG403" s="85"/>
      <c r="AH403" s="85"/>
      <c r="AI403" s="85"/>
    </row>
    <row r="404" spans="18:35" x14ac:dyDescent="0.2">
      <c r="R404" s="85"/>
      <c r="S404" s="85"/>
      <c r="T404" s="85"/>
      <c r="W404" s="85"/>
      <c r="X404" s="85"/>
      <c r="Y404" s="85"/>
      <c r="AB404" s="85"/>
      <c r="AC404" s="85"/>
      <c r="AD404" s="85"/>
      <c r="AG404" s="85"/>
      <c r="AH404" s="85"/>
      <c r="AI404" s="85"/>
    </row>
    <row r="405" spans="18:35" x14ac:dyDescent="0.2">
      <c r="R405" s="85"/>
      <c r="S405" s="85"/>
      <c r="T405" s="85"/>
      <c r="W405" s="85"/>
      <c r="X405" s="85"/>
      <c r="Y405" s="85"/>
      <c r="AB405" s="85"/>
      <c r="AC405" s="85"/>
      <c r="AD405" s="85"/>
      <c r="AG405" s="85"/>
      <c r="AH405" s="85"/>
      <c r="AI405" s="85"/>
    </row>
    <row r="406" spans="18:35" x14ac:dyDescent="0.2">
      <c r="R406" s="85"/>
      <c r="S406" s="85"/>
      <c r="T406" s="85"/>
      <c r="W406" s="85"/>
      <c r="X406" s="85"/>
      <c r="Y406" s="85"/>
      <c r="AB406" s="85"/>
      <c r="AC406" s="85"/>
      <c r="AD406" s="85"/>
      <c r="AG406" s="85"/>
      <c r="AH406" s="85"/>
      <c r="AI406" s="85"/>
    </row>
    <row r="407" spans="18:35" x14ac:dyDescent="0.2">
      <c r="R407" s="85"/>
      <c r="S407" s="85"/>
      <c r="T407" s="85"/>
      <c r="W407" s="85"/>
      <c r="X407" s="85"/>
      <c r="Y407" s="85"/>
      <c r="AB407" s="85"/>
      <c r="AC407" s="85"/>
      <c r="AD407" s="85"/>
      <c r="AG407" s="85"/>
      <c r="AH407" s="85"/>
      <c r="AI407" s="85"/>
    </row>
    <row r="408" spans="18:35" x14ac:dyDescent="0.2">
      <c r="R408" s="85"/>
      <c r="S408" s="85"/>
      <c r="T408" s="85"/>
      <c r="W408" s="85"/>
      <c r="X408" s="85"/>
      <c r="Y408" s="85"/>
      <c r="AB408" s="85"/>
      <c r="AC408" s="85"/>
      <c r="AD408" s="85"/>
      <c r="AG408" s="85"/>
      <c r="AH408" s="85"/>
      <c r="AI408" s="85"/>
    </row>
    <row r="409" spans="18:35" x14ac:dyDescent="0.2">
      <c r="R409" s="85"/>
      <c r="S409" s="85"/>
      <c r="T409" s="85"/>
      <c r="W409" s="85"/>
      <c r="X409" s="85"/>
      <c r="Y409" s="85"/>
      <c r="AB409" s="85"/>
      <c r="AC409" s="85"/>
      <c r="AD409" s="85"/>
      <c r="AG409" s="85"/>
      <c r="AH409" s="85"/>
      <c r="AI409" s="85"/>
    </row>
    <row r="410" spans="18:35" x14ac:dyDescent="0.2">
      <c r="R410" s="85"/>
      <c r="S410" s="85"/>
      <c r="T410" s="85"/>
      <c r="W410" s="85"/>
      <c r="X410" s="85"/>
      <c r="Y410" s="85"/>
      <c r="AB410" s="85"/>
      <c r="AC410" s="85"/>
      <c r="AD410" s="85"/>
      <c r="AG410" s="85"/>
      <c r="AH410" s="85"/>
      <c r="AI410" s="85"/>
    </row>
    <row r="411" spans="18:35" x14ac:dyDescent="0.2">
      <c r="R411" s="85"/>
      <c r="S411" s="85"/>
      <c r="T411" s="85"/>
      <c r="W411" s="85"/>
      <c r="X411" s="85"/>
      <c r="Y411" s="85"/>
      <c r="AB411" s="85"/>
      <c r="AC411" s="85"/>
      <c r="AD411" s="85"/>
      <c r="AG411" s="85"/>
      <c r="AH411" s="85"/>
      <c r="AI411" s="85"/>
    </row>
    <row r="412" spans="18:35" x14ac:dyDescent="0.2">
      <c r="R412" s="85"/>
      <c r="S412" s="85"/>
      <c r="T412" s="85"/>
      <c r="W412" s="85"/>
      <c r="X412" s="85"/>
      <c r="Y412" s="85"/>
      <c r="AB412" s="85"/>
      <c r="AC412" s="85"/>
      <c r="AD412" s="85"/>
      <c r="AG412" s="85"/>
      <c r="AH412" s="85"/>
      <c r="AI412" s="85"/>
    </row>
    <row r="413" spans="18:35" x14ac:dyDescent="0.2">
      <c r="R413" s="85"/>
      <c r="S413" s="85"/>
      <c r="T413" s="85"/>
      <c r="W413" s="85"/>
      <c r="X413" s="85"/>
      <c r="Y413" s="85"/>
      <c r="AB413" s="85"/>
      <c r="AC413" s="85"/>
      <c r="AD413" s="85"/>
      <c r="AG413" s="85"/>
      <c r="AH413" s="85"/>
      <c r="AI413" s="85"/>
    </row>
    <row r="414" spans="18:35" x14ac:dyDescent="0.2">
      <c r="R414" s="85"/>
      <c r="S414" s="85"/>
      <c r="T414" s="85"/>
      <c r="W414" s="85"/>
      <c r="X414" s="85"/>
      <c r="Y414" s="85"/>
      <c r="AB414" s="85"/>
      <c r="AC414" s="85"/>
      <c r="AD414" s="85"/>
      <c r="AG414" s="85"/>
      <c r="AH414" s="85"/>
      <c r="AI414" s="85"/>
    </row>
    <row r="415" spans="18:35" x14ac:dyDescent="0.2">
      <c r="R415" s="85"/>
      <c r="S415" s="85"/>
      <c r="T415" s="85"/>
      <c r="W415" s="85"/>
      <c r="X415" s="85"/>
      <c r="Y415" s="85"/>
      <c r="AB415" s="85"/>
      <c r="AC415" s="85"/>
      <c r="AD415" s="85"/>
      <c r="AG415" s="85"/>
      <c r="AH415" s="85"/>
      <c r="AI415" s="85"/>
    </row>
    <row r="416" spans="18:35" x14ac:dyDescent="0.2">
      <c r="R416" s="85"/>
      <c r="S416" s="85"/>
      <c r="T416" s="85"/>
      <c r="W416" s="85"/>
      <c r="X416" s="85"/>
      <c r="Y416" s="85"/>
      <c r="AB416" s="85"/>
      <c r="AC416" s="85"/>
      <c r="AD416" s="85"/>
      <c r="AG416" s="85"/>
      <c r="AH416" s="85"/>
      <c r="AI416" s="85"/>
    </row>
    <row r="417" spans="18:35" x14ac:dyDescent="0.2">
      <c r="R417" s="85"/>
      <c r="S417" s="85"/>
      <c r="T417" s="85"/>
      <c r="W417" s="85"/>
      <c r="X417" s="85"/>
      <c r="Y417" s="85"/>
      <c r="AB417" s="85"/>
      <c r="AC417" s="85"/>
      <c r="AD417" s="85"/>
      <c r="AG417" s="85"/>
      <c r="AH417" s="85"/>
      <c r="AI417" s="85"/>
    </row>
    <row r="418" spans="18:35" x14ac:dyDescent="0.2">
      <c r="R418" s="85"/>
      <c r="S418" s="85"/>
      <c r="T418" s="85"/>
      <c r="W418" s="85"/>
      <c r="X418" s="85"/>
      <c r="Y418" s="85"/>
      <c r="AB418" s="85"/>
      <c r="AC418" s="85"/>
      <c r="AD418" s="85"/>
      <c r="AG418" s="85"/>
      <c r="AH418" s="85"/>
      <c r="AI418" s="85"/>
    </row>
    <row r="419" spans="18:35" x14ac:dyDescent="0.2">
      <c r="R419" s="85"/>
      <c r="S419" s="85"/>
      <c r="T419" s="85"/>
      <c r="W419" s="85"/>
      <c r="X419" s="85"/>
      <c r="Y419" s="85"/>
      <c r="AB419" s="85"/>
      <c r="AC419" s="85"/>
      <c r="AD419" s="85"/>
      <c r="AG419" s="85"/>
      <c r="AH419" s="85"/>
      <c r="AI419" s="85"/>
    </row>
    <row r="420" spans="18:35" x14ac:dyDescent="0.2">
      <c r="R420" s="85"/>
      <c r="S420" s="85"/>
      <c r="T420" s="85"/>
      <c r="W420" s="85"/>
      <c r="X420" s="85"/>
      <c r="Y420" s="85"/>
      <c r="AB420" s="85"/>
      <c r="AC420" s="85"/>
      <c r="AD420" s="85"/>
      <c r="AG420" s="85"/>
      <c r="AH420" s="85"/>
      <c r="AI420" s="85"/>
    </row>
    <row r="421" spans="18:35" x14ac:dyDescent="0.2">
      <c r="R421" s="85"/>
      <c r="S421" s="85"/>
      <c r="T421" s="85"/>
      <c r="W421" s="85"/>
      <c r="X421" s="85"/>
      <c r="Y421" s="85"/>
      <c r="AB421" s="85"/>
      <c r="AC421" s="85"/>
      <c r="AD421" s="85"/>
      <c r="AG421" s="85"/>
      <c r="AH421" s="85"/>
      <c r="AI421" s="85"/>
    </row>
    <row r="422" spans="18:35" x14ac:dyDescent="0.2">
      <c r="R422" s="85"/>
      <c r="S422" s="85"/>
      <c r="T422" s="85"/>
      <c r="W422" s="85"/>
      <c r="X422" s="85"/>
      <c r="Y422" s="85"/>
      <c r="AB422" s="85"/>
      <c r="AC422" s="85"/>
      <c r="AD422" s="85"/>
      <c r="AG422" s="85"/>
      <c r="AH422" s="85"/>
      <c r="AI422" s="85"/>
    </row>
    <row r="423" spans="18:35" x14ac:dyDescent="0.2">
      <c r="R423" s="85"/>
      <c r="S423" s="85"/>
      <c r="T423" s="85"/>
      <c r="W423" s="85"/>
      <c r="X423" s="85"/>
      <c r="Y423" s="85"/>
      <c r="AB423" s="85"/>
      <c r="AC423" s="85"/>
      <c r="AD423" s="85"/>
      <c r="AG423" s="85"/>
      <c r="AH423" s="85"/>
      <c r="AI423" s="85"/>
    </row>
    <row r="424" spans="18:35" x14ac:dyDescent="0.2">
      <c r="R424" s="85"/>
      <c r="S424" s="85"/>
      <c r="T424" s="85"/>
      <c r="W424" s="85"/>
      <c r="X424" s="85"/>
      <c r="Y424" s="85"/>
      <c r="AB424" s="85"/>
      <c r="AC424" s="85"/>
      <c r="AD424" s="85"/>
      <c r="AG424" s="85"/>
      <c r="AH424" s="85"/>
      <c r="AI424" s="85"/>
    </row>
    <row r="425" spans="18:35" x14ac:dyDescent="0.2">
      <c r="R425" s="85"/>
      <c r="S425" s="85"/>
      <c r="T425" s="85"/>
      <c r="W425" s="85"/>
      <c r="X425" s="85"/>
      <c r="Y425" s="85"/>
      <c r="AB425" s="85"/>
      <c r="AC425" s="85"/>
      <c r="AD425" s="85"/>
      <c r="AG425" s="85"/>
      <c r="AH425" s="85"/>
      <c r="AI425" s="85"/>
    </row>
    <row r="426" spans="18:35" x14ac:dyDescent="0.2">
      <c r="R426" s="85"/>
      <c r="S426" s="85"/>
      <c r="T426" s="85"/>
      <c r="W426" s="85"/>
      <c r="X426" s="85"/>
      <c r="Y426" s="85"/>
      <c r="AB426" s="85"/>
      <c r="AC426" s="85"/>
      <c r="AD426" s="85"/>
      <c r="AG426" s="85"/>
      <c r="AH426" s="85"/>
      <c r="AI426" s="85"/>
    </row>
    <row r="427" spans="18:35" x14ac:dyDescent="0.2">
      <c r="R427" s="85"/>
      <c r="S427" s="85"/>
      <c r="T427" s="85"/>
      <c r="W427" s="85"/>
      <c r="X427" s="85"/>
      <c r="Y427" s="85"/>
      <c r="AB427" s="85"/>
      <c r="AC427" s="85"/>
      <c r="AD427" s="85"/>
      <c r="AG427" s="85"/>
      <c r="AH427" s="85"/>
      <c r="AI427" s="85"/>
    </row>
    <row r="428" spans="18:35" x14ac:dyDescent="0.2">
      <c r="R428" s="85"/>
      <c r="S428" s="85"/>
      <c r="T428" s="85"/>
      <c r="W428" s="85"/>
      <c r="X428" s="85"/>
      <c r="Y428" s="85"/>
      <c r="AB428" s="85"/>
      <c r="AC428" s="85"/>
      <c r="AD428" s="85"/>
      <c r="AG428" s="85"/>
      <c r="AH428" s="85"/>
      <c r="AI428" s="85"/>
    </row>
    <row r="429" spans="18:35" x14ac:dyDescent="0.2">
      <c r="R429" s="85"/>
      <c r="S429" s="85"/>
      <c r="T429" s="85"/>
      <c r="W429" s="85"/>
      <c r="X429" s="85"/>
      <c r="Y429" s="85"/>
      <c r="AB429" s="85"/>
      <c r="AC429" s="85"/>
      <c r="AD429" s="85"/>
      <c r="AG429" s="85"/>
      <c r="AH429" s="85"/>
      <c r="AI429" s="85"/>
    </row>
    <row r="430" spans="18:35" x14ac:dyDescent="0.2">
      <c r="R430" s="85"/>
      <c r="S430" s="85"/>
      <c r="T430" s="85"/>
      <c r="W430" s="85"/>
      <c r="X430" s="85"/>
      <c r="Y430" s="85"/>
      <c r="AB430" s="85"/>
      <c r="AC430" s="85"/>
      <c r="AD430" s="85"/>
      <c r="AG430" s="85"/>
      <c r="AH430" s="85"/>
      <c r="AI430" s="85"/>
    </row>
    <row r="431" spans="18:35" x14ac:dyDescent="0.2">
      <c r="R431" s="85"/>
      <c r="S431" s="85"/>
      <c r="T431" s="85"/>
      <c r="W431" s="85"/>
      <c r="X431" s="85"/>
      <c r="Y431" s="85"/>
      <c r="AB431" s="85"/>
      <c r="AC431" s="85"/>
      <c r="AD431" s="85"/>
      <c r="AG431" s="85"/>
      <c r="AH431" s="85"/>
      <c r="AI431" s="85"/>
    </row>
    <row r="432" spans="18:35" x14ac:dyDescent="0.2">
      <c r="R432" s="85"/>
      <c r="S432" s="85"/>
      <c r="T432" s="85"/>
      <c r="W432" s="85"/>
      <c r="X432" s="85"/>
      <c r="Y432" s="85"/>
      <c r="AB432" s="85"/>
      <c r="AC432" s="85"/>
      <c r="AD432" s="85"/>
      <c r="AG432" s="85"/>
      <c r="AH432" s="85"/>
      <c r="AI432" s="85"/>
    </row>
    <row r="433" spans="18:35" x14ac:dyDescent="0.2">
      <c r="R433" s="85"/>
      <c r="S433" s="85"/>
      <c r="T433" s="85"/>
      <c r="W433" s="85"/>
      <c r="X433" s="85"/>
      <c r="Y433" s="85"/>
      <c r="AB433" s="85"/>
      <c r="AC433" s="85"/>
      <c r="AD433" s="85"/>
      <c r="AG433" s="85"/>
      <c r="AH433" s="85"/>
      <c r="AI433" s="85"/>
    </row>
    <row r="434" spans="18:35" x14ac:dyDescent="0.2">
      <c r="R434" s="85"/>
      <c r="S434" s="85"/>
      <c r="T434" s="85"/>
      <c r="W434" s="85"/>
      <c r="X434" s="85"/>
      <c r="Y434" s="85"/>
      <c r="AB434" s="85"/>
      <c r="AC434" s="85"/>
      <c r="AD434" s="85"/>
      <c r="AG434" s="85"/>
      <c r="AH434" s="85"/>
      <c r="AI434" s="85"/>
    </row>
    <row r="435" spans="18:35" x14ac:dyDescent="0.2">
      <c r="R435" s="85"/>
      <c r="S435" s="85"/>
      <c r="T435" s="85"/>
      <c r="W435" s="85"/>
      <c r="X435" s="85"/>
      <c r="Y435" s="85"/>
      <c r="AB435" s="85"/>
      <c r="AC435" s="85"/>
      <c r="AD435" s="85"/>
      <c r="AG435" s="85"/>
      <c r="AH435" s="85"/>
      <c r="AI435" s="85"/>
    </row>
    <row r="436" spans="18:35" x14ac:dyDescent="0.2">
      <c r="R436" s="85"/>
      <c r="S436" s="85"/>
      <c r="T436" s="85"/>
      <c r="W436" s="85"/>
      <c r="X436" s="85"/>
      <c r="Y436" s="85"/>
      <c r="AB436" s="85"/>
      <c r="AC436" s="85"/>
      <c r="AD436" s="85"/>
      <c r="AG436" s="85"/>
      <c r="AH436" s="85"/>
      <c r="AI436" s="85"/>
    </row>
    <row r="437" spans="18:35" x14ac:dyDescent="0.2">
      <c r="R437" s="85"/>
      <c r="S437" s="85"/>
      <c r="T437" s="85"/>
      <c r="W437" s="85"/>
      <c r="X437" s="85"/>
      <c r="Y437" s="85"/>
      <c r="AB437" s="85"/>
      <c r="AC437" s="85"/>
      <c r="AD437" s="85"/>
      <c r="AG437" s="85"/>
      <c r="AH437" s="85"/>
      <c r="AI437" s="85"/>
    </row>
    <row r="438" spans="18:35" x14ac:dyDescent="0.2">
      <c r="R438" s="85"/>
      <c r="S438" s="85"/>
      <c r="T438" s="85"/>
      <c r="W438" s="85"/>
      <c r="X438" s="85"/>
      <c r="Y438" s="85"/>
      <c r="AB438" s="85"/>
      <c r="AC438" s="85"/>
      <c r="AD438" s="85"/>
      <c r="AG438" s="85"/>
      <c r="AH438" s="85"/>
      <c r="AI438" s="85"/>
    </row>
    <row r="439" spans="18:35" x14ac:dyDescent="0.2">
      <c r="R439" s="85"/>
      <c r="S439" s="85"/>
      <c r="T439" s="85"/>
      <c r="W439" s="85"/>
      <c r="X439" s="85"/>
      <c r="Y439" s="85"/>
      <c r="AB439" s="85"/>
      <c r="AC439" s="85"/>
      <c r="AD439" s="85"/>
      <c r="AG439" s="85"/>
      <c r="AH439" s="85"/>
      <c r="AI439" s="85"/>
    </row>
    <row r="440" spans="18:35" x14ac:dyDescent="0.2">
      <c r="R440" s="85"/>
      <c r="S440" s="85"/>
      <c r="T440" s="85"/>
      <c r="W440" s="85"/>
      <c r="X440" s="85"/>
      <c r="Y440" s="85"/>
      <c r="AB440" s="85"/>
      <c r="AC440" s="85"/>
      <c r="AD440" s="85"/>
      <c r="AG440" s="85"/>
      <c r="AH440" s="85"/>
      <c r="AI440" s="85"/>
    </row>
    <row r="441" spans="18:35" x14ac:dyDescent="0.2">
      <c r="R441" s="85"/>
      <c r="S441" s="85"/>
      <c r="T441" s="85"/>
      <c r="W441" s="85"/>
      <c r="X441" s="85"/>
      <c r="Y441" s="85"/>
      <c r="AB441" s="85"/>
      <c r="AC441" s="85"/>
      <c r="AD441" s="85"/>
      <c r="AG441" s="85"/>
      <c r="AH441" s="85"/>
      <c r="AI441" s="85"/>
    </row>
    <row r="442" spans="18:35" x14ac:dyDescent="0.2">
      <c r="R442" s="85"/>
      <c r="S442" s="85"/>
      <c r="T442" s="85"/>
      <c r="W442" s="85"/>
      <c r="X442" s="85"/>
      <c r="Y442" s="85"/>
      <c r="AB442" s="85"/>
      <c r="AC442" s="85"/>
      <c r="AD442" s="85"/>
      <c r="AG442" s="85"/>
      <c r="AH442" s="85"/>
      <c r="AI442" s="85"/>
    </row>
    <row r="443" spans="18:35" x14ac:dyDescent="0.2">
      <c r="R443" s="85"/>
      <c r="S443" s="85"/>
      <c r="T443" s="85"/>
      <c r="W443" s="85"/>
      <c r="X443" s="85"/>
      <c r="Y443" s="85"/>
      <c r="AB443" s="85"/>
      <c r="AC443" s="85"/>
      <c r="AD443" s="85"/>
      <c r="AG443" s="85"/>
      <c r="AH443" s="85"/>
      <c r="AI443" s="85"/>
    </row>
    <row r="444" spans="18:35" x14ac:dyDescent="0.2">
      <c r="R444" s="85"/>
      <c r="S444" s="85"/>
      <c r="T444" s="85"/>
      <c r="W444" s="85"/>
      <c r="X444" s="85"/>
      <c r="Y444" s="85"/>
      <c r="AB444" s="85"/>
      <c r="AC444" s="85"/>
      <c r="AD444" s="85"/>
      <c r="AG444" s="85"/>
      <c r="AH444" s="85"/>
      <c r="AI444" s="85"/>
    </row>
    <row r="445" spans="18:35" x14ac:dyDescent="0.2">
      <c r="R445" s="85"/>
      <c r="S445" s="85"/>
      <c r="T445" s="85"/>
      <c r="W445" s="85"/>
      <c r="X445" s="85"/>
      <c r="Y445" s="85"/>
      <c r="AB445" s="85"/>
      <c r="AC445" s="85"/>
      <c r="AD445" s="85"/>
      <c r="AG445" s="85"/>
      <c r="AH445" s="85"/>
      <c r="AI445" s="85"/>
    </row>
    <row r="446" spans="18:35" x14ac:dyDescent="0.2">
      <c r="R446" s="85"/>
      <c r="S446" s="85"/>
      <c r="T446" s="85"/>
      <c r="W446" s="85"/>
      <c r="X446" s="85"/>
      <c r="Y446" s="85"/>
      <c r="AB446" s="85"/>
      <c r="AC446" s="85"/>
      <c r="AD446" s="85"/>
      <c r="AG446" s="85"/>
      <c r="AH446" s="85"/>
      <c r="AI446" s="85"/>
    </row>
    <row r="447" spans="18:35" x14ac:dyDescent="0.2">
      <c r="R447" s="85"/>
      <c r="S447" s="85"/>
      <c r="T447" s="85"/>
      <c r="W447" s="85"/>
      <c r="X447" s="85"/>
      <c r="Y447" s="85"/>
      <c r="AB447" s="85"/>
      <c r="AC447" s="85"/>
      <c r="AD447" s="85"/>
      <c r="AG447" s="85"/>
      <c r="AH447" s="85"/>
      <c r="AI447" s="85"/>
    </row>
    <row r="448" spans="18:35" x14ac:dyDescent="0.2">
      <c r="R448" s="85"/>
      <c r="S448" s="85"/>
      <c r="T448" s="85"/>
      <c r="W448" s="85"/>
      <c r="X448" s="85"/>
      <c r="Y448" s="85"/>
      <c r="AB448" s="85"/>
      <c r="AC448" s="85"/>
      <c r="AD448" s="85"/>
      <c r="AG448" s="85"/>
      <c r="AH448" s="85"/>
      <c r="AI448" s="85"/>
    </row>
    <row r="449" spans="18:35" x14ac:dyDescent="0.2">
      <c r="R449" s="85"/>
      <c r="S449" s="85"/>
      <c r="T449" s="85"/>
      <c r="W449" s="85"/>
      <c r="X449" s="85"/>
      <c r="Y449" s="85"/>
      <c r="AB449" s="85"/>
      <c r="AC449" s="85"/>
      <c r="AD449" s="85"/>
      <c r="AG449" s="85"/>
      <c r="AH449" s="85"/>
      <c r="AI449" s="85"/>
    </row>
    <row r="450" spans="18:35" x14ac:dyDescent="0.2">
      <c r="R450" s="85"/>
      <c r="S450" s="85"/>
      <c r="T450" s="85"/>
      <c r="W450" s="85"/>
      <c r="X450" s="85"/>
      <c r="Y450" s="85"/>
      <c r="AB450" s="85"/>
      <c r="AC450" s="85"/>
      <c r="AD450" s="85"/>
      <c r="AG450" s="85"/>
      <c r="AH450" s="85"/>
      <c r="AI450" s="85"/>
    </row>
    <row r="451" spans="18:35" x14ac:dyDescent="0.2">
      <c r="R451" s="85"/>
      <c r="S451" s="85"/>
      <c r="T451" s="85"/>
      <c r="W451" s="85"/>
      <c r="X451" s="85"/>
      <c r="Y451" s="85"/>
      <c r="AB451" s="85"/>
      <c r="AC451" s="85"/>
      <c r="AD451" s="85"/>
      <c r="AG451" s="85"/>
      <c r="AH451" s="85"/>
      <c r="AI451" s="85"/>
    </row>
    <row r="452" spans="18:35" x14ac:dyDescent="0.2">
      <c r="R452" s="85"/>
      <c r="S452" s="85"/>
      <c r="T452" s="85"/>
      <c r="W452" s="85"/>
      <c r="X452" s="85"/>
      <c r="Y452" s="85"/>
      <c r="AB452" s="85"/>
      <c r="AC452" s="85"/>
      <c r="AD452" s="85"/>
      <c r="AG452" s="85"/>
      <c r="AH452" s="85"/>
      <c r="AI452" s="85"/>
    </row>
    <row r="453" spans="18:35" x14ac:dyDescent="0.2">
      <c r="R453" s="85"/>
      <c r="S453" s="85"/>
      <c r="T453" s="85"/>
      <c r="W453" s="85"/>
      <c r="X453" s="85"/>
      <c r="Y453" s="85"/>
      <c r="AB453" s="85"/>
      <c r="AC453" s="85"/>
      <c r="AD453" s="85"/>
      <c r="AG453" s="85"/>
      <c r="AH453" s="85"/>
      <c r="AI453" s="85"/>
    </row>
    <row r="454" spans="18:35" x14ac:dyDescent="0.2">
      <c r="R454" s="85"/>
      <c r="S454" s="85"/>
      <c r="T454" s="85"/>
      <c r="W454" s="85"/>
      <c r="X454" s="85"/>
      <c r="Y454" s="85"/>
      <c r="AB454" s="85"/>
      <c r="AC454" s="85"/>
      <c r="AD454" s="85"/>
      <c r="AG454" s="85"/>
      <c r="AH454" s="85"/>
      <c r="AI454" s="85"/>
    </row>
    <row r="455" spans="18:35" x14ac:dyDescent="0.2">
      <c r="R455" s="85"/>
      <c r="S455" s="85"/>
      <c r="T455" s="85"/>
      <c r="W455" s="85"/>
      <c r="X455" s="85"/>
      <c r="Y455" s="85"/>
      <c r="AB455" s="85"/>
      <c r="AC455" s="85"/>
      <c r="AD455" s="85"/>
      <c r="AG455" s="85"/>
      <c r="AH455" s="85"/>
      <c r="AI455" s="85"/>
    </row>
    <row r="456" spans="18:35" x14ac:dyDescent="0.2">
      <c r="R456" s="85"/>
      <c r="S456" s="85"/>
      <c r="T456" s="85"/>
      <c r="W456" s="85"/>
      <c r="X456" s="85"/>
      <c r="Y456" s="85"/>
      <c r="AB456" s="85"/>
      <c r="AC456" s="85"/>
      <c r="AD456" s="85"/>
      <c r="AG456" s="85"/>
      <c r="AH456" s="85"/>
      <c r="AI456" s="85"/>
    </row>
    <row r="457" spans="18:35" x14ac:dyDescent="0.2">
      <c r="R457" s="85"/>
      <c r="S457" s="85"/>
      <c r="T457" s="85"/>
      <c r="W457" s="85"/>
      <c r="X457" s="85"/>
      <c r="Y457" s="85"/>
      <c r="AB457" s="85"/>
      <c r="AC457" s="85"/>
      <c r="AD457" s="85"/>
      <c r="AG457" s="85"/>
      <c r="AH457" s="85"/>
      <c r="AI457" s="85"/>
    </row>
    <row r="458" spans="18:35" x14ac:dyDescent="0.2">
      <c r="R458" s="85"/>
      <c r="S458" s="85"/>
      <c r="T458" s="85"/>
      <c r="W458" s="85"/>
      <c r="X458" s="85"/>
      <c r="Y458" s="85"/>
      <c r="AB458" s="85"/>
      <c r="AC458" s="85"/>
      <c r="AD458" s="85"/>
      <c r="AG458" s="85"/>
      <c r="AH458" s="85"/>
      <c r="AI458" s="85"/>
    </row>
    <row r="459" spans="18:35" x14ac:dyDescent="0.2">
      <c r="AG459" s="85"/>
      <c r="AH459" s="85"/>
      <c r="AI459" s="85"/>
    </row>
  </sheetData>
  <sheetProtection algorithmName="SHA-512" hashValue="dBywY4BO1U/klAmHKvw0V3Fmu4EQkT1PdqJSxtx6GtIek2jVRIsIWrcI5o/cjYxILAol14sq7PTfna6KbO2EHw==" saltValue="HAXvKz3tzxG7XY6Co8jV7w==" spinCount="100000" sheet="1" objects="1" scenarios="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390525</xdr:colOff>
                    <xdr:row>74</xdr:row>
                    <xdr:rowOff>9525</xdr:rowOff>
                  </from>
                  <to>
                    <xdr:col>3</xdr:col>
                    <xdr:colOff>9525</xdr:colOff>
                    <xdr:row>77</xdr:row>
                    <xdr:rowOff>19050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1695450</xdr:colOff>
                    <xdr:row>0</xdr:row>
                    <xdr:rowOff>447675</xdr:rowOff>
                  </from>
                  <to>
                    <xdr:col>16</xdr:col>
                    <xdr:colOff>2076450</xdr:colOff>
                    <xdr:row>1</xdr:row>
                    <xdr:rowOff>28575</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390525</xdr:colOff>
                    <xdr:row>74</xdr:row>
                    <xdr:rowOff>9525</xdr:rowOff>
                  </from>
                  <to>
                    <xdr:col>3</xdr:col>
                    <xdr:colOff>9525</xdr:colOff>
                    <xdr:row>77</xdr:row>
                    <xdr:rowOff>19050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161925</xdr:rowOff>
                  </from>
                  <to>
                    <xdr:col>5</xdr:col>
                    <xdr:colOff>180975</xdr:colOff>
                    <xdr:row>61</xdr:row>
                    <xdr:rowOff>9525</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180975</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180975</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180975</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180975</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9525</xdr:colOff>
                    <xdr:row>23</xdr:row>
                    <xdr:rowOff>0</xdr:rowOff>
                  </from>
                  <to>
                    <xdr:col>1</xdr:col>
                    <xdr:colOff>523875</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171450</xdr:rowOff>
                  </from>
                  <to>
                    <xdr:col>6</xdr:col>
                    <xdr:colOff>0</xdr:colOff>
                    <xdr:row>4</xdr:row>
                    <xdr:rowOff>238125</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19050</xdr:colOff>
                    <xdr:row>106</xdr:row>
                    <xdr:rowOff>0</xdr:rowOff>
                  </from>
                  <to>
                    <xdr:col>2</xdr:col>
                    <xdr:colOff>200025</xdr:colOff>
                    <xdr:row>107</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35" zoomScale="115" zoomScaleNormal="115" workbookViewId="0">
      <selection activeCell="A36" sqref="A36"/>
    </sheetView>
  </sheetViews>
  <sheetFormatPr defaultRowHeight="12.75" x14ac:dyDescent="0.2"/>
  <cols>
    <col min="1" max="1" width="8.7109375" style="310" bestFit="1" customWidth="1"/>
    <col min="2" max="2" width="14.85546875" style="310" customWidth="1"/>
    <col min="3" max="3" width="16.140625" style="310" bestFit="1" customWidth="1"/>
    <col min="4" max="4" width="20.140625" style="310" customWidth="1"/>
    <col min="5" max="5" width="17.28515625" style="310" customWidth="1"/>
    <col min="6" max="6" width="20.5703125" style="310" bestFit="1" customWidth="1"/>
    <col min="7" max="7" width="9.7109375" style="310" customWidth="1"/>
    <col min="8" max="8" width="16.140625" style="310" customWidth="1"/>
    <col min="9" max="9" width="18.7109375" style="310" customWidth="1"/>
    <col min="10" max="10" width="12.7109375" style="310" customWidth="1"/>
    <col min="11" max="11" width="17.140625" style="310" customWidth="1"/>
    <col min="12" max="12" width="13.85546875" style="310" customWidth="1"/>
    <col min="13" max="13" width="9.140625" style="311"/>
    <col min="14" max="16" width="9.140625" style="310"/>
    <col min="17" max="17" width="4.85546875" style="310" customWidth="1"/>
    <col min="18" max="256" width="9.140625" style="310"/>
    <col min="257" max="257" width="8.7109375" style="310" bestFit="1" customWidth="1"/>
    <col min="258" max="258" width="13.28515625" style="310" customWidth="1"/>
    <col min="259" max="259" width="16.140625" style="310" bestFit="1" customWidth="1"/>
    <col min="260" max="260" width="23.5703125" style="310" customWidth="1"/>
    <col min="261" max="261" width="17.28515625" style="310" customWidth="1"/>
    <col min="262" max="262" width="20.5703125" style="310" bestFit="1" customWidth="1"/>
    <col min="263" max="263" width="17.140625" style="310" customWidth="1"/>
    <col min="264" max="264" width="21.85546875" style="310" bestFit="1" customWidth="1"/>
    <col min="265" max="265" width="17.140625" style="310" bestFit="1" customWidth="1"/>
    <col min="266" max="266" width="18.140625" style="310" bestFit="1" customWidth="1"/>
    <col min="267" max="267" width="26.42578125" style="310" customWidth="1"/>
    <col min="268" max="512" width="9.140625" style="310"/>
    <col min="513" max="513" width="8.7109375" style="310" bestFit="1" customWidth="1"/>
    <col min="514" max="514" width="13.28515625" style="310" customWidth="1"/>
    <col min="515" max="515" width="16.140625" style="310" bestFit="1" customWidth="1"/>
    <col min="516" max="516" width="23.5703125" style="310" customWidth="1"/>
    <col min="517" max="517" width="17.28515625" style="310" customWidth="1"/>
    <col min="518" max="518" width="20.5703125" style="310" bestFit="1" customWidth="1"/>
    <col min="519" max="519" width="17.140625" style="310" customWidth="1"/>
    <col min="520" max="520" width="21.85546875" style="310" bestFit="1" customWidth="1"/>
    <col min="521" max="521" width="17.140625" style="310" bestFit="1" customWidth="1"/>
    <col min="522" max="522" width="18.140625" style="310" bestFit="1" customWidth="1"/>
    <col min="523" max="523" width="26.42578125" style="310" customWidth="1"/>
    <col min="524" max="768" width="9.140625" style="310"/>
    <col min="769" max="769" width="8.7109375" style="310" bestFit="1" customWidth="1"/>
    <col min="770" max="770" width="13.28515625" style="310" customWidth="1"/>
    <col min="771" max="771" width="16.140625" style="310" bestFit="1" customWidth="1"/>
    <col min="772" max="772" width="23.5703125" style="310" customWidth="1"/>
    <col min="773" max="773" width="17.28515625" style="310" customWidth="1"/>
    <col min="774" max="774" width="20.5703125" style="310" bestFit="1" customWidth="1"/>
    <col min="775" max="775" width="17.140625" style="310" customWidth="1"/>
    <col min="776" max="776" width="21.85546875" style="310" bestFit="1" customWidth="1"/>
    <col min="777" max="777" width="17.140625" style="310" bestFit="1" customWidth="1"/>
    <col min="778" max="778" width="18.140625" style="310" bestFit="1" customWidth="1"/>
    <col min="779" max="779" width="26.42578125" style="310" customWidth="1"/>
    <col min="780" max="1024" width="9.140625" style="310"/>
    <col min="1025" max="1025" width="8.7109375" style="310" bestFit="1" customWidth="1"/>
    <col min="1026" max="1026" width="13.28515625" style="310" customWidth="1"/>
    <col min="1027" max="1027" width="16.140625" style="310" bestFit="1" customWidth="1"/>
    <col min="1028" max="1028" width="23.5703125" style="310" customWidth="1"/>
    <col min="1029" max="1029" width="17.28515625" style="310" customWidth="1"/>
    <col min="1030" max="1030" width="20.5703125" style="310" bestFit="1" customWidth="1"/>
    <col min="1031" max="1031" width="17.140625" style="310" customWidth="1"/>
    <col min="1032" max="1032" width="21.85546875" style="310" bestFit="1" customWidth="1"/>
    <col min="1033" max="1033" width="17.140625" style="310" bestFit="1" customWidth="1"/>
    <col min="1034" max="1034" width="18.140625" style="310" bestFit="1" customWidth="1"/>
    <col min="1035" max="1035" width="26.42578125" style="310" customWidth="1"/>
    <col min="1036" max="1280" width="9.140625" style="310"/>
    <col min="1281" max="1281" width="8.7109375" style="310" bestFit="1" customWidth="1"/>
    <col min="1282" max="1282" width="13.28515625" style="310" customWidth="1"/>
    <col min="1283" max="1283" width="16.140625" style="310" bestFit="1" customWidth="1"/>
    <col min="1284" max="1284" width="23.5703125" style="310" customWidth="1"/>
    <col min="1285" max="1285" width="17.28515625" style="310" customWidth="1"/>
    <col min="1286" max="1286" width="20.5703125" style="310" bestFit="1" customWidth="1"/>
    <col min="1287" max="1287" width="17.140625" style="310" customWidth="1"/>
    <col min="1288" max="1288" width="21.85546875" style="310" bestFit="1" customWidth="1"/>
    <col min="1289" max="1289" width="17.140625" style="310" bestFit="1" customWidth="1"/>
    <col min="1290" max="1290" width="18.140625" style="310" bestFit="1" customWidth="1"/>
    <col min="1291" max="1291" width="26.42578125" style="310" customWidth="1"/>
    <col min="1292" max="1536" width="9.140625" style="310"/>
    <col min="1537" max="1537" width="8.7109375" style="310" bestFit="1" customWidth="1"/>
    <col min="1538" max="1538" width="13.28515625" style="310" customWidth="1"/>
    <col min="1539" max="1539" width="16.140625" style="310" bestFit="1" customWidth="1"/>
    <col min="1540" max="1540" width="23.5703125" style="310" customWidth="1"/>
    <col min="1541" max="1541" width="17.28515625" style="310" customWidth="1"/>
    <col min="1542" max="1542" width="20.5703125" style="310" bestFit="1" customWidth="1"/>
    <col min="1543" max="1543" width="17.140625" style="310" customWidth="1"/>
    <col min="1544" max="1544" width="21.85546875" style="310" bestFit="1" customWidth="1"/>
    <col min="1545" max="1545" width="17.140625" style="310" bestFit="1" customWidth="1"/>
    <col min="1546" max="1546" width="18.140625" style="310" bestFit="1" customWidth="1"/>
    <col min="1547" max="1547" width="26.42578125" style="310" customWidth="1"/>
    <col min="1548" max="1792" width="9.140625" style="310"/>
    <col min="1793" max="1793" width="8.7109375" style="310" bestFit="1" customWidth="1"/>
    <col min="1794" max="1794" width="13.28515625" style="310" customWidth="1"/>
    <col min="1795" max="1795" width="16.140625" style="310" bestFit="1" customWidth="1"/>
    <col min="1796" max="1796" width="23.5703125" style="310" customWidth="1"/>
    <col min="1797" max="1797" width="17.28515625" style="310" customWidth="1"/>
    <col min="1798" max="1798" width="20.5703125" style="310" bestFit="1" customWidth="1"/>
    <col min="1799" max="1799" width="17.140625" style="310" customWidth="1"/>
    <col min="1800" max="1800" width="21.85546875" style="310" bestFit="1" customWidth="1"/>
    <col min="1801" max="1801" width="17.140625" style="310" bestFit="1" customWidth="1"/>
    <col min="1802" max="1802" width="18.140625" style="310" bestFit="1" customWidth="1"/>
    <col min="1803" max="1803" width="26.42578125" style="310" customWidth="1"/>
    <col min="1804" max="2048" width="9.140625" style="310"/>
    <col min="2049" max="2049" width="8.7109375" style="310" bestFit="1" customWidth="1"/>
    <col min="2050" max="2050" width="13.28515625" style="310" customWidth="1"/>
    <col min="2051" max="2051" width="16.140625" style="310" bestFit="1" customWidth="1"/>
    <col min="2052" max="2052" width="23.5703125" style="310" customWidth="1"/>
    <col min="2053" max="2053" width="17.28515625" style="310" customWidth="1"/>
    <col min="2054" max="2054" width="20.5703125" style="310" bestFit="1" customWidth="1"/>
    <col min="2055" max="2055" width="17.140625" style="310" customWidth="1"/>
    <col min="2056" max="2056" width="21.85546875" style="310" bestFit="1" customWidth="1"/>
    <col min="2057" max="2057" width="17.140625" style="310" bestFit="1" customWidth="1"/>
    <col min="2058" max="2058" width="18.140625" style="310" bestFit="1" customWidth="1"/>
    <col min="2059" max="2059" width="26.42578125" style="310" customWidth="1"/>
    <col min="2060" max="2304" width="9.140625" style="310"/>
    <col min="2305" max="2305" width="8.7109375" style="310" bestFit="1" customWidth="1"/>
    <col min="2306" max="2306" width="13.28515625" style="310" customWidth="1"/>
    <col min="2307" max="2307" width="16.140625" style="310" bestFit="1" customWidth="1"/>
    <col min="2308" max="2308" width="23.5703125" style="310" customWidth="1"/>
    <col min="2309" max="2309" width="17.28515625" style="310" customWidth="1"/>
    <col min="2310" max="2310" width="20.5703125" style="310" bestFit="1" customWidth="1"/>
    <col min="2311" max="2311" width="17.140625" style="310" customWidth="1"/>
    <col min="2312" max="2312" width="21.85546875" style="310" bestFit="1" customWidth="1"/>
    <col min="2313" max="2313" width="17.140625" style="310" bestFit="1" customWidth="1"/>
    <col min="2314" max="2314" width="18.140625" style="310" bestFit="1" customWidth="1"/>
    <col min="2315" max="2315" width="26.42578125" style="310" customWidth="1"/>
    <col min="2316" max="2560" width="9.140625" style="310"/>
    <col min="2561" max="2561" width="8.7109375" style="310" bestFit="1" customWidth="1"/>
    <col min="2562" max="2562" width="13.28515625" style="310" customWidth="1"/>
    <col min="2563" max="2563" width="16.140625" style="310" bestFit="1" customWidth="1"/>
    <col min="2564" max="2564" width="23.5703125" style="310" customWidth="1"/>
    <col min="2565" max="2565" width="17.28515625" style="310" customWidth="1"/>
    <col min="2566" max="2566" width="20.5703125" style="310" bestFit="1" customWidth="1"/>
    <col min="2567" max="2567" width="17.140625" style="310" customWidth="1"/>
    <col min="2568" max="2568" width="21.85546875" style="310" bestFit="1" customWidth="1"/>
    <col min="2569" max="2569" width="17.140625" style="310" bestFit="1" customWidth="1"/>
    <col min="2570" max="2570" width="18.140625" style="310" bestFit="1" customWidth="1"/>
    <col min="2571" max="2571" width="26.42578125" style="310" customWidth="1"/>
    <col min="2572" max="2816" width="9.140625" style="310"/>
    <col min="2817" max="2817" width="8.7109375" style="310" bestFit="1" customWidth="1"/>
    <col min="2818" max="2818" width="13.28515625" style="310" customWidth="1"/>
    <col min="2819" max="2819" width="16.140625" style="310" bestFit="1" customWidth="1"/>
    <col min="2820" max="2820" width="23.5703125" style="310" customWidth="1"/>
    <col min="2821" max="2821" width="17.28515625" style="310" customWidth="1"/>
    <col min="2822" max="2822" width="20.5703125" style="310" bestFit="1" customWidth="1"/>
    <col min="2823" max="2823" width="17.140625" style="310" customWidth="1"/>
    <col min="2824" max="2824" width="21.85546875" style="310" bestFit="1" customWidth="1"/>
    <col min="2825" max="2825" width="17.140625" style="310" bestFit="1" customWidth="1"/>
    <col min="2826" max="2826" width="18.140625" style="310" bestFit="1" customWidth="1"/>
    <col min="2827" max="2827" width="26.42578125" style="310" customWidth="1"/>
    <col min="2828" max="3072" width="9.140625" style="310"/>
    <col min="3073" max="3073" width="8.7109375" style="310" bestFit="1" customWidth="1"/>
    <col min="3074" max="3074" width="13.28515625" style="310" customWidth="1"/>
    <col min="3075" max="3075" width="16.140625" style="310" bestFit="1" customWidth="1"/>
    <col min="3076" max="3076" width="23.5703125" style="310" customWidth="1"/>
    <col min="3077" max="3077" width="17.28515625" style="310" customWidth="1"/>
    <col min="3078" max="3078" width="20.5703125" style="310" bestFit="1" customWidth="1"/>
    <col min="3079" max="3079" width="17.140625" style="310" customWidth="1"/>
    <col min="3080" max="3080" width="21.85546875" style="310" bestFit="1" customWidth="1"/>
    <col min="3081" max="3081" width="17.140625" style="310" bestFit="1" customWidth="1"/>
    <col min="3082" max="3082" width="18.140625" style="310" bestFit="1" customWidth="1"/>
    <col min="3083" max="3083" width="26.42578125" style="310" customWidth="1"/>
    <col min="3084" max="3328" width="9.140625" style="310"/>
    <col min="3329" max="3329" width="8.7109375" style="310" bestFit="1" customWidth="1"/>
    <col min="3330" max="3330" width="13.28515625" style="310" customWidth="1"/>
    <col min="3331" max="3331" width="16.140625" style="310" bestFit="1" customWidth="1"/>
    <col min="3332" max="3332" width="23.5703125" style="310" customWidth="1"/>
    <col min="3333" max="3333" width="17.28515625" style="310" customWidth="1"/>
    <col min="3334" max="3334" width="20.5703125" style="310" bestFit="1" customWidth="1"/>
    <col min="3335" max="3335" width="17.140625" style="310" customWidth="1"/>
    <col min="3336" max="3336" width="21.85546875" style="310" bestFit="1" customWidth="1"/>
    <col min="3337" max="3337" width="17.140625" style="310" bestFit="1" customWidth="1"/>
    <col min="3338" max="3338" width="18.140625" style="310" bestFit="1" customWidth="1"/>
    <col min="3339" max="3339" width="26.42578125" style="310" customWidth="1"/>
    <col min="3340" max="3584" width="9.140625" style="310"/>
    <col min="3585" max="3585" width="8.7109375" style="310" bestFit="1" customWidth="1"/>
    <col min="3586" max="3586" width="13.28515625" style="310" customWidth="1"/>
    <col min="3587" max="3587" width="16.140625" style="310" bestFit="1" customWidth="1"/>
    <col min="3588" max="3588" width="23.5703125" style="310" customWidth="1"/>
    <col min="3589" max="3589" width="17.28515625" style="310" customWidth="1"/>
    <col min="3590" max="3590" width="20.5703125" style="310" bestFit="1" customWidth="1"/>
    <col min="3591" max="3591" width="17.140625" style="310" customWidth="1"/>
    <col min="3592" max="3592" width="21.85546875" style="310" bestFit="1" customWidth="1"/>
    <col min="3593" max="3593" width="17.140625" style="310" bestFit="1" customWidth="1"/>
    <col min="3594" max="3594" width="18.140625" style="310" bestFit="1" customWidth="1"/>
    <col min="3595" max="3595" width="26.42578125" style="310" customWidth="1"/>
    <col min="3596" max="3840" width="9.140625" style="310"/>
    <col min="3841" max="3841" width="8.7109375" style="310" bestFit="1" customWidth="1"/>
    <col min="3842" max="3842" width="13.28515625" style="310" customWidth="1"/>
    <col min="3843" max="3843" width="16.140625" style="310" bestFit="1" customWidth="1"/>
    <col min="3844" max="3844" width="23.5703125" style="310" customWidth="1"/>
    <col min="3845" max="3845" width="17.28515625" style="310" customWidth="1"/>
    <col min="3846" max="3846" width="20.5703125" style="310" bestFit="1" customWidth="1"/>
    <col min="3847" max="3847" width="17.140625" style="310" customWidth="1"/>
    <col min="3848" max="3848" width="21.85546875" style="310" bestFit="1" customWidth="1"/>
    <col min="3849" max="3849" width="17.140625" style="310" bestFit="1" customWidth="1"/>
    <col min="3850" max="3850" width="18.140625" style="310" bestFit="1" customWidth="1"/>
    <col min="3851" max="3851" width="26.42578125" style="310" customWidth="1"/>
    <col min="3852" max="4096" width="9.140625" style="310"/>
    <col min="4097" max="4097" width="8.7109375" style="310" bestFit="1" customWidth="1"/>
    <col min="4098" max="4098" width="13.28515625" style="310" customWidth="1"/>
    <col min="4099" max="4099" width="16.140625" style="310" bestFit="1" customWidth="1"/>
    <col min="4100" max="4100" width="23.5703125" style="310" customWidth="1"/>
    <col min="4101" max="4101" width="17.28515625" style="310" customWidth="1"/>
    <col min="4102" max="4102" width="20.5703125" style="310" bestFit="1" customWidth="1"/>
    <col min="4103" max="4103" width="17.140625" style="310" customWidth="1"/>
    <col min="4104" max="4104" width="21.85546875" style="310" bestFit="1" customWidth="1"/>
    <col min="4105" max="4105" width="17.140625" style="310" bestFit="1" customWidth="1"/>
    <col min="4106" max="4106" width="18.140625" style="310" bestFit="1" customWidth="1"/>
    <col min="4107" max="4107" width="26.42578125" style="310" customWidth="1"/>
    <col min="4108" max="4352" width="9.140625" style="310"/>
    <col min="4353" max="4353" width="8.7109375" style="310" bestFit="1" customWidth="1"/>
    <col min="4354" max="4354" width="13.28515625" style="310" customWidth="1"/>
    <col min="4355" max="4355" width="16.140625" style="310" bestFit="1" customWidth="1"/>
    <col min="4356" max="4356" width="23.5703125" style="310" customWidth="1"/>
    <col min="4357" max="4357" width="17.28515625" style="310" customWidth="1"/>
    <col min="4358" max="4358" width="20.5703125" style="310" bestFit="1" customWidth="1"/>
    <col min="4359" max="4359" width="17.140625" style="310" customWidth="1"/>
    <col min="4360" max="4360" width="21.85546875" style="310" bestFit="1" customWidth="1"/>
    <col min="4361" max="4361" width="17.140625" style="310" bestFit="1" customWidth="1"/>
    <col min="4362" max="4362" width="18.140625" style="310" bestFit="1" customWidth="1"/>
    <col min="4363" max="4363" width="26.42578125" style="310" customWidth="1"/>
    <col min="4364" max="4608" width="9.140625" style="310"/>
    <col min="4609" max="4609" width="8.7109375" style="310" bestFit="1" customWidth="1"/>
    <col min="4610" max="4610" width="13.28515625" style="310" customWidth="1"/>
    <col min="4611" max="4611" width="16.140625" style="310" bestFit="1" customWidth="1"/>
    <col min="4612" max="4612" width="23.5703125" style="310" customWidth="1"/>
    <col min="4613" max="4613" width="17.28515625" style="310" customWidth="1"/>
    <col min="4614" max="4614" width="20.5703125" style="310" bestFit="1" customWidth="1"/>
    <col min="4615" max="4615" width="17.140625" style="310" customWidth="1"/>
    <col min="4616" max="4616" width="21.85546875" style="310" bestFit="1" customWidth="1"/>
    <col min="4617" max="4617" width="17.140625" style="310" bestFit="1" customWidth="1"/>
    <col min="4618" max="4618" width="18.140625" style="310" bestFit="1" customWidth="1"/>
    <col min="4619" max="4619" width="26.42578125" style="310" customWidth="1"/>
    <col min="4620" max="4864" width="9.140625" style="310"/>
    <col min="4865" max="4865" width="8.7109375" style="310" bestFit="1" customWidth="1"/>
    <col min="4866" max="4866" width="13.28515625" style="310" customWidth="1"/>
    <col min="4867" max="4867" width="16.140625" style="310" bestFit="1" customWidth="1"/>
    <col min="4868" max="4868" width="23.5703125" style="310" customWidth="1"/>
    <col min="4869" max="4869" width="17.28515625" style="310" customWidth="1"/>
    <col min="4870" max="4870" width="20.5703125" style="310" bestFit="1" customWidth="1"/>
    <col min="4871" max="4871" width="17.140625" style="310" customWidth="1"/>
    <col min="4872" max="4872" width="21.85546875" style="310" bestFit="1" customWidth="1"/>
    <col min="4873" max="4873" width="17.140625" style="310" bestFit="1" customWidth="1"/>
    <col min="4874" max="4874" width="18.140625" style="310" bestFit="1" customWidth="1"/>
    <col min="4875" max="4875" width="26.42578125" style="310" customWidth="1"/>
    <col min="4876" max="5120" width="9.140625" style="310"/>
    <col min="5121" max="5121" width="8.7109375" style="310" bestFit="1" customWidth="1"/>
    <col min="5122" max="5122" width="13.28515625" style="310" customWidth="1"/>
    <col min="5123" max="5123" width="16.140625" style="310" bestFit="1" customWidth="1"/>
    <col min="5124" max="5124" width="23.5703125" style="310" customWidth="1"/>
    <col min="5125" max="5125" width="17.28515625" style="310" customWidth="1"/>
    <col min="5126" max="5126" width="20.5703125" style="310" bestFit="1" customWidth="1"/>
    <col min="5127" max="5127" width="17.140625" style="310" customWidth="1"/>
    <col min="5128" max="5128" width="21.85546875" style="310" bestFit="1" customWidth="1"/>
    <col min="5129" max="5129" width="17.140625" style="310" bestFit="1" customWidth="1"/>
    <col min="5130" max="5130" width="18.140625" style="310" bestFit="1" customWidth="1"/>
    <col min="5131" max="5131" width="26.42578125" style="310" customWidth="1"/>
    <col min="5132" max="5376" width="9.140625" style="310"/>
    <col min="5377" max="5377" width="8.7109375" style="310" bestFit="1" customWidth="1"/>
    <col min="5378" max="5378" width="13.28515625" style="310" customWidth="1"/>
    <col min="5379" max="5379" width="16.140625" style="310" bestFit="1" customWidth="1"/>
    <col min="5380" max="5380" width="23.5703125" style="310" customWidth="1"/>
    <col min="5381" max="5381" width="17.28515625" style="310" customWidth="1"/>
    <col min="5382" max="5382" width="20.5703125" style="310" bestFit="1" customWidth="1"/>
    <col min="5383" max="5383" width="17.140625" style="310" customWidth="1"/>
    <col min="5384" max="5384" width="21.85546875" style="310" bestFit="1" customWidth="1"/>
    <col min="5385" max="5385" width="17.140625" style="310" bestFit="1" customWidth="1"/>
    <col min="5386" max="5386" width="18.140625" style="310" bestFit="1" customWidth="1"/>
    <col min="5387" max="5387" width="26.42578125" style="310" customWidth="1"/>
    <col min="5388" max="5632" width="9.140625" style="310"/>
    <col min="5633" max="5633" width="8.7109375" style="310" bestFit="1" customWidth="1"/>
    <col min="5634" max="5634" width="13.28515625" style="310" customWidth="1"/>
    <col min="5635" max="5635" width="16.140625" style="310" bestFit="1" customWidth="1"/>
    <col min="5636" max="5636" width="23.5703125" style="310" customWidth="1"/>
    <col min="5637" max="5637" width="17.28515625" style="310" customWidth="1"/>
    <col min="5638" max="5638" width="20.5703125" style="310" bestFit="1" customWidth="1"/>
    <col min="5639" max="5639" width="17.140625" style="310" customWidth="1"/>
    <col min="5640" max="5640" width="21.85546875" style="310" bestFit="1" customWidth="1"/>
    <col min="5641" max="5641" width="17.140625" style="310" bestFit="1" customWidth="1"/>
    <col min="5642" max="5642" width="18.140625" style="310" bestFit="1" customWidth="1"/>
    <col min="5643" max="5643" width="26.42578125" style="310" customWidth="1"/>
    <col min="5644" max="5888" width="9.140625" style="310"/>
    <col min="5889" max="5889" width="8.7109375" style="310" bestFit="1" customWidth="1"/>
    <col min="5890" max="5890" width="13.28515625" style="310" customWidth="1"/>
    <col min="5891" max="5891" width="16.140625" style="310" bestFit="1" customWidth="1"/>
    <col min="5892" max="5892" width="23.5703125" style="310" customWidth="1"/>
    <col min="5893" max="5893" width="17.28515625" style="310" customWidth="1"/>
    <col min="5894" max="5894" width="20.5703125" style="310" bestFit="1" customWidth="1"/>
    <col min="5895" max="5895" width="17.140625" style="310" customWidth="1"/>
    <col min="5896" max="5896" width="21.85546875" style="310" bestFit="1" customWidth="1"/>
    <col min="5897" max="5897" width="17.140625" style="310" bestFit="1" customWidth="1"/>
    <col min="5898" max="5898" width="18.140625" style="310" bestFit="1" customWidth="1"/>
    <col min="5899" max="5899" width="26.42578125" style="310" customWidth="1"/>
    <col min="5900" max="6144" width="9.140625" style="310"/>
    <col min="6145" max="6145" width="8.7109375" style="310" bestFit="1" customWidth="1"/>
    <col min="6146" max="6146" width="13.28515625" style="310" customWidth="1"/>
    <col min="6147" max="6147" width="16.140625" style="310" bestFit="1" customWidth="1"/>
    <col min="6148" max="6148" width="23.5703125" style="310" customWidth="1"/>
    <col min="6149" max="6149" width="17.28515625" style="310" customWidth="1"/>
    <col min="6150" max="6150" width="20.5703125" style="310" bestFit="1" customWidth="1"/>
    <col min="6151" max="6151" width="17.140625" style="310" customWidth="1"/>
    <col min="6152" max="6152" width="21.85546875" style="310" bestFit="1" customWidth="1"/>
    <col min="6153" max="6153" width="17.140625" style="310" bestFit="1" customWidth="1"/>
    <col min="6154" max="6154" width="18.140625" style="310" bestFit="1" customWidth="1"/>
    <col min="6155" max="6155" width="26.42578125" style="310" customWidth="1"/>
    <col min="6156" max="6400" width="9.140625" style="310"/>
    <col min="6401" max="6401" width="8.7109375" style="310" bestFit="1" customWidth="1"/>
    <col min="6402" max="6402" width="13.28515625" style="310" customWidth="1"/>
    <col min="6403" max="6403" width="16.140625" style="310" bestFit="1" customWidth="1"/>
    <col min="6404" max="6404" width="23.5703125" style="310" customWidth="1"/>
    <col min="6405" max="6405" width="17.28515625" style="310" customWidth="1"/>
    <col min="6406" max="6406" width="20.5703125" style="310" bestFit="1" customWidth="1"/>
    <col min="6407" max="6407" width="17.140625" style="310" customWidth="1"/>
    <col min="6408" max="6408" width="21.85546875" style="310" bestFit="1" customWidth="1"/>
    <col min="6409" max="6409" width="17.140625" style="310" bestFit="1" customWidth="1"/>
    <col min="6410" max="6410" width="18.140625" style="310" bestFit="1" customWidth="1"/>
    <col min="6411" max="6411" width="26.42578125" style="310" customWidth="1"/>
    <col min="6412" max="6656" width="9.140625" style="310"/>
    <col min="6657" max="6657" width="8.7109375" style="310" bestFit="1" customWidth="1"/>
    <col min="6658" max="6658" width="13.28515625" style="310" customWidth="1"/>
    <col min="6659" max="6659" width="16.140625" style="310" bestFit="1" customWidth="1"/>
    <col min="6660" max="6660" width="23.5703125" style="310" customWidth="1"/>
    <col min="6661" max="6661" width="17.28515625" style="310" customWidth="1"/>
    <col min="6662" max="6662" width="20.5703125" style="310" bestFit="1" customWidth="1"/>
    <col min="6663" max="6663" width="17.140625" style="310" customWidth="1"/>
    <col min="6664" max="6664" width="21.85546875" style="310" bestFit="1" customWidth="1"/>
    <col min="6665" max="6665" width="17.140625" style="310" bestFit="1" customWidth="1"/>
    <col min="6666" max="6666" width="18.140625" style="310" bestFit="1" customWidth="1"/>
    <col min="6667" max="6667" width="26.42578125" style="310" customWidth="1"/>
    <col min="6668" max="6912" width="9.140625" style="310"/>
    <col min="6913" max="6913" width="8.7109375" style="310" bestFit="1" customWidth="1"/>
    <col min="6914" max="6914" width="13.28515625" style="310" customWidth="1"/>
    <col min="6915" max="6915" width="16.140625" style="310" bestFit="1" customWidth="1"/>
    <col min="6916" max="6916" width="23.5703125" style="310" customWidth="1"/>
    <col min="6917" max="6917" width="17.28515625" style="310" customWidth="1"/>
    <col min="6918" max="6918" width="20.5703125" style="310" bestFit="1" customWidth="1"/>
    <col min="6919" max="6919" width="17.140625" style="310" customWidth="1"/>
    <col min="6920" max="6920" width="21.85546875" style="310" bestFit="1" customWidth="1"/>
    <col min="6921" max="6921" width="17.140625" style="310" bestFit="1" customWidth="1"/>
    <col min="6922" max="6922" width="18.140625" style="310" bestFit="1" customWidth="1"/>
    <col min="6923" max="6923" width="26.42578125" style="310" customWidth="1"/>
    <col min="6924" max="7168" width="9.140625" style="310"/>
    <col min="7169" max="7169" width="8.7109375" style="310" bestFit="1" customWidth="1"/>
    <col min="7170" max="7170" width="13.28515625" style="310" customWidth="1"/>
    <col min="7171" max="7171" width="16.140625" style="310" bestFit="1" customWidth="1"/>
    <col min="7172" max="7172" width="23.5703125" style="310" customWidth="1"/>
    <col min="7173" max="7173" width="17.28515625" style="310" customWidth="1"/>
    <col min="7174" max="7174" width="20.5703125" style="310" bestFit="1" customWidth="1"/>
    <col min="7175" max="7175" width="17.140625" style="310" customWidth="1"/>
    <col min="7176" max="7176" width="21.85546875" style="310" bestFit="1" customWidth="1"/>
    <col min="7177" max="7177" width="17.140625" style="310" bestFit="1" customWidth="1"/>
    <col min="7178" max="7178" width="18.140625" style="310" bestFit="1" customWidth="1"/>
    <col min="7179" max="7179" width="26.42578125" style="310" customWidth="1"/>
    <col min="7180" max="7424" width="9.140625" style="310"/>
    <col min="7425" max="7425" width="8.7109375" style="310" bestFit="1" customWidth="1"/>
    <col min="7426" max="7426" width="13.28515625" style="310" customWidth="1"/>
    <col min="7427" max="7427" width="16.140625" style="310" bestFit="1" customWidth="1"/>
    <col min="7428" max="7428" width="23.5703125" style="310" customWidth="1"/>
    <col min="7429" max="7429" width="17.28515625" style="310" customWidth="1"/>
    <col min="7430" max="7430" width="20.5703125" style="310" bestFit="1" customWidth="1"/>
    <col min="7431" max="7431" width="17.140625" style="310" customWidth="1"/>
    <col min="7432" max="7432" width="21.85546875" style="310" bestFit="1" customWidth="1"/>
    <col min="7433" max="7433" width="17.140625" style="310" bestFit="1" customWidth="1"/>
    <col min="7434" max="7434" width="18.140625" style="310" bestFit="1" customWidth="1"/>
    <col min="7435" max="7435" width="26.42578125" style="310" customWidth="1"/>
    <col min="7436" max="7680" width="9.140625" style="310"/>
    <col min="7681" max="7681" width="8.7109375" style="310" bestFit="1" customWidth="1"/>
    <col min="7682" max="7682" width="13.28515625" style="310" customWidth="1"/>
    <col min="7683" max="7683" width="16.140625" style="310" bestFit="1" customWidth="1"/>
    <col min="7684" max="7684" width="23.5703125" style="310" customWidth="1"/>
    <col min="7685" max="7685" width="17.28515625" style="310" customWidth="1"/>
    <col min="7686" max="7686" width="20.5703125" style="310" bestFit="1" customWidth="1"/>
    <col min="7687" max="7687" width="17.140625" style="310" customWidth="1"/>
    <col min="7688" max="7688" width="21.85546875" style="310" bestFit="1" customWidth="1"/>
    <col min="7689" max="7689" width="17.140625" style="310" bestFit="1" customWidth="1"/>
    <col min="7690" max="7690" width="18.140625" style="310" bestFit="1" customWidth="1"/>
    <col min="7691" max="7691" width="26.42578125" style="310" customWidth="1"/>
    <col min="7692" max="7936" width="9.140625" style="310"/>
    <col min="7937" max="7937" width="8.7109375" style="310" bestFit="1" customWidth="1"/>
    <col min="7938" max="7938" width="13.28515625" style="310" customWidth="1"/>
    <col min="7939" max="7939" width="16.140625" style="310" bestFit="1" customWidth="1"/>
    <col min="7940" max="7940" width="23.5703125" style="310" customWidth="1"/>
    <col min="7941" max="7941" width="17.28515625" style="310" customWidth="1"/>
    <col min="7942" max="7942" width="20.5703125" style="310" bestFit="1" customWidth="1"/>
    <col min="7943" max="7943" width="17.140625" style="310" customWidth="1"/>
    <col min="7944" max="7944" width="21.85546875" style="310" bestFit="1" customWidth="1"/>
    <col min="7945" max="7945" width="17.140625" style="310" bestFit="1" customWidth="1"/>
    <col min="7946" max="7946" width="18.140625" style="310" bestFit="1" customWidth="1"/>
    <col min="7947" max="7947" width="26.42578125" style="310" customWidth="1"/>
    <col min="7948" max="8192" width="9.140625" style="310"/>
    <col min="8193" max="8193" width="8.7109375" style="310" bestFit="1" customWidth="1"/>
    <col min="8194" max="8194" width="13.28515625" style="310" customWidth="1"/>
    <col min="8195" max="8195" width="16.140625" style="310" bestFit="1" customWidth="1"/>
    <col min="8196" max="8196" width="23.5703125" style="310" customWidth="1"/>
    <col min="8197" max="8197" width="17.28515625" style="310" customWidth="1"/>
    <col min="8198" max="8198" width="20.5703125" style="310" bestFit="1" customWidth="1"/>
    <col min="8199" max="8199" width="17.140625" style="310" customWidth="1"/>
    <col min="8200" max="8200" width="21.85546875" style="310" bestFit="1" customWidth="1"/>
    <col min="8201" max="8201" width="17.140625" style="310" bestFit="1" customWidth="1"/>
    <col min="8202" max="8202" width="18.140625" style="310" bestFit="1" customWidth="1"/>
    <col min="8203" max="8203" width="26.42578125" style="310" customWidth="1"/>
    <col min="8204" max="8448" width="9.140625" style="310"/>
    <col min="8449" max="8449" width="8.7109375" style="310" bestFit="1" customWidth="1"/>
    <col min="8450" max="8450" width="13.28515625" style="310" customWidth="1"/>
    <col min="8451" max="8451" width="16.140625" style="310" bestFit="1" customWidth="1"/>
    <col min="8452" max="8452" width="23.5703125" style="310" customWidth="1"/>
    <col min="8453" max="8453" width="17.28515625" style="310" customWidth="1"/>
    <col min="8454" max="8454" width="20.5703125" style="310" bestFit="1" customWidth="1"/>
    <col min="8455" max="8455" width="17.140625" style="310" customWidth="1"/>
    <col min="8456" max="8456" width="21.85546875" style="310" bestFit="1" customWidth="1"/>
    <col min="8457" max="8457" width="17.140625" style="310" bestFit="1" customWidth="1"/>
    <col min="8458" max="8458" width="18.140625" style="310" bestFit="1" customWidth="1"/>
    <col min="8459" max="8459" width="26.42578125" style="310" customWidth="1"/>
    <col min="8460" max="8704" width="9.140625" style="310"/>
    <col min="8705" max="8705" width="8.7109375" style="310" bestFit="1" customWidth="1"/>
    <col min="8706" max="8706" width="13.28515625" style="310" customWidth="1"/>
    <col min="8707" max="8707" width="16.140625" style="310" bestFit="1" customWidth="1"/>
    <col min="8708" max="8708" width="23.5703125" style="310" customWidth="1"/>
    <col min="8709" max="8709" width="17.28515625" style="310" customWidth="1"/>
    <col min="8710" max="8710" width="20.5703125" style="310" bestFit="1" customWidth="1"/>
    <col min="8711" max="8711" width="17.140625" style="310" customWidth="1"/>
    <col min="8712" max="8712" width="21.85546875" style="310" bestFit="1" customWidth="1"/>
    <col min="8713" max="8713" width="17.140625" style="310" bestFit="1" customWidth="1"/>
    <col min="8714" max="8714" width="18.140625" style="310" bestFit="1" customWidth="1"/>
    <col min="8715" max="8715" width="26.42578125" style="310" customWidth="1"/>
    <col min="8716" max="8960" width="9.140625" style="310"/>
    <col min="8961" max="8961" width="8.7109375" style="310" bestFit="1" customWidth="1"/>
    <col min="8962" max="8962" width="13.28515625" style="310" customWidth="1"/>
    <col min="8963" max="8963" width="16.140625" style="310" bestFit="1" customWidth="1"/>
    <col min="8964" max="8964" width="23.5703125" style="310" customWidth="1"/>
    <col min="8965" max="8965" width="17.28515625" style="310" customWidth="1"/>
    <col min="8966" max="8966" width="20.5703125" style="310" bestFit="1" customWidth="1"/>
    <col min="8967" max="8967" width="17.140625" style="310" customWidth="1"/>
    <col min="8968" max="8968" width="21.85546875" style="310" bestFit="1" customWidth="1"/>
    <col min="8969" max="8969" width="17.140625" style="310" bestFit="1" customWidth="1"/>
    <col min="8970" max="8970" width="18.140625" style="310" bestFit="1" customWidth="1"/>
    <col min="8971" max="8971" width="26.42578125" style="310" customWidth="1"/>
    <col min="8972" max="9216" width="9.140625" style="310"/>
    <col min="9217" max="9217" width="8.7109375" style="310" bestFit="1" customWidth="1"/>
    <col min="9218" max="9218" width="13.28515625" style="310" customWidth="1"/>
    <col min="9219" max="9219" width="16.140625" style="310" bestFit="1" customWidth="1"/>
    <col min="9220" max="9220" width="23.5703125" style="310" customWidth="1"/>
    <col min="9221" max="9221" width="17.28515625" style="310" customWidth="1"/>
    <col min="9222" max="9222" width="20.5703125" style="310" bestFit="1" customWidth="1"/>
    <col min="9223" max="9223" width="17.140625" style="310" customWidth="1"/>
    <col min="9224" max="9224" width="21.85546875" style="310" bestFit="1" customWidth="1"/>
    <col min="9225" max="9225" width="17.140625" style="310" bestFit="1" customWidth="1"/>
    <col min="9226" max="9226" width="18.140625" style="310" bestFit="1" customWidth="1"/>
    <col min="9227" max="9227" width="26.42578125" style="310" customWidth="1"/>
    <col min="9228" max="9472" width="9.140625" style="310"/>
    <col min="9473" max="9473" width="8.7109375" style="310" bestFit="1" customWidth="1"/>
    <col min="9474" max="9474" width="13.28515625" style="310" customWidth="1"/>
    <col min="9475" max="9475" width="16.140625" style="310" bestFit="1" customWidth="1"/>
    <col min="9476" max="9476" width="23.5703125" style="310" customWidth="1"/>
    <col min="9477" max="9477" width="17.28515625" style="310" customWidth="1"/>
    <col min="9478" max="9478" width="20.5703125" style="310" bestFit="1" customWidth="1"/>
    <col min="9479" max="9479" width="17.140625" style="310" customWidth="1"/>
    <col min="9480" max="9480" width="21.85546875" style="310" bestFit="1" customWidth="1"/>
    <col min="9481" max="9481" width="17.140625" style="310" bestFit="1" customWidth="1"/>
    <col min="9482" max="9482" width="18.140625" style="310" bestFit="1" customWidth="1"/>
    <col min="9483" max="9483" width="26.42578125" style="310" customWidth="1"/>
    <col min="9484" max="9728" width="9.140625" style="310"/>
    <col min="9729" max="9729" width="8.7109375" style="310" bestFit="1" customWidth="1"/>
    <col min="9730" max="9730" width="13.28515625" style="310" customWidth="1"/>
    <col min="9731" max="9731" width="16.140625" style="310" bestFit="1" customWidth="1"/>
    <col min="9732" max="9732" width="23.5703125" style="310" customWidth="1"/>
    <col min="9733" max="9733" width="17.28515625" style="310" customWidth="1"/>
    <col min="9734" max="9734" width="20.5703125" style="310" bestFit="1" customWidth="1"/>
    <col min="9735" max="9735" width="17.140625" style="310" customWidth="1"/>
    <col min="9736" max="9736" width="21.85546875" style="310" bestFit="1" customWidth="1"/>
    <col min="9737" max="9737" width="17.140625" style="310" bestFit="1" customWidth="1"/>
    <col min="9738" max="9738" width="18.140625" style="310" bestFit="1" customWidth="1"/>
    <col min="9739" max="9739" width="26.42578125" style="310" customWidth="1"/>
    <col min="9740" max="9984" width="9.140625" style="310"/>
    <col min="9985" max="9985" width="8.7109375" style="310" bestFit="1" customWidth="1"/>
    <col min="9986" max="9986" width="13.28515625" style="310" customWidth="1"/>
    <col min="9987" max="9987" width="16.140625" style="310" bestFit="1" customWidth="1"/>
    <col min="9988" max="9988" width="23.5703125" style="310" customWidth="1"/>
    <col min="9989" max="9989" width="17.28515625" style="310" customWidth="1"/>
    <col min="9990" max="9990" width="20.5703125" style="310" bestFit="1" customWidth="1"/>
    <col min="9991" max="9991" width="17.140625" style="310" customWidth="1"/>
    <col min="9992" max="9992" width="21.85546875" style="310" bestFit="1" customWidth="1"/>
    <col min="9993" max="9993" width="17.140625" style="310" bestFit="1" customWidth="1"/>
    <col min="9994" max="9994" width="18.140625" style="310" bestFit="1" customWidth="1"/>
    <col min="9995" max="9995" width="26.42578125" style="310" customWidth="1"/>
    <col min="9996" max="10240" width="9.140625" style="310"/>
    <col min="10241" max="10241" width="8.7109375" style="310" bestFit="1" customWidth="1"/>
    <col min="10242" max="10242" width="13.28515625" style="310" customWidth="1"/>
    <col min="10243" max="10243" width="16.140625" style="310" bestFit="1" customWidth="1"/>
    <col min="10244" max="10244" width="23.5703125" style="310" customWidth="1"/>
    <col min="10245" max="10245" width="17.28515625" style="310" customWidth="1"/>
    <col min="10246" max="10246" width="20.5703125" style="310" bestFit="1" customWidth="1"/>
    <col min="10247" max="10247" width="17.140625" style="310" customWidth="1"/>
    <col min="10248" max="10248" width="21.85546875" style="310" bestFit="1" customWidth="1"/>
    <col min="10249" max="10249" width="17.140625" style="310" bestFit="1" customWidth="1"/>
    <col min="10250" max="10250" width="18.140625" style="310" bestFit="1" customWidth="1"/>
    <col min="10251" max="10251" width="26.42578125" style="310" customWidth="1"/>
    <col min="10252" max="10496" width="9.140625" style="310"/>
    <col min="10497" max="10497" width="8.7109375" style="310" bestFit="1" customWidth="1"/>
    <col min="10498" max="10498" width="13.28515625" style="310" customWidth="1"/>
    <col min="10499" max="10499" width="16.140625" style="310" bestFit="1" customWidth="1"/>
    <col min="10500" max="10500" width="23.5703125" style="310" customWidth="1"/>
    <col min="10501" max="10501" width="17.28515625" style="310" customWidth="1"/>
    <col min="10502" max="10502" width="20.5703125" style="310" bestFit="1" customWidth="1"/>
    <col min="10503" max="10503" width="17.140625" style="310" customWidth="1"/>
    <col min="10504" max="10504" width="21.85546875" style="310" bestFit="1" customWidth="1"/>
    <col min="10505" max="10505" width="17.140625" style="310" bestFit="1" customWidth="1"/>
    <col min="10506" max="10506" width="18.140625" style="310" bestFit="1" customWidth="1"/>
    <col min="10507" max="10507" width="26.42578125" style="310" customWidth="1"/>
    <col min="10508" max="10752" width="9.140625" style="310"/>
    <col min="10753" max="10753" width="8.7109375" style="310" bestFit="1" customWidth="1"/>
    <col min="10754" max="10754" width="13.28515625" style="310" customWidth="1"/>
    <col min="10755" max="10755" width="16.140625" style="310" bestFit="1" customWidth="1"/>
    <col min="10756" max="10756" width="23.5703125" style="310" customWidth="1"/>
    <col min="10757" max="10757" width="17.28515625" style="310" customWidth="1"/>
    <col min="10758" max="10758" width="20.5703125" style="310" bestFit="1" customWidth="1"/>
    <col min="10759" max="10759" width="17.140625" style="310" customWidth="1"/>
    <col min="10760" max="10760" width="21.85546875" style="310" bestFit="1" customWidth="1"/>
    <col min="10761" max="10761" width="17.140625" style="310" bestFit="1" customWidth="1"/>
    <col min="10762" max="10762" width="18.140625" style="310" bestFit="1" customWidth="1"/>
    <col min="10763" max="10763" width="26.42578125" style="310" customWidth="1"/>
    <col min="10764" max="11008" width="9.140625" style="310"/>
    <col min="11009" max="11009" width="8.7109375" style="310" bestFit="1" customWidth="1"/>
    <col min="11010" max="11010" width="13.28515625" style="310" customWidth="1"/>
    <col min="11011" max="11011" width="16.140625" style="310" bestFit="1" customWidth="1"/>
    <col min="11012" max="11012" width="23.5703125" style="310" customWidth="1"/>
    <col min="11013" max="11013" width="17.28515625" style="310" customWidth="1"/>
    <col min="11014" max="11014" width="20.5703125" style="310" bestFit="1" customWidth="1"/>
    <col min="11015" max="11015" width="17.140625" style="310" customWidth="1"/>
    <col min="11016" max="11016" width="21.85546875" style="310" bestFit="1" customWidth="1"/>
    <col min="11017" max="11017" width="17.140625" style="310" bestFit="1" customWidth="1"/>
    <col min="11018" max="11018" width="18.140625" style="310" bestFit="1" customWidth="1"/>
    <col min="11019" max="11019" width="26.42578125" style="310" customWidth="1"/>
    <col min="11020" max="11264" width="9.140625" style="310"/>
    <col min="11265" max="11265" width="8.7109375" style="310" bestFit="1" customWidth="1"/>
    <col min="11266" max="11266" width="13.28515625" style="310" customWidth="1"/>
    <col min="11267" max="11267" width="16.140625" style="310" bestFit="1" customWidth="1"/>
    <col min="11268" max="11268" width="23.5703125" style="310" customWidth="1"/>
    <col min="11269" max="11269" width="17.28515625" style="310" customWidth="1"/>
    <col min="11270" max="11270" width="20.5703125" style="310" bestFit="1" customWidth="1"/>
    <col min="11271" max="11271" width="17.140625" style="310" customWidth="1"/>
    <col min="11272" max="11272" width="21.85546875" style="310" bestFit="1" customWidth="1"/>
    <col min="11273" max="11273" width="17.140625" style="310" bestFit="1" customWidth="1"/>
    <col min="11274" max="11274" width="18.140625" style="310" bestFit="1" customWidth="1"/>
    <col min="11275" max="11275" width="26.42578125" style="310" customWidth="1"/>
    <col min="11276" max="11520" width="9.140625" style="310"/>
    <col min="11521" max="11521" width="8.7109375" style="310" bestFit="1" customWidth="1"/>
    <col min="11522" max="11522" width="13.28515625" style="310" customWidth="1"/>
    <col min="11523" max="11523" width="16.140625" style="310" bestFit="1" customWidth="1"/>
    <col min="11524" max="11524" width="23.5703125" style="310" customWidth="1"/>
    <col min="11525" max="11525" width="17.28515625" style="310" customWidth="1"/>
    <col min="11526" max="11526" width="20.5703125" style="310" bestFit="1" customWidth="1"/>
    <col min="11527" max="11527" width="17.140625" style="310" customWidth="1"/>
    <col min="11528" max="11528" width="21.85546875" style="310" bestFit="1" customWidth="1"/>
    <col min="11529" max="11529" width="17.140625" style="310" bestFit="1" customWidth="1"/>
    <col min="11530" max="11530" width="18.140625" style="310" bestFit="1" customWidth="1"/>
    <col min="11531" max="11531" width="26.42578125" style="310" customWidth="1"/>
    <col min="11532" max="11776" width="9.140625" style="310"/>
    <col min="11777" max="11777" width="8.7109375" style="310" bestFit="1" customWidth="1"/>
    <col min="11778" max="11778" width="13.28515625" style="310" customWidth="1"/>
    <col min="11779" max="11779" width="16.140625" style="310" bestFit="1" customWidth="1"/>
    <col min="11780" max="11780" width="23.5703125" style="310" customWidth="1"/>
    <col min="11781" max="11781" width="17.28515625" style="310" customWidth="1"/>
    <col min="11782" max="11782" width="20.5703125" style="310" bestFit="1" customWidth="1"/>
    <col min="11783" max="11783" width="17.140625" style="310" customWidth="1"/>
    <col min="11784" max="11784" width="21.85546875" style="310" bestFit="1" customWidth="1"/>
    <col min="11785" max="11785" width="17.140625" style="310" bestFit="1" customWidth="1"/>
    <col min="11786" max="11786" width="18.140625" style="310" bestFit="1" customWidth="1"/>
    <col min="11787" max="11787" width="26.42578125" style="310" customWidth="1"/>
    <col min="11788" max="12032" width="9.140625" style="310"/>
    <col min="12033" max="12033" width="8.7109375" style="310" bestFit="1" customWidth="1"/>
    <col min="12034" max="12034" width="13.28515625" style="310" customWidth="1"/>
    <col min="12035" max="12035" width="16.140625" style="310" bestFit="1" customWidth="1"/>
    <col min="12036" max="12036" width="23.5703125" style="310" customWidth="1"/>
    <col min="12037" max="12037" width="17.28515625" style="310" customWidth="1"/>
    <col min="12038" max="12038" width="20.5703125" style="310" bestFit="1" customWidth="1"/>
    <col min="12039" max="12039" width="17.140625" style="310" customWidth="1"/>
    <col min="12040" max="12040" width="21.85546875" style="310" bestFit="1" customWidth="1"/>
    <col min="12041" max="12041" width="17.140625" style="310" bestFit="1" customWidth="1"/>
    <col min="12042" max="12042" width="18.140625" style="310" bestFit="1" customWidth="1"/>
    <col min="12043" max="12043" width="26.42578125" style="310" customWidth="1"/>
    <col min="12044" max="12288" width="9.140625" style="310"/>
    <col min="12289" max="12289" width="8.7109375" style="310" bestFit="1" customWidth="1"/>
    <col min="12290" max="12290" width="13.28515625" style="310" customWidth="1"/>
    <col min="12291" max="12291" width="16.140625" style="310" bestFit="1" customWidth="1"/>
    <col min="12292" max="12292" width="23.5703125" style="310" customWidth="1"/>
    <col min="12293" max="12293" width="17.28515625" style="310" customWidth="1"/>
    <col min="12294" max="12294" width="20.5703125" style="310" bestFit="1" customWidth="1"/>
    <col min="12295" max="12295" width="17.140625" style="310" customWidth="1"/>
    <col min="12296" max="12296" width="21.85546875" style="310" bestFit="1" customWidth="1"/>
    <col min="12297" max="12297" width="17.140625" style="310" bestFit="1" customWidth="1"/>
    <col min="12298" max="12298" width="18.140625" style="310" bestFit="1" customWidth="1"/>
    <col min="12299" max="12299" width="26.42578125" style="310" customWidth="1"/>
    <col min="12300" max="12544" width="9.140625" style="310"/>
    <col min="12545" max="12545" width="8.7109375" style="310" bestFit="1" customWidth="1"/>
    <col min="12546" max="12546" width="13.28515625" style="310" customWidth="1"/>
    <col min="12547" max="12547" width="16.140625" style="310" bestFit="1" customWidth="1"/>
    <col min="12548" max="12548" width="23.5703125" style="310" customWidth="1"/>
    <col min="12549" max="12549" width="17.28515625" style="310" customWidth="1"/>
    <col min="12550" max="12550" width="20.5703125" style="310" bestFit="1" customWidth="1"/>
    <col min="12551" max="12551" width="17.140625" style="310" customWidth="1"/>
    <col min="12552" max="12552" width="21.85546875" style="310" bestFit="1" customWidth="1"/>
    <col min="12553" max="12553" width="17.140625" style="310" bestFit="1" customWidth="1"/>
    <col min="12554" max="12554" width="18.140625" style="310" bestFit="1" customWidth="1"/>
    <col min="12555" max="12555" width="26.42578125" style="310" customWidth="1"/>
    <col min="12556" max="12800" width="9.140625" style="310"/>
    <col min="12801" max="12801" width="8.7109375" style="310" bestFit="1" customWidth="1"/>
    <col min="12802" max="12802" width="13.28515625" style="310" customWidth="1"/>
    <col min="12803" max="12803" width="16.140625" style="310" bestFit="1" customWidth="1"/>
    <col min="12804" max="12804" width="23.5703125" style="310" customWidth="1"/>
    <col min="12805" max="12805" width="17.28515625" style="310" customWidth="1"/>
    <col min="12806" max="12806" width="20.5703125" style="310" bestFit="1" customWidth="1"/>
    <col min="12807" max="12807" width="17.140625" style="310" customWidth="1"/>
    <col min="12808" max="12808" width="21.85546875" style="310" bestFit="1" customWidth="1"/>
    <col min="12809" max="12809" width="17.140625" style="310" bestFit="1" customWidth="1"/>
    <col min="12810" max="12810" width="18.140625" style="310" bestFit="1" customWidth="1"/>
    <col min="12811" max="12811" width="26.42578125" style="310" customWidth="1"/>
    <col min="12812" max="13056" width="9.140625" style="310"/>
    <col min="13057" max="13057" width="8.7109375" style="310" bestFit="1" customWidth="1"/>
    <col min="13058" max="13058" width="13.28515625" style="310" customWidth="1"/>
    <col min="13059" max="13059" width="16.140625" style="310" bestFit="1" customWidth="1"/>
    <col min="13060" max="13060" width="23.5703125" style="310" customWidth="1"/>
    <col min="13061" max="13061" width="17.28515625" style="310" customWidth="1"/>
    <col min="13062" max="13062" width="20.5703125" style="310" bestFit="1" customWidth="1"/>
    <col min="13063" max="13063" width="17.140625" style="310" customWidth="1"/>
    <col min="13064" max="13064" width="21.85546875" style="310" bestFit="1" customWidth="1"/>
    <col min="13065" max="13065" width="17.140625" style="310" bestFit="1" customWidth="1"/>
    <col min="13066" max="13066" width="18.140625" style="310" bestFit="1" customWidth="1"/>
    <col min="13067" max="13067" width="26.42578125" style="310" customWidth="1"/>
    <col min="13068" max="13312" width="9.140625" style="310"/>
    <col min="13313" max="13313" width="8.7109375" style="310" bestFit="1" customWidth="1"/>
    <col min="13314" max="13314" width="13.28515625" style="310" customWidth="1"/>
    <col min="13315" max="13315" width="16.140625" style="310" bestFit="1" customWidth="1"/>
    <col min="13316" max="13316" width="23.5703125" style="310" customWidth="1"/>
    <col min="13317" max="13317" width="17.28515625" style="310" customWidth="1"/>
    <col min="13318" max="13318" width="20.5703125" style="310" bestFit="1" customWidth="1"/>
    <col min="13319" max="13319" width="17.140625" style="310" customWidth="1"/>
    <col min="13320" max="13320" width="21.85546875" style="310" bestFit="1" customWidth="1"/>
    <col min="13321" max="13321" width="17.140625" style="310" bestFit="1" customWidth="1"/>
    <col min="13322" max="13322" width="18.140625" style="310" bestFit="1" customWidth="1"/>
    <col min="13323" max="13323" width="26.42578125" style="310" customWidth="1"/>
    <col min="13324" max="13568" width="9.140625" style="310"/>
    <col min="13569" max="13569" width="8.7109375" style="310" bestFit="1" customWidth="1"/>
    <col min="13570" max="13570" width="13.28515625" style="310" customWidth="1"/>
    <col min="13571" max="13571" width="16.140625" style="310" bestFit="1" customWidth="1"/>
    <col min="13572" max="13572" width="23.5703125" style="310" customWidth="1"/>
    <col min="13573" max="13573" width="17.28515625" style="310" customWidth="1"/>
    <col min="13574" max="13574" width="20.5703125" style="310" bestFit="1" customWidth="1"/>
    <col min="13575" max="13575" width="17.140625" style="310" customWidth="1"/>
    <col min="13576" max="13576" width="21.85546875" style="310" bestFit="1" customWidth="1"/>
    <col min="13577" max="13577" width="17.140625" style="310" bestFit="1" customWidth="1"/>
    <col min="13578" max="13578" width="18.140625" style="310" bestFit="1" customWidth="1"/>
    <col min="13579" max="13579" width="26.42578125" style="310" customWidth="1"/>
    <col min="13580" max="13824" width="9.140625" style="310"/>
    <col min="13825" max="13825" width="8.7109375" style="310" bestFit="1" customWidth="1"/>
    <col min="13826" max="13826" width="13.28515625" style="310" customWidth="1"/>
    <col min="13827" max="13827" width="16.140625" style="310" bestFit="1" customWidth="1"/>
    <col min="13828" max="13828" width="23.5703125" style="310" customWidth="1"/>
    <col min="13829" max="13829" width="17.28515625" style="310" customWidth="1"/>
    <col min="13830" max="13830" width="20.5703125" style="310" bestFit="1" customWidth="1"/>
    <col min="13831" max="13831" width="17.140625" style="310" customWidth="1"/>
    <col min="13832" max="13832" width="21.85546875" style="310" bestFit="1" customWidth="1"/>
    <col min="13833" max="13833" width="17.140625" style="310" bestFit="1" customWidth="1"/>
    <col min="13834" max="13834" width="18.140625" style="310" bestFit="1" customWidth="1"/>
    <col min="13835" max="13835" width="26.42578125" style="310" customWidth="1"/>
    <col min="13836" max="14080" width="9.140625" style="310"/>
    <col min="14081" max="14081" width="8.7109375" style="310" bestFit="1" customWidth="1"/>
    <col min="14082" max="14082" width="13.28515625" style="310" customWidth="1"/>
    <col min="14083" max="14083" width="16.140625" style="310" bestFit="1" customWidth="1"/>
    <col min="14084" max="14084" width="23.5703125" style="310" customWidth="1"/>
    <col min="14085" max="14085" width="17.28515625" style="310" customWidth="1"/>
    <col min="14086" max="14086" width="20.5703125" style="310" bestFit="1" customWidth="1"/>
    <col min="14087" max="14087" width="17.140625" style="310" customWidth="1"/>
    <col min="14088" max="14088" width="21.85546875" style="310" bestFit="1" customWidth="1"/>
    <col min="14089" max="14089" width="17.140625" style="310" bestFit="1" customWidth="1"/>
    <col min="14090" max="14090" width="18.140625" style="310" bestFit="1" customWidth="1"/>
    <col min="14091" max="14091" width="26.42578125" style="310" customWidth="1"/>
    <col min="14092" max="14336" width="9.140625" style="310"/>
    <col min="14337" max="14337" width="8.7109375" style="310" bestFit="1" customWidth="1"/>
    <col min="14338" max="14338" width="13.28515625" style="310" customWidth="1"/>
    <col min="14339" max="14339" width="16.140625" style="310" bestFit="1" customWidth="1"/>
    <col min="14340" max="14340" width="23.5703125" style="310" customWidth="1"/>
    <col min="14341" max="14341" width="17.28515625" style="310" customWidth="1"/>
    <col min="14342" max="14342" width="20.5703125" style="310" bestFit="1" customWidth="1"/>
    <col min="14343" max="14343" width="17.140625" style="310" customWidth="1"/>
    <col min="14344" max="14344" width="21.85546875" style="310" bestFit="1" customWidth="1"/>
    <col min="14345" max="14345" width="17.140625" style="310" bestFit="1" customWidth="1"/>
    <col min="14346" max="14346" width="18.140625" style="310" bestFit="1" customWidth="1"/>
    <col min="14347" max="14347" width="26.42578125" style="310" customWidth="1"/>
    <col min="14348" max="14592" width="9.140625" style="310"/>
    <col min="14593" max="14593" width="8.7109375" style="310" bestFit="1" customWidth="1"/>
    <col min="14594" max="14594" width="13.28515625" style="310" customWidth="1"/>
    <col min="14595" max="14595" width="16.140625" style="310" bestFit="1" customWidth="1"/>
    <col min="14596" max="14596" width="23.5703125" style="310" customWidth="1"/>
    <col min="14597" max="14597" width="17.28515625" style="310" customWidth="1"/>
    <col min="14598" max="14598" width="20.5703125" style="310" bestFit="1" customWidth="1"/>
    <col min="14599" max="14599" width="17.140625" style="310" customWidth="1"/>
    <col min="14600" max="14600" width="21.85546875" style="310" bestFit="1" customWidth="1"/>
    <col min="14601" max="14601" width="17.140625" style="310" bestFit="1" customWidth="1"/>
    <col min="14602" max="14602" width="18.140625" style="310" bestFit="1" customWidth="1"/>
    <col min="14603" max="14603" width="26.42578125" style="310" customWidth="1"/>
    <col min="14604" max="14848" width="9.140625" style="310"/>
    <col min="14849" max="14849" width="8.7109375" style="310" bestFit="1" customWidth="1"/>
    <col min="14850" max="14850" width="13.28515625" style="310" customWidth="1"/>
    <col min="14851" max="14851" width="16.140625" style="310" bestFit="1" customWidth="1"/>
    <col min="14852" max="14852" width="23.5703125" style="310" customWidth="1"/>
    <col min="14853" max="14853" width="17.28515625" style="310" customWidth="1"/>
    <col min="14854" max="14854" width="20.5703125" style="310" bestFit="1" customWidth="1"/>
    <col min="14855" max="14855" width="17.140625" style="310" customWidth="1"/>
    <col min="14856" max="14856" width="21.85546875" style="310" bestFit="1" customWidth="1"/>
    <col min="14857" max="14857" width="17.140625" style="310" bestFit="1" customWidth="1"/>
    <col min="14858" max="14858" width="18.140625" style="310" bestFit="1" customWidth="1"/>
    <col min="14859" max="14859" width="26.42578125" style="310" customWidth="1"/>
    <col min="14860" max="15104" width="9.140625" style="310"/>
    <col min="15105" max="15105" width="8.7109375" style="310" bestFit="1" customWidth="1"/>
    <col min="15106" max="15106" width="13.28515625" style="310" customWidth="1"/>
    <col min="15107" max="15107" width="16.140625" style="310" bestFit="1" customWidth="1"/>
    <col min="15108" max="15108" width="23.5703125" style="310" customWidth="1"/>
    <col min="15109" max="15109" width="17.28515625" style="310" customWidth="1"/>
    <col min="15110" max="15110" width="20.5703125" style="310" bestFit="1" customWidth="1"/>
    <col min="15111" max="15111" width="17.140625" style="310" customWidth="1"/>
    <col min="15112" max="15112" width="21.85546875" style="310" bestFit="1" customWidth="1"/>
    <col min="15113" max="15113" width="17.140625" style="310" bestFit="1" customWidth="1"/>
    <col min="15114" max="15114" width="18.140625" style="310" bestFit="1" customWidth="1"/>
    <col min="15115" max="15115" width="26.42578125" style="310" customWidth="1"/>
    <col min="15116" max="15360" width="9.140625" style="310"/>
    <col min="15361" max="15361" width="8.7109375" style="310" bestFit="1" customWidth="1"/>
    <col min="15362" max="15362" width="13.28515625" style="310" customWidth="1"/>
    <col min="15363" max="15363" width="16.140625" style="310" bestFit="1" customWidth="1"/>
    <col min="15364" max="15364" width="23.5703125" style="310" customWidth="1"/>
    <col min="15365" max="15365" width="17.28515625" style="310" customWidth="1"/>
    <col min="15366" max="15366" width="20.5703125" style="310" bestFit="1" customWidth="1"/>
    <col min="15367" max="15367" width="17.140625" style="310" customWidth="1"/>
    <col min="15368" max="15368" width="21.85546875" style="310" bestFit="1" customWidth="1"/>
    <col min="15369" max="15369" width="17.140625" style="310" bestFit="1" customWidth="1"/>
    <col min="15370" max="15370" width="18.140625" style="310" bestFit="1" customWidth="1"/>
    <col min="15371" max="15371" width="26.42578125" style="310" customWidth="1"/>
    <col min="15372" max="15616" width="9.140625" style="310"/>
    <col min="15617" max="15617" width="8.7109375" style="310" bestFit="1" customWidth="1"/>
    <col min="15618" max="15618" width="13.28515625" style="310" customWidth="1"/>
    <col min="15619" max="15619" width="16.140625" style="310" bestFit="1" customWidth="1"/>
    <col min="15620" max="15620" width="23.5703125" style="310" customWidth="1"/>
    <col min="15621" max="15621" width="17.28515625" style="310" customWidth="1"/>
    <col min="15622" max="15622" width="20.5703125" style="310" bestFit="1" customWidth="1"/>
    <col min="15623" max="15623" width="17.140625" style="310" customWidth="1"/>
    <col min="15624" max="15624" width="21.85546875" style="310" bestFit="1" customWidth="1"/>
    <col min="15625" max="15625" width="17.140625" style="310" bestFit="1" customWidth="1"/>
    <col min="15626" max="15626" width="18.140625" style="310" bestFit="1" customWidth="1"/>
    <col min="15627" max="15627" width="26.42578125" style="310" customWidth="1"/>
    <col min="15628" max="15872" width="9.140625" style="310"/>
    <col min="15873" max="15873" width="8.7109375" style="310" bestFit="1" customWidth="1"/>
    <col min="15874" max="15874" width="13.28515625" style="310" customWidth="1"/>
    <col min="15875" max="15875" width="16.140625" style="310" bestFit="1" customWidth="1"/>
    <col min="15876" max="15876" width="23.5703125" style="310" customWidth="1"/>
    <col min="15877" max="15877" width="17.28515625" style="310" customWidth="1"/>
    <col min="15878" max="15878" width="20.5703125" style="310" bestFit="1" customWidth="1"/>
    <col min="15879" max="15879" width="17.140625" style="310" customWidth="1"/>
    <col min="15880" max="15880" width="21.85546875" style="310" bestFit="1" customWidth="1"/>
    <col min="15881" max="15881" width="17.140625" style="310" bestFit="1" customWidth="1"/>
    <col min="15882" max="15882" width="18.140625" style="310" bestFit="1" customWidth="1"/>
    <col min="15883" max="15883" width="26.42578125" style="310" customWidth="1"/>
    <col min="15884" max="16128" width="9.140625" style="310"/>
    <col min="16129" max="16129" width="8.7109375" style="310" bestFit="1" customWidth="1"/>
    <col min="16130" max="16130" width="13.28515625" style="310" customWidth="1"/>
    <col min="16131" max="16131" width="16.140625" style="310" bestFit="1" customWidth="1"/>
    <col min="16132" max="16132" width="23.5703125" style="310" customWidth="1"/>
    <col min="16133" max="16133" width="17.28515625" style="310" customWidth="1"/>
    <col min="16134" max="16134" width="20.5703125" style="310" bestFit="1" customWidth="1"/>
    <col min="16135" max="16135" width="17.140625" style="310" customWidth="1"/>
    <col min="16136" max="16136" width="21.85546875" style="310" bestFit="1" customWidth="1"/>
    <col min="16137" max="16137" width="17.140625" style="310" bestFit="1" customWidth="1"/>
    <col min="16138" max="16138" width="18.140625" style="310" bestFit="1" customWidth="1"/>
    <col min="16139" max="16139" width="26.42578125" style="310" customWidth="1"/>
    <col min="16140" max="16384" width="9.140625" style="310"/>
  </cols>
  <sheetData>
    <row r="1" spans="13:13" s="346" customFormat="1" x14ac:dyDescent="0.2">
      <c r="M1" s="347"/>
    </row>
    <row r="2" spans="13:13" s="346" customFormat="1" x14ac:dyDescent="0.2">
      <c r="M2" s="347"/>
    </row>
    <row r="3" spans="13:13" s="346" customFormat="1" x14ac:dyDescent="0.2">
      <c r="M3" s="347"/>
    </row>
    <row r="4" spans="13:13" s="346" customFormat="1" x14ac:dyDescent="0.2">
      <c r="M4" s="347"/>
    </row>
    <row r="5" spans="13:13" s="346" customFormat="1" x14ac:dyDescent="0.2">
      <c r="M5" s="347"/>
    </row>
    <row r="6" spans="13:13" s="346" customFormat="1" x14ac:dyDescent="0.2">
      <c r="M6" s="347"/>
    </row>
    <row r="7" spans="13:13" s="346" customFormat="1" x14ac:dyDescent="0.2">
      <c r="M7" s="347"/>
    </row>
    <row r="8" spans="13:13" s="346" customFormat="1" x14ac:dyDescent="0.2">
      <c r="M8" s="347"/>
    </row>
    <row r="9" spans="13:13" s="346" customFormat="1" x14ac:dyDescent="0.2">
      <c r="M9" s="347"/>
    </row>
    <row r="10" spans="13:13" s="346" customFormat="1" x14ac:dyDescent="0.2">
      <c r="M10" s="347"/>
    </row>
    <row r="11" spans="13:13" s="346" customFormat="1" x14ac:dyDescent="0.2">
      <c r="M11" s="347"/>
    </row>
    <row r="12" spans="13:13" s="346" customFormat="1" x14ac:dyDescent="0.2">
      <c r="M12" s="347"/>
    </row>
    <row r="13" spans="13:13" s="346" customFormat="1" x14ac:dyDescent="0.2">
      <c r="M13" s="347"/>
    </row>
    <row r="14" spans="13:13" s="346" customFormat="1" x14ac:dyDescent="0.2">
      <c r="M14" s="347"/>
    </row>
    <row r="15" spans="13:13" s="346" customFormat="1" x14ac:dyDescent="0.2">
      <c r="M15" s="347"/>
    </row>
    <row r="16" spans="13:13" s="346" customFormat="1" x14ac:dyDescent="0.2">
      <c r="M16" s="347"/>
    </row>
    <row r="17" spans="13:13" s="346" customFormat="1" x14ac:dyDescent="0.2">
      <c r="M17" s="347"/>
    </row>
    <row r="18" spans="13:13" s="346" customFormat="1" x14ac:dyDescent="0.2">
      <c r="M18" s="347"/>
    </row>
    <row r="19" spans="13:13" s="346" customFormat="1" x14ac:dyDescent="0.2">
      <c r="M19" s="347"/>
    </row>
    <row r="20" spans="13:13" s="346" customFormat="1" x14ac:dyDescent="0.2">
      <c r="M20" s="347"/>
    </row>
    <row r="21" spans="13:13" s="346" customFormat="1" x14ac:dyDescent="0.2">
      <c r="M21" s="347"/>
    </row>
    <row r="22" spans="13:13" s="346" customFormat="1" x14ac:dyDescent="0.2">
      <c r="M22" s="347"/>
    </row>
    <row r="23" spans="13:13" s="346" customFormat="1" x14ac:dyDescent="0.2">
      <c r="M23" s="347"/>
    </row>
    <row r="24" spans="13:13" s="346" customFormat="1" x14ac:dyDescent="0.2">
      <c r="M24" s="347"/>
    </row>
    <row r="25" spans="13:13" s="346" customFormat="1" x14ac:dyDescent="0.2">
      <c r="M25" s="347"/>
    </row>
    <row r="26" spans="13:13" s="346" customFormat="1" x14ac:dyDescent="0.2">
      <c r="M26" s="347"/>
    </row>
    <row r="27" spans="13:13" s="346" customFormat="1" x14ac:dyDescent="0.2">
      <c r="M27" s="347"/>
    </row>
    <row r="28" spans="13:13" s="346" customFormat="1" x14ac:dyDescent="0.2">
      <c r="M28" s="347"/>
    </row>
    <row r="29" spans="13:13" s="346" customFormat="1" x14ac:dyDescent="0.2">
      <c r="M29" s="347"/>
    </row>
    <row r="30" spans="13:13" s="346" customFormat="1" x14ac:dyDescent="0.2">
      <c r="M30" s="347"/>
    </row>
    <row r="31" spans="13:13" s="346" customFormat="1" x14ac:dyDescent="0.2">
      <c r="M31" s="347"/>
    </row>
    <row r="32" spans="13:13" s="346" customFormat="1" x14ac:dyDescent="0.2">
      <c r="M32" s="347"/>
    </row>
    <row r="33" spans="1:19" s="346" customFormat="1" x14ac:dyDescent="0.2">
      <c r="M33" s="347"/>
    </row>
    <row r="34" spans="1:19" s="346" customFormat="1" ht="15.75" customHeight="1" x14ac:dyDescent="0.2">
      <c r="B34" s="346" t="s">
        <v>691</v>
      </c>
    </row>
    <row r="35" spans="1:19" s="346" customFormat="1" ht="24.75" customHeight="1" x14ac:dyDescent="0.25">
      <c r="A35" s="350" t="str">
        <f>"VIN = "&amp;Vin&amp;"V, VOUT = "&amp; Vout &amp;"V, IOUT = " &amp;Iout &amp; "A,  Fsw = " &amp; Fsw/1000 &amp;"kHz, Current Limit = "&amp;ROUNDUP(DC_Current_Limit_Setpoint,0)&amp;"A"</f>
        <v>VIN = 30V, VOUT = 14V, IOUT = 9A,  Fsw = 332kHz, Current Limit = 13A</v>
      </c>
      <c r="Q35" s="456"/>
    </row>
    <row r="36" spans="1:19" ht="24.75" customHeight="1" thickBot="1" x14ac:dyDescent="0.25">
      <c r="A36" s="312" t="s">
        <v>701</v>
      </c>
      <c r="Q36" s="457"/>
    </row>
    <row r="37" spans="1:19" ht="18" customHeight="1" x14ac:dyDescent="0.2">
      <c r="A37" s="442" t="s">
        <v>506</v>
      </c>
      <c r="B37" s="443" t="s">
        <v>505</v>
      </c>
      <c r="C37" s="443" t="s">
        <v>8</v>
      </c>
      <c r="D37" s="518" t="s">
        <v>188</v>
      </c>
      <c r="E37" s="519"/>
      <c r="F37" s="519"/>
      <c r="G37" s="520"/>
      <c r="H37" s="443" t="s">
        <v>492</v>
      </c>
      <c r="I37" s="443" t="s">
        <v>302</v>
      </c>
      <c r="J37" s="443" t="s">
        <v>493</v>
      </c>
      <c r="K37" s="431" t="s">
        <v>666</v>
      </c>
      <c r="L37" s="432" t="s">
        <v>667</v>
      </c>
      <c r="M37" s="310"/>
      <c r="P37" s="464"/>
      <c r="Q37" s="471"/>
      <c r="R37" s="464"/>
      <c r="S37" s="464"/>
    </row>
    <row r="38" spans="1:19" s="317" customFormat="1" ht="17.100000000000001" customHeight="1" x14ac:dyDescent="0.2">
      <c r="A38" s="314">
        <v>1</v>
      </c>
      <c r="B38" s="315" t="s">
        <v>600</v>
      </c>
      <c r="C38" s="329">
        <v>0.1</v>
      </c>
      <c r="D38" s="539">
        <f t="shared" ref="D38:D47" si="0">C38</f>
        <v>0.1</v>
      </c>
      <c r="E38" s="540"/>
      <c r="F38" s="540"/>
      <c r="G38" s="330"/>
      <c r="H38" s="331"/>
      <c r="I38" s="316" t="s">
        <v>494</v>
      </c>
      <c r="J38" s="435" t="s">
        <v>494</v>
      </c>
      <c r="K38" s="439" t="str">
        <f>CHOOSE(Q38, 'Variable Management'!N69,'Variable Management'!N70,'Variable Management'!N71)</f>
        <v>1.6 x 0.8</v>
      </c>
      <c r="L38" s="433">
        <f>CHOOSE(Q38, 'Variable Management'!O69,'Variable Management'!O70,'Variable Management'!O71)</f>
        <v>1.3</v>
      </c>
      <c r="P38" s="455"/>
      <c r="Q38" s="458">
        <v>2</v>
      </c>
      <c r="R38" s="455"/>
      <c r="S38" s="455"/>
    </row>
    <row r="39" spans="1:19" s="317" customFormat="1" ht="17.100000000000001" customHeight="1" x14ac:dyDescent="0.2">
      <c r="A39" s="313">
        <v>1</v>
      </c>
      <c r="B39" s="332" t="s">
        <v>498</v>
      </c>
      <c r="C39" s="333">
        <f>'Design Regulator'!D75</f>
        <v>4700</v>
      </c>
      <c r="D39" s="541">
        <f t="shared" si="0"/>
        <v>4700</v>
      </c>
      <c r="E39" s="542"/>
      <c r="F39" s="542"/>
      <c r="G39" s="334"/>
      <c r="H39" s="335"/>
      <c r="I39" s="336" t="s">
        <v>494</v>
      </c>
      <c r="J39" s="436" t="s">
        <v>494</v>
      </c>
      <c r="K39" s="440" t="str">
        <f>CHOOSE(Q39, 'Variable Management'!N69,'Variable Management'!N70,'Variable Management'!N71)</f>
        <v>1.6 x 0.8</v>
      </c>
      <c r="L39" s="441">
        <f>CHOOSE(Q39, 'Variable Management'!O69,'Variable Management'!O70,'Variable Management'!O71)</f>
        <v>1.3</v>
      </c>
      <c r="P39" s="455"/>
      <c r="Q39" s="458">
        <v>2</v>
      </c>
      <c r="R39" s="455"/>
      <c r="S39" s="455"/>
    </row>
    <row r="40" spans="1:19" s="317" customFormat="1" ht="17.100000000000001" customHeight="1" x14ac:dyDescent="0.2">
      <c r="A40" s="313">
        <v>1</v>
      </c>
      <c r="B40" s="332" t="s">
        <v>499</v>
      </c>
      <c r="C40" s="333">
        <f>'Design Regulator'!D76</f>
        <v>120</v>
      </c>
      <c r="D40" s="543">
        <f t="shared" si="0"/>
        <v>120</v>
      </c>
      <c r="E40" s="544"/>
      <c r="F40" s="544"/>
      <c r="G40" s="334"/>
      <c r="H40" s="335"/>
      <c r="I40" s="336" t="s">
        <v>494</v>
      </c>
      <c r="J40" s="436" t="s">
        <v>494</v>
      </c>
      <c r="K40" s="440" t="str">
        <f>CHOOSE(Q40, 'Variable Management'!N69,'Variable Management'!N70,'Variable Management'!N71)</f>
        <v>1.6 x 0.8</v>
      </c>
      <c r="L40" s="441">
        <f>CHOOSE(Q40, 'Variable Management'!O69,'Variable Management'!O70,'Variable Management'!O71)</f>
        <v>1.3</v>
      </c>
      <c r="P40" s="455"/>
      <c r="Q40" s="458">
        <v>2</v>
      </c>
      <c r="R40" s="455"/>
      <c r="S40" s="455"/>
    </row>
    <row r="41" spans="1:19" s="317" customFormat="1" ht="17.100000000000001" customHeight="1" x14ac:dyDescent="0.2">
      <c r="A41" s="313">
        <v>1</v>
      </c>
      <c r="B41" s="332" t="s">
        <v>500</v>
      </c>
      <c r="C41" s="333">
        <f>'Design Regulator'!D78</f>
        <v>1000</v>
      </c>
      <c r="D41" s="543">
        <f t="shared" si="0"/>
        <v>1000</v>
      </c>
      <c r="E41" s="544"/>
      <c r="F41" s="544"/>
      <c r="G41" s="334"/>
      <c r="H41" s="335"/>
      <c r="I41" s="336" t="s">
        <v>494</v>
      </c>
      <c r="J41" s="436" t="s">
        <v>494</v>
      </c>
      <c r="K41" s="440" t="str">
        <f>CHOOSE(Q41, 'Variable Management'!N69,'Variable Management'!N70,'Variable Management'!N71)</f>
        <v>1.0 x 0.5</v>
      </c>
      <c r="L41" s="441">
        <f>CHOOSE(Q41, 'Variable Management'!O69,'Variable Management'!O70,'Variable Management'!O71)</f>
        <v>0.5</v>
      </c>
      <c r="P41" s="455"/>
      <c r="Q41" s="458">
        <v>1</v>
      </c>
      <c r="R41" s="455"/>
      <c r="S41" s="455"/>
    </row>
    <row r="42" spans="1:19" s="317" customFormat="1" ht="17.100000000000001" customHeight="1" x14ac:dyDescent="0.2">
      <c r="A42" s="324">
        <v>1</v>
      </c>
      <c r="B42" s="325" t="s">
        <v>709</v>
      </c>
      <c r="C42" s="340" t="str">
        <f>'Variable Management'!B270</f>
        <v>8,2pF</v>
      </c>
      <c r="D42" s="545" t="str">
        <f>"Capacitor, Ceramic, "&amp;'Variable Management'!B270&amp;", 100V, X7R, 20%"</f>
        <v>Capacitor, Ceramic, 8,2pF, 100V, X7R, 20%</v>
      </c>
      <c r="E42" s="546"/>
      <c r="F42" s="546"/>
      <c r="G42" s="337"/>
      <c r="H42" s="327"/>
      <c r="I42" s="328" t="s">
        <v>494</v>
      </c>
      <c r="J42" s="437" t="s">
        <v>494</v>
      </c>
      <c r="K42" s="439" t="str">
        <f>CHOOSE(Q42, 'Variable Management'!N69,'Variable Management'!N70,'Variable Management'!N71)</f>
        <v>1.6 x 0.8</v>
      </c>
      <c r="L42" s="433">
        <f>CHOOSE(RDSON_sense,CHOOSE(Q42,'Variable Management'!O69,'Variable Management'!O70,'Variable Management'!O71),0)</f>
        <v>1.3</v>
      </c>
      <c r="P42" s="455"/>
      <c r="Q42" s="458">
        <v>2</v>
      </c>
      <c r="R42" s="455"/>
      <c r="S42" s="455"/>
    </row>
    <row r="43" spans="1:19" s="317" customFormat="1" ht="17.100000000000001" customHeight="1" x14ac:dyDescent="0.2">
      <c r="A43" s="313">
        <f>ROUNDUP('Design Regulator'!E42/10,0)</f>
        <v>3</v>
      </c>
      <c r="B43" s="332" t="s">
        <v>501</v>
      </c>
      <c r="C43" s="339" t="str">
        <f>'Variable Management'!B249</f>
        <v>4.7µF</v>
      </c>
      <c r="D43" s="549"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50"/>
      <c r="F43" s="550"/>
      <c r="G43" s="334"/>
      <c r="H43" s="335"/>
      <c r="I43" s="336" t="s">
        <v>494</v>
      </c>
      <c r="J43" s="436" t="s">
        <v>494</v>
      </c>
      <c r="K43" s="440" t="str">
        <f>CHOOSE(Q43, 'Variable Management'!N69,'Variable Management'!N70,'Variable Management'!N71,'Variable Management'!N72,'Variable Management'!N73)</f>
        <v>3.2 x 1.6</v>
      </c>
      <c r="L43" s="441">
        <f>CHOOSE(Q43, 'Variable Management'!O69,'Variable Management'!O70,'Variable Management'!O71,'Variable Management'!O72,'Variable Management'!O73)*A43</f>
        <v>15.299999999999999</v>
      </c>
      <c r="P43" s="455"/>
      <c r="Q43" s="458">
        <v>4</v>
      </c>
      <c r="R43" s="455"/>
      <c r="S43" s="455"/>
    </row>
    <row r="44" spans="1:19" s="317" customFormat="1" ht="17.100000000000001" customHeight="1" x14ac:dyDescent="0.2">
      <c r="A44" s="313">
        <f>'Variable Management'!D242</f>
        <v>4</v>
      </c>
      <c r="B44" s="332" t="s">
        <v>502</v>
      </c>
      <c r="C44" s="339" t="str">
        <f>'Variable Management'!F243</f>
        <v>22µF</v>
      </c>
      <c r="D44" s="549"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22µF, 25V, X7R, 10%</v>
      </c>
      <c r="E44" s="550"/>
      <c r="F44" s="550"/>
      <c r="G44" s="334"/>
      <c r="H44" s="335"/>
      <c r="I44" s="336" t="s">
        <v>494</v>
      </c>
      <c r="J44" s="436" t="s">
        <v>494</v>
      </c>
      <c r="K44" s="440" t="str">
        <f>CHOOSE(Q44, 'Variable Management'!N69,'Variable Management'!N70,'Variable Management'!N71,'Variable Management'!N72,'Variable Management'!N73)</f>
        <v>3.2 x 1.6</v>
      </c>
      <c r="L44" s="441">
        <f>CHOOSE(Q44, 'Variable Management'!O69,'Variable Management'!O70,'Variable Management'!O71,'Variable Management'!O72,'Variable Management'!O73)*A44</f>
        <v>20.399999999999999</v>
      </c>
      <c r="P44" s="455"/>
      <c r="Q44" s="458">
        <v>4</v>
      </c>
      <c r="R44" s="455"/>
      <c r="S44" s="455"/>
    </row>
    <row r="45" spans="1:19" s="317" customFormat="1" ht="17.100000000000001" customHeight="1" x14ac:dyDescent="0.2">
      <c r="A45" s="324">
        <v>1</v>
      </c>
      <c r="B45" s="325" t="s">
        <v>503</v>
      </c>
      <c r="C45" s="449">
        <f>'Design Regulator'!E50</f>
        <v>47</v>
      </c>
      <c r="D45" s="556">
        <f t="shared" ref="D45" si="1">C45</f>
        <v>47</v>
      </c>
      <c r="E45" s="557"/>
      <c r="F45" s="557"/>
      <c r="G45" s="337"/>
      <c r="H45" s="327"/>
      <c r="I45" s="328" t="s">
        <v>494</v>
      </c>
      <c r="J45" s="437" t="s">
        <v>494</v>
      </c>
      <c r="K45" s="450" t="str">
        <f>CHOOSE(Q45, 'Variable Management'!N69,'Variable Management'!N70,'Variable Management'!N71)</f>
        <v>1.6 x 0.8</v>
      </c>
      <c r="L45" s="451">
        <f>CHOOSE(Q45, 'Variable Management'!O69,'Variable Management'!O70,'Variable Management'!O71)</f>
        <v>1.3</v>
      </c>
      <c r="P45" s="455"/>
      <c r="Q45" s="458">
        <v>2</v>
      </c>
      <c r="R45" s="455"/>
      <c r="S45" s="455"/>
    </row>
    <row r="46" spans="1:19" s="317" customFormat="1" ht="17.100000000000001" customHeight="1" x14ac:dyDescent="0.2">
      <c r="A46" s="324">
        <v>1</v>
      </c>
      <c r="B46" s="325" t="s">
        <v>599</v>
      </c>
      <c r="C46" s="338">
        <v>2.2000000000000002</v>
      </c>
      <c r="D46" s="547">
        <f t="shared" si="0"/>
        <v>2.2000000000000002</v>
      </c>
      <c r="E46" s="548"/>
      <c r="F46" s="548"/>
      <c r="G46" s="337"/>
      <c r="H46" s="327"/>
      <c r="I46" s="328" t="s">
        <v>494</v>
      </c>
      <c r="J46" s="437" t="s">
        <v>494</v>
      </c>
      <c r="K46" s="439" t="str">
        <f>CHOOSE(Q46, 'Variable Management'!N69,'Variable Management'!N70,'Variable Management'!N71)</f>
        <v>2.0 x 1.25</v>
      </c>
      <c r="L46" s="433">
        <f>CHOOSE(Q46, 'Variable Management'!O69,'Variable Management'!O70,'Variable Management'!O71)</f>
        <v>2.5</v>
      </c>
      <c r="P46" s="455"/>
      <c r="Q46" s="458">
        <v>3</v>
      </c>
      <c r="R46" s="455"/>
      <c r="S46" s="455"/>
    </row>
    <row r="47" spans="1:19" s="317" customFormat="1" ht="17.100000000000001" customHeight="1" x14ac:dyDescent="0.2">
      <c r="A47" s="324">
        <v>1</v>
      </c>
      <c r="B47" s="325" t="s">
        <v>504</v>
      </c>
      <c r="C47" s="338">
        <v>0.1</v>
      </c>
      <c r="D47" s="558">
        <f t="shared" si="0"/>
        <v>0.1</v>
      </c>
      <c r="E47" s="559"/>
      <c r="F47" s="559"/>
      <c r="G47" s="337"/>
      <c r="H47" s="327"/>
      <c r="I47" s="328" t="s">
        <v>494</v>
      </c>
      <c r="J47" s="437" t="s">
        <v>494</v>
      </c>
      <c r="K47" s="439" t="str">
        <f>CHOOSE(Q47, 'Variable Management'!N69,'Variable Management'!N70,'Variable Management'!N71)</f>
        <v>1.6 x 0.8</v>
      </c>
      <c r="L47" s="433">
        <f>CHOOSE(Q47, 'Variable Management'!O69,'Variable Management'!O70,'Variable Management'!O71)</f>
        <v>1.3</v>
      </c>
      <c r="P47" s="455"/>
      <c r="Q47" s="458">
        <v>2</v>
      </c>
      <c r="R47" s="455"/>
      <c r="S47" s="455"/>
    </row>
    <row r="48" spans="1:19" s="317" customFormat="1" ht="17.100000000000001" customHeight="1" x14ac:dyDescent="0.2">
      <c r="A48" s="313">
        <v>1</v>
      </c>
      <c r="B48" s="332" t="s">
        <v>766</v>
      </c>
      <c r="C48" s="341">
        <f>'Design Regulator'!E17</f>
        <v>6.8</v>
      </c>
      <c r="D48" s="549" t="str">
        <f>"Inductor, "&amp;Lout2*1000000&amp;"µH, "&amp;Rdcr*1000&amp;"mΩ, &gt;"&amp;ROUNDUP(Ilsat,0)&amp;"A"</f>
        <v>Inductor, 6,8µH, 0,88mΩ, &gt;18A</v>
      </c>
      <c r="E48" s="550"/>
      <c r="F48" s="550"/>
      <c r="G48" s="555"/>
      <c r="H48" s="336"/>
      <c r="I48" s="336" t="s">
        <v>507</v>
      </c>
      <c r="J48" s="436" t="s">
        <v>507</v>
      </c>
      <c r="K48" s="440" t="str">
        <f>CHOOSE(Q48, 'Variable Management'!N78,'Variable Management'!N79,'Variable Management'!N80, 'Variable Management'!N81, 'Variable Management'!N82, 'Variable Management'!N83, 'Variable Management'!N84, 'Variable Management'!N85)</f>
        <v>10.0 x 10.0</v>
      </c>
      <c r="L48" s="441">
        <f>CHOOSE(Q48, 'Variable Management'!O78,'Variable Management'!O79,'Variable Management'!O80, 'Variable Management'!O81, 'Variable Management'!O82, 'Variable Management'!O83, 'Variable Management'!O84, 'Variable Management'!O85)</f>
        <v>100</v>
      </c>
      <c r="P48" s="455"/>
      <c r="Q48" s="458">
        <v>7</v>
      </c>
      <c r="R48" s="455"/>
      <c r="S48" s="455"/>
    </row>
    <row r="49" spans="1:19" s="317" customFormat="1" ht="17.100000000000001" customHeight="1" x14ac:dyDescent="0.2">
      <c r="A49" s="324">
        <f>R49</f>
        <v>1</v>
      </c>
      <c r="B49" s="325" t="s">
        <v>508</v>
      </c>
      <c r="C49" s="340" t="s">
        <v>495</v>
      </c>
      <c r="D49" s="530">
        <f>'Design Regulator'!E85</f>
        <v>52</v>
      </c>
      <c r="E49" s="531"/>
      <c r="F49" s="531"/>
      <c r="G49" s="532"/>
      <c r="H49" s="328"/>
      <c r="I49" s="328" t="str">
        <f>'Design Regulator'!E84</f>
        <v>CSD19538Q3A</v>
      </c>
      <c r="J49" s="437" t="s">
        <v>496</v>
      </c>
      <c r="K49" s="439" t="str">
        <f>CHOOSE(Q49, 'Variable Management'!N48,'Variable Management'!N49,'Variable Management'!N50,'Variable Management'!N51)</f>
        <v>5.0 x 6.0</v>
      </c>
      <c r="L49" s="433">
        <f>CHOOSE(Q49, 'Variable Management'!O48,'Variable Management'!O49,'Variable Management'!O50,'Variable Management'!O51)*R49</f>
        <v>30</v>
      </c>
      <c r="P49" s="455"/>
      <c r="Q49" s="458">
        <v>1</v>
      </c>
      <c r="R49" s="458">
        <v>1</v>
      </c>
      <c r="S49" s="455"/>
    </row>
    <row r="50" spans="1:19" s="317" customFormat="1" ht="17.100000000000001" customHeight="1" x14ac:dyDescent="0.2">
      <c r="A50" s="324">
        <f>R50</f>
        <v>1</v>
      </c>
      <c r="B50" s="325" t="s">
        <v>509</v>
      </c>
      <c r="C50" s="340" t="s">
        <v>495</v>
      </c>
      <c r="D50" s="530">
        <f>'Design Regulator'!E97</f>
        <v>10</v>
      </c>
      <c r="E50" s="531"/>
      <c r="F50" s="531"/>
      <c r="G50" s="532"/>
      <c r="H50" s="328"/>
      <c r="I50" s="328" t="str">
        <f>'Design Regulator'!E96</f>
        <v>NVMFS6B14NL</v>
      </c>
      <c r="J50" s="437" t="s">
        <v>496</v>
      </c>
      <c r="K50" s="439" t="str">
        <f>CHOOSE(Q50, 'Variable Management'!N48,'Variable Management'!N49,'Variable Management'!N50,'Variable Management'!N51)</f>
        <v>5.0 x 6.0</v>
      </c>
      <c r="L50" s="433">
        <f>CHOOSE(Q50, 'Variable Management'!O48,'Variable Management'!O49,'Variable Management'!O50,'Variable Management'!O51)*R50</f>
        <v>30</v>
      </c>
      <c r="P50" s="455"/>
      <c r="Q50" s="458">
        <v>1</v>
      </c>
      <c r="R50" s="458">
        <v>1</v>
      </c>
      <c r="S50" s="455"/>
    </row>
    <row r="51" spans="1:19" s="317" customFormat="1" ht="17.100000000000001" customHeight="1" x14ac:dyDescent="0.2">
      <c r="A51" s="324"/>
      <c r="B51" s="325"/>
      <c r="C51" s="340"/>
      <c r="D51" s="424"/>
      <c r="E51" s="425"/>
      <c r="F51" s="425"/>
      <c r="G51" s="426"/>
      <c r="H51" s="328"/>
      <c r="I51" s="328"/>
      <c r="J51" s="437"/>
      <c r="K51" s="439"/>
      <c r="L51" s="433"/>
      <c r="P51" s="455"/>
      <c r="Q51" s="458"/>
      <c r="R51" s="455"/>
      <c r="S51" s="455"/>
    </row>
    <row r="52" spans="1:19" s="317" customFormat="1" ht="17.100000000000001" customHeight="1" x14ac:dyDescent="0.2">
      <c r="A52" s="318">
        <v>1</v>
      </c>
      <c r="B52" s="319" t="s">
        <v>510</v>
      </c>
      <c r="C52" s="320">
        <f>'Design Regulator'!D74</f>
        <v>6.65</v>
      </c>
      <c r="D52" s="527">
        <f t="shared" ref="D52:D62" si="2">C52</f>
        <v>6.65</v>
      </c>
      <c r="E52" s="528"/>
      <c r="F52" s="528"/>
      <c r="G52" s="529"/>
      <c r="H52" s="321"/>
      <c r="I52" s="322" t="s">
        <v>494</v>
      </c>
      <c r="J52" s="438" t="s">
        <v>494</v>
      </c>
      <c r="K52" s="440" t="str">
        <f>CHOOSE(Q52, 'Variable Management'!N69,'Variable Management'!N70,'Variable Management'!N71)</f>
        <v>1.0 x 0.5</v>
      </c>
      <c r="L52" s="441">
        <f>CHOOSE(Q52, 'Variable Management'!O69,'Variable Management'!O70,'Variable Management'!O71)</f>
        <v>0.5</v>
      </c>
      <c r="P52" s="455"/>
      <c r="Q52" s="458">
        <v>1</v>
      </c>
      <c r="R52" s="455"/>
      <c r="S52" s="455"/>
    </row>
    <row r="53" spans="1:19" s="317" customFormat="1" ht="17.100000000000001" customHeight="1" x14ac:dyDescent="0.2">
      <c r="A53" s="318">
        <v>1</v>
      </c>
      <c r="B53" s="319" t="s">
        <v>511</v>
      </c>
      <c r="C53" s="323">
        <f>'Design Regulator'!D77</f>
        <v>768</v>
      </c>
      <c r="D53" s="551">
        <f t="shared" si="2"/>
        <v>768</v>
      </c>
      <c r="E53" s="552"/>
      <c r="F53" s="552"/>
      <c r="G53" s="553"/>
      <c r="H53" s="321"/>
      <c r="I53" s="322" t="s">
        <v>494</v>
      </c>
      <c r="J53" s="438" t="s">
        <v>494</v>
      </c>
      <c r="K53" s="440" t="str">
        <f>CHOOSE(Q52, 'Variable Management'!N69,'Variable Management'!N70,'Variable Management'!N71)</f>
        <v>1.0 x 0.5</v>
      </c>
      <c r="L53" s="441">
        <f>CHOOSE(Q53, 'Variable Management'!O69,'Variable Management'!O70,'Variable Management'!O71)</f>
        <v>0.5</v>
      </c>
      <c r="P53" s="455"/>
      <c r="Q53" s="458">
        <v>1</v>
      </c>
      <c r="R53" s="455"/>
      <c r="S53" s="455"/>
    </row>
    <row r="54" spans="1:19" s="317" customFormat="1" ht="17.100000000000001" customHeight="1" x14ac:dyDescent="0.2">
      <c r="A54" s="318">
        <v>1</v>
      </c>
      <c r="B54" s="319" t="s">
        <v>601</v>
      </c>
      <c r="C54" s="323">
        <f>'Design Regulator'!E26</f>
        <v>562</v>
      </c>
      <c r="D54" s="551">
        <f t="shared" si="2"/>
        <v>562</v>
      </c>
      <c r="E54" s="552"/>
      <c r="F54" s="552"/>
      <c r="G54" s="553"/>
      <c r="H54" s="321"/>
      <c r="I54" s="322" t="s">
        <v>494</v>
      </c>
      <c r="J54" s="438" t="s">
        <v>494</v>
      </c>
      <c r="K54" s="440" t="str">
        <f>CHOOSE(Q52, 'Variable Management'!N69,'Variable Management'!N70,'Variable Management'!N71)</f>
        <v>1.0 x 0.5</v>
      </c>
      <c r="L54" s="441">
        <f>CHOOSE(Q54, 'Variable Management'!O69,'Variable Management'!O70,'Variable Management'!O71)</f>
        <v>2.5</v>
      </c>
      <c r="P54" s="455"/>
      <c r="Q54" s="458">
        <v>3</v>
      </c>
      <c r="R54" s="455"/>
      <c r="S54" s="455"/>
    </row>
    <row r="55" spans="1:19" s="317" customFormat="1" ht="17.100000000000001" customHeight="1" x14ac:dyDescent="0.2">
      <c r="A55" s="318">
        <v>1</v>
      </c>
      <c r="B55" s="319" t="s">
        <v>602</v>
      </c>
      <c r="C55" s="320">
        <f>'Design Regulator'!E13</f>
        <v>30.1</v>
      </c>
      <c r="D55" s="527">
        <f t="shared" si="2"/>
        <v>30.1</v>
      </c>
      <c r="E55" s="528"/>
      <c r="F55" s="528"/>
      <c r="G55" s="529"/>
      <c r="H55" s="321"/>
      <c r="I55" s="322" t="s">
        <v>494</v>
      </c>
      <c r="J55" s="438" t="s">
        <v>494</v>
      </c>
      <c r="K55" s="440" t="str">
        <f>CHOOSE(Q55, 'Variable Management'!N69,'Variable Management'!N70,'Variable Management'!N71)</f>
        <v>1.0 x 0.5</v>
      </c>
      <c r="L55" s="441">
        <f>CHOOSE(Q55, 'Variable Management'!O69,'Variable Management'!O70,'Variable Management'!O71)</f>
        <v>0.5</v>
      </c>
      <c r="P55" s="455"/>
      <c r="Q55" s="458">
        <v>1</v>
      </c>
      <c r="R55" s="455"/>
      <c r="S55" s="455"/>
    </row>
    <row r="56" spans="1:19" s="317" customFormat="1" ht="17.100000000000001" customHeight="1" x14ac:dyDescent="0.2">
      <c r="A56" s="318">
        <v>1</v>
      </c>
      <c r="B56" s="319" t="s">
        <v>517</v>
      </c>
      <c r="C56" s="320">
        <f>'Design Regulator'!E63</f>
        <v>26.4</v>
      </c>
      <c r="D56" s="527">
        <f t="shared" si="2"/>
        <v>26.4</v>
      </c>
      <c r="E56" s="528"/>
      <c r="F56" s="528"/>
      <c r="G56" s="529"/>
      <c r="H56" s="321"/>
      <c r="I56" s="322" t="s">
        <v>494</v>
      </c>
      <c r="J56" s="438" t="s">
        <v>494</v>
      </c>
      <c r="K56" s="440" t="str">
        <f>CHOOSE(Q56, 'Variable Management'!N69,'Variable Management'!N70,'Variable Management'!N71)</f>
        <v>1.0 x 0.5</v>
      </c>
      <c r="L56" s="441">
        <f>CHOOSE(Q56, 'Variable Management'!O69,'Variable Management'!O70,'Variable Management'!O71)</f>
        <v>0.5</v>
      </c>
      <c r="P56" s="455"/>
      <c r="Q56" s="458">
        <v>1</v>
      </c>
      <c r="R56" s="455"/>
      <c r="S56" s="455"/>
    </row>
    <row r="57" spans="1:19" s="317" customFormat="1" ht="17.100000000000001" customHeight="1" x14ac:dyDescent="0.2">
      <c r="A57" s="318">
        <v>1</v>
      </c>
      <c r="B57" s="319" t="s">
        <v>518</v>
      </c>
      <c r="C57" s="320">
        <f>'Design Regulator'!E64</f>
        <v>1.58</v>
      </c>
      <c r="D57" s="527">
        <f t="shared" si="2"/>
        <v>1.58</v>
      </c>
      <c r="E57" s="528"/>
      <c r="F57" s="528"/>
      <c r="G57" s="529"/>
      <c r="H57" s="321"/>
      <c r="I57" s="322" t="s">
        <v>494</v>
      </c>
      <c r="J57" s="438" t="s">
        <v>494</v>
      </c>
      <c r="K57" s="440" t="str">
        <f>CHOOSE(Q57, 'Variable Management'!N69,'Variable Management'!N70,'Variable Management'!N71)</f>
        <v>1.0 x 0.5</v>
      </c>
      <c r="L57" s="441">
        <f>CHOOSE(Q57, 'Variable Management'!O69,'Variable Management'!O70,'Variable Management'!O71)</f>
        <v>0.5</v>
      </c>
      <c r="P57" s="455"/>
      <c r="Q57" s="458">
        <v>1</v>
      </c>
      <c r="R57" s="455"/>
      <c r="S57" s="455"/>
    </row>
    <row r="58" spans="1:19" s="317" customFormat="1" ht="17.100000000000001" customHeight="1" x14ac:dyDescent="0.2">
      <c r="A58" s="324">
        <v>1</v>
      </c>
      <c r="B58" s="325" t="s">
        <v>516</v>
      </c>
      <c r="C58" s="326">
        <v>20</v>
      </c>
      <c r="D58" s="524">
        <f t="shared" si="2"/>
        <v>20</v>
      </c>
      <c r="E58" s="525"/>
      <c r="F58" s="525"/>
      <c r="G58" s="526"/>
      <c r="H58" s="327"/>
      <c r="I58" s="328" t="s">
        <v>494</v>
      </c>
      <c r="J58" s="437" t="s">
        <v>494</v>
      </c>
      <c r="K58" s="439" t="str">
        <f>CHOOSE(Q58, 'Variable Management'!N69,'Variable Management'!N70,'Variable Management'!N71)</f>
        <v>1.0 x 0.5</v>
      </c>
      <c r="L58" s="433">
        <f>CHOOSE(Q58, 'Variable Management'!O69,'Variable Management'!O70,'Variable Management'!O71)</f>
        <v>0.5</v>
      </c>
      <c r="P58" s="455"/>
      <c r="Q58" s="458">
        <v>1</v>
      </c>
      <c r="R58" s="455"/>
      <c r="S58" s="455"/>
    </row>
    <row r="59" spans="1:19" s="317" customFormat="1" ht="17.100000000000001" customHeight="1" x14ac:dyDescent="0.2">
      <c r="A59" s="324">
        <v>1</v>
      </c>
      <c r="B59" s="325" t="s">
        <v>515</v>
      </c>
      <c r="C59" s="473">
        <f>'Design Regulator'!E24</f>
        <v>6</v>
      </c>
      <c r="D59" s="536">
        <f t="shared" si="2"/>
        <v>6</v>
      </c>
      <c r="E59" s="537"/>
      <c r="F59" s="537"/>
      <c r="G59" s="538"/>
      <c r="H59" s="472">
        <v>1206</v>
      </c>
      <c r="I59" s="328" t="s">
        <v>494</v>
      </c>
      <c r="J59" s="437" t="s">
        <v>494</v>
      </c>
      <c r="K59" s="439" t="s">
        <v>634</v>
      </c>
      <c r="L59" s="433">
        <f>CHOOSE(RDSON_sense, 0,5.1)</f>
        <v>0</v>
      </c>
      <c r="P59" s="455"/>
      <c r="Q59" s="458"/>
      <c r="R59" s="455"/>
      <c r="S59" s="455"/>
    </row>
    <row r="60" spans="1:19" s="317" customFormat="1" ht="17.100000000000001" customHeight="1" x14ac:dyDescent="0.2">
      <c r="A60" s="318">
        <v>1</v>
      </c>
      <c r="B60" s="319" t="s">
        <v>512</v>
      </c>
      <c r="C60" s="320">
        <f>'Design Regulator'!E53</f>
        <v>200</v>
      </c>
      <c r="D60" s="527">
        <f t="shared" si="2"/>
        <v>200</v>
      </c>
      <c r="E60" s="528"/>
      <c r="F60" s="528"/>
      <c r="G60" s="529"/>
      <c r="H60" s="321"/>
      <c r="I60" s="322" t="s">
        <v>494</v>
      </c>
      <c r="J60" s="438" t="s">
        <v>494</v>
      </c>
      <c r="K60" s="440" t="str">
        <f>CHOOSE(Q60, 'Variable Management'!N69,'Variable Management'!N70,'Variable Management'!N71)</f>
        <v>1.6 x 0.8</v>
      </c>
      <c r="L60" s="441">
        <f>CHOOSE(Q60, 'Variable Management'!O69,'Variable Management'!O70,'Variable Management'!O71)</f>
        <v>1.3</v>
      </c>
      <c r="P60" s="455"/>
      <c r="Q60" s="458">
        <v>2</v>
      </c>
      <c r="R60" s="455"/>
      <c r="S60" s="455"/>
    </row>
    <row r="61" spans="1:19" s="317" customFormat="1" ht="17.100000000000001" customHeight="1" x14ac:dyDescent="0.2">
      <c r="A61" s="318">
        <v>1</v>
      </c>
      <c r="B61" s="319" t="s">
        <v>513</v>
      </c>
      <c r="C61" s="320">
        <f>'Design Regulator'!E54</f>
        <v>8.25</v>
      </c>
      <c r="D61" s="527">
        <f t="shared" si="2"/>
        <v>8.25</v>
      </c>
      <c r="E61" s="528"/>
      <c r="F61" s="528"/>
      <c r="G61" s="529"/>
      <c r="H61" s="321"/>
      <c r="I61" s="322" t="s">
        <v>494</v>
      </c>
      <c r="J61" s="438" t="s">
        <v>494</v>
      </c>
      <c r="K61" s="440" t="str">
        <f>CHOOSE(Q61, 'Variable Management'!N69,'Variable Management'!N70,'Variable Management'!N71)</f>
        <v>1.0 x 0.5</v>
      </c>
      <c r="L61" s="441">
        <f>CHOOSE(Q61, 'Variable Management'!O69,'Variable Management'!O70,'Variable Management'!O71)</f>
        <v>0.5</v>
      </c>
      <c r="P61" s="455"/>
      <c r="Q61" s="458">
        <v>1</v>
      </c>
      <c r="R61" s="455"/>
      <c r="S61" s="455"/>
    </row>
    <row r="62" spans="1:19" s="317" customFormat="1" ht="17.100000000000001" customHeight="1" x14ac:dyDescent="0.2">
      <c r="A62" s="324">
        <v>1</v>
      </c>
      <c r="B62" s="325" t="s">
        <v>514</v>
      </c>
      <c r="C62" s="340">
        <v>2.2000000000000002</v>
      </c>
      <c r="D62" s="533">
        <f t="shared" si="2"/>
        <v>2.2000000000000002</v>
      </c>
      <c r="E62" s="534"/>
      <c r="F62" s="534"/>
      <c r="G62" s="535"/>
      <c r="H62" s="327"/>
      <c r="I62" s="328" t="s">
        <v>494</v>
      </c>
      <c r="J62" s="437" t="s">
        <v>494</v>
      </c>
      <c r="K62" s="439" t="str">
        <f>CHOOSE(Q62, 'Variable Management'!N69,'Variable Management'!N70,'Variable Management'!N71)</f>
        <v>1.0 x 0.5</v>
      </c>
      <c r="L62" s="433">
        <f>CHOOSE(Q62, 'Variable Management'!O69,'Variable Management'!O70,'Variable Management'!O71)</f>
        <v>0.5</v>
      </c>
      <c r="P62" s="455"/>
      <c r="Q62" s="458">
        <v>1</v>
      </c>
      <c r="R62" s="455"/>
      <c r="S62" s="455"/>
    </row>
    <row r="63" spans="1:19" s="317" customFormat="1" ht="17.100000000000001" customHeight="1" x14ac:dyDescent="0.2">
      <c r="A63" s="343">
        <v>1</v>
      </c>
      <c r="B63" s="344" t="s">
        <v>519</v>
      </c>
      <c r="C63" s="342" t="str">
        <f>CHOOSE(VARIANT, "LM5145", "LM5145-Q1", "LM25145", "LM5146", "LM5146-Q1")</f>
        <v>LM5146-Q1</v>
      </c>
      <c r="D63" s="521" t="str">
        <f>CHOOSE(VARIANT, "IC, LM5145, PWM Controller, 6V-75V Input", "IC, LM5145-Q1, PWM Controller, 6V-75V Input", "IC, LM25145, PWM Controller, 6V-42V Input", "IC, LM5146 PWM Controller, 5.5V-100V Input", "IC, LM5146-Q1, PWM Controller, 5.5V-100V Input")</f>
        <v>IC, LM5146-Q1, PWM Controller, 5.5V-100V Input</v>
      </c>
      <c r="E63" s="522"/>
      <c r="F63" s="522"/>
      <c r="G63" s="523"/>
      <c r="H63" s="345" t="s">
        <v>618</v>
      </c>
      <c r="I63" s="345" t="str">
        <f>CHOOSE(VARIANT, "LM5145RGYR", "LM5145QRGYRQ1", "LM25145RGYR", "LM5146RGYR", "LM5146QRGYRQ1",)</f>
        <v>LM5146QRGYRQ1</v>
      </c>
      <c r="J63" s="423" t="s">
        <v>496</v>
      </c>
      <c r="K63" s="439" t="s">
        <v>705</v>
      </c>
      <c r="L63" s="434">
        <v>15.75</v>
      </c>
      <c r="P63" s="455"/>
      <c r="Q63" s="458"/>
      <c r="R63" s="455"/>
      <c r="S63" s="455"/>
    </row>
    <row r="64" spans="1:19" x14ac:dyDescent="0.2">
      <c r="P64" s="464"/>
      <c r="Q64" s="465"/>
      <c r="R64" s="464"/>
      <c r="S64" s="464"/>
    </row>
    <row r="65" spans="1:15" ht="18.75" x14ac:dyDescent="0.25">
      <c r="I65" s="554" t="s">
        <v>668</v>
      </c>
      <c r="J65" s="554"/>
      <c r="K65" s="554"/>
      <c r="L65" s="444">
        <f>SUM(L38:L63)*1.25</f>
        <v>287.5625</v>
      </c>
      <c r="M65" s="445" t="s">
        <v>669</v>
      </c>
      <c r="N65" s="446">
        <f>L65/25.4/25.4</f>
        <v>0.44572276644553288</v>
      </c>
      <c r="O65" s="445" t="s">
        <v>670</v>
      </c>
    </row>
    <row r="66" spans="1:15" x14ac:dyDescent="0.2">
      <c r="A66" s="351" t="s">
        <v>537</v>
      </c>
    </row>
    <row r="67" spans="1:15" x14ac:dyDescent="0.2">
      <c r="A67" s="310" t="s">
        <v>536</v>
      </c>
    </row>
    <row r="68" spans="1:15" x14ac:dyDescent="0.2">
      <c r="A68" s="310" t="s">
        <v>704</v>
      </c>
    </row>
    <row r="455" spans="17:17" x14ac:dyDescent="0.2">
      <c r="Q455" s="310">
        <v>2</v>
      </c>
    </row>
  </sheetData>
  <sheetProtection algorithmName="SHA-512" hashValue="krwzp8ekoN0dSGTZZP6A75/wCRHduBqse/fAtGr5sWD/Gr0HghhzdmX50qS5gSIlnyq/Jke7EuYuVjiBhkRVvw==" saltValue="EgPEQVuZ+VJgMx0WOOXibA==" spinCount="100000" sheet="1" objects="1" scenarios="1" selectLockedCells="1" selectUnlockedCells="1"/>
  <mergeCells count="27">
    <mergeCell ref="I65:K65"/>
    <mergeCell ref="D54:G54"/>
    <mergeCell ref="D48:G48"/>
    <mergeCell ref="D44:F44"/>
    <mergeCell ref="D45:F45"/>
    <mergeCell ref="D47:F47"/>
    <mergeCell ref="D42:F42"/>
    <mergeCell ref="D46:F46"/>
    <mergeCell ref="D43:F43"/>
    <mergeCell ref="D52:G52"/>
    <mergeCell ref="D53:G53"/>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s>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200025</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200025</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200025</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200025</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200025</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200025</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200025</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200025</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200025</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200025</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200025</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200025</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200025</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200025</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200025</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200025</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200025</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200025</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200025</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200025</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200025</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200025</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200025</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1171575</xdr:colOff>
                    <xdr:row>48</xdr:row>
                    <xdr:rowOff>9525</xdr:rowOff>
                  </from>
                  <to>
                    <xdr:col>6</xdr:col>
                    <xdr:colOff>638175</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1171575</xdr:colOff>
                    <xdr:row>49</xdr:row>
                    <xdr:rowOff>0</xdr:rowOff>
                  </from>
                  <to>
                    <xdr:col>6</xdr:col>
                    <xdr:colOff>638175</xdr:colOff>
                    <xdr:row>49</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topLeftCell="A63" zoomScale="111" zoomScaleNormal="85" zoomScaleSheetLayoutView="80" workbookViewId="0">
      <selection activeCell="AD89" sqref="AD89"/>
    </sheetView>
  </sheetViews>
  <sheetFormatPr defaultColWidth="9.140625" defaultRowHeight="12.75" x14ac:dyDescent="0.2"/>
  <cols>
    <col min="1" max="13" width="9.140625" style="492"/>
    <col min="14" max="14" width="11.85546875" style="492" customWidth="1"/>
    <col min="15" max="16" width="9.140625" style="492"/>
    <col min="17" max="17" width="15.7109375" style="492" customWidth="1"/>
    <col min="18" max="16384" width="9.140625" style="492"/>
  </cols>
  <sheetData>
    <row r="1" spans="1:23" s="491" customFormat="1" ht="47.25" customHeight="1" x14ac:dyDescent="0.2">
      <c r="A1" s="560" t="s">
        <v>740</v>
      </c>
      <c r="B1" s="561"/>
      <c r="C1" s="561"/>
      <c r="D1" s="561"/>
      <c r="E1" s="561"/>
      <c r="F1" s="561"/>
      <c r="G1" s="561"/>
      <c r="H1" s="561"/>
      <c r="I1" s="561"/>
      <c r="J1" s="561"/>
      <c r="K1" s="561"/>
      <c r="L1" s="561"/>
      <c r="M1" s="561"/>
      <c r="N1" s="561"/>
      <c r="O1" s="561"/>
      <c r="P1" s="561"/>
      <c r="Q1" s="561"/>
    </row>
    <row r="2" spans="1:23" ht="20.25" x14ac:dyDescent="0.3">
      <c r="M2" s="493"/>
      <c r="W2" s="493"/>
    </row>
    <row r="3" spans="1:23" ht="20.25" x14ac:dyDescent="0.3">
      <c r="B3" s="493" t="s">
        <v>737</v>
      </c>
    </row>
    <row r="5" spans="1:23" ht="20.25" x14ac:dyDescent="0.2">
      <c r="O5" s="494"/>
    </row>
    <row r="6" spans="1:23" ht="20.25" x14ac:dyDescent="0.2">
      <c r="O6" s="494"/>
    </row>
    <row r="31" spans="15:15" ht="20.25" x14ac:dyDescent="0.2">
      <c r="O31" s="495"/>
    </row>
    <row r="32" spans="15:15" ht="20.25" x14ac:dyDescent="0.2">
      <c r="O32" s="494"/>
    </row>
    <row r="46" spans="2:2" ht="20.25" x14ac:dyDescent="0.3">
      <c r="B46" s="493" t="s">
        <v>749</v>
      </c>
    </row>
    <row r="50" spans="15:25" ht="20.25" x14ac:dyDescent="0.2">
      <c r="O50" s="494" t="s">
        <v>750</v>
      </c>
    </row>
    <row r="51" spans="15:25" ht="20.25" x14ac:dyDescent="0.2">
      <c r="O51" s="494" t="s">
        <v>751</v>
      </c>
      <c r="Y51" s="492" t="s">
        <v>738</v>
      </c>
    </row>
    <row r="76" spans="15:15" ht="20.25" x14ac:dyDescent="0.2">
      <c r="O76" s="495" t="s">
        <v>752</v>
      </c>
    </row>
    <row r="77" spans="15:15" ht="20.25" x14ac:dyDescent="0.2">
      <c r="O77" s="494"/>
    </row>
    <row r="102" spans="15:15" ht="20.25" x14ac:dyDescent="0.2">
      <c r="O102" s="495" t="s">
        <v>753</v>
      </c>
    </row>
    <row r="129" spans="15:15" ht="20.25" x14ac:dyDescent="0.2">
      <c r="O129" s="494" t="s">
        <v>754</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95" activePane="bottomLeft" state="frozenSplit"/>
      <selection pane="bottomLeft" activeCell="B211" sqref="B211"/>
    </sheetView>
  </sheetViews>
  <sheetFormatPr defaultRowHeight="12.75" x14ac:dyDescent="0.2"/>
  <cols>
    <col min="1" max="1" width="35.140625" bestFit="1" customWidth="1"/>
    <col min="2" max="2" width="19.140625" customWidth="1"/>
    <col min="7" max="7" width="18.85546875" customWidth="1"/>
    <col min="9" max="10" width="12.42578125" bestFit="1" customWidth="1"/>
    <col min="12" max="12" width="19.85546875" customWidth="1"/>
    <col min="14" max="14" width="11.42578125" customWidth="1"/>
    <col min="17" max="17" width="10.5703125" customWidth="1"/>
    <col min="20" max="20" width="10.85546875" customWidth="1"/>
    <col min="21" max="21" width="10.5703125" customWidth="1"/>
  </cols>
  <sheetData>
    <row r="1" spans="1:22" ht="40.5" customHeight="1" x14ac:dyDescent="0.4">
      <c r="A1" s="563" t="s">
        <v>285</v>
      </c>
      <c r="B1" s="563"/>
      <c r="C1" s="563"/>
      <c r="D1" s="563"/>
      <c r="E1" s="563"/>
      <c r="F1" s="563"/>
      <c r="G1" s="563"/>
      <c r="H1" s="563"/>
    </row>
    <row r="2" spans="1:22" ht="12" customHeight="1" x14ac:dyDescent="0.2">
      <c r="A2" s="56"/>
      <c r="B2" s="56" t="s">
        <v>359</v>
      </c>
      <c r="C2" s="64"/>
      <c r="D2" s="56"/>
      <c r="E2" s="56"/>
      <c r="F2" s="56"/>
      <c r="G2" s="56"/>
      <c r="H2" s="56"/>
    </row>
    <row r="3" spans="1:22" ht="11.25" customHeight="1" x14ac:dyDescent="0.2">
      <c r="A3" s="56"/>
      <c r="B3" s="56" t="s">
        <v>419</v>
      </c>
      <c r="C3" s="65"/>
      <c r="D3" s="56"/>
      <c r="E3" s="56"/>
      <c r="F3" s="56"/>
      <c r="G3" s="56"/>
      <c r="H3" s="56"/>
    </row>
    <row r="4" spans="1:22" ht="11.25" customHeight="1" x14ac:dyDescent="0.2">
      <c r="A4" s="56"/>
      <c r="B4" s="56" t="s">
        <v>360</v>
      </c>
      <c r="C4" s="66"/>
      <c r="D4" s="56"/>
      <c r="E4" s="56"/>
      <c r="F4" s="56"/>
      <c r="G4" s="56"/>
      <c r="H4" s="56"/>
    </row>
    <row r="5" spans="1:22" x14ac:dyDescent="0.2">
      <c r="A5" s="2" t="s">
        <v>113</v>
      </c>
      <c r="B5" s="2" t="s">
        <v>8</v>
      </c>
      <c r="C5" s="2" t="s">
        <v>9</v>
      </c>
      <c r="D5" s="562" t="s">
        <v>13</v>
      </c>
      <c r="E5" s="562"/>
      <c r="F5" s="562"/>
      <c r="G5" s="562"/>
      <c r="H5" s="2" t="s">
        <v>38</v>
      </c>
    </row>
    <row r="6" spans="1:22" ht="16.5" thickBot="1" x14ac:dyDescent="0.3">
      <c r="A6" s="133" t="s">
        <v>287</v>
      </c>
      <c r="B6" s="2"/>
      <c r="C6" s="2"/>
      <c r="D6" s="56"/>
      <c r="E6" s="56"/>
      <c r="F6" s="56"/>
      <c r="G6" s="56"/>
      <c r="H6" s="2"/>
    </row>
    <row r="7" spans="1:22" x14ac:dyDescent="0.2">
      <c r="A7" s="134" t="s">
        <v>4</v>
      </c>
      <c r="B7" s="18">
        <f>'Design Regulator'!E7</f>
        <v>30</v>
      </c>
      <c r="C7" s="94" t="s">
        <v>0</v>
      </c>
      <c r="D7" s="94" t="s">
        <v>14</v>
      </c>
      <c r="E7" s="94"/>
      <c r="F7" s="94"/>
      <c r="G7" s="94"/>
      <c r="H7" s="95">
        <v>1</v>
      </c>
      <c r="U7" s="427" t="s">
        <v>744</v>
      </c>
      <c r="V7" s="499">
        <v>1</v>
      </c>
    </row>
    <row r="8" spans="1:22" x14ac:dyDescent="0.2">
      <c r="A8" s="388" t="s">
        <v>570</v>
      </c>
      <c r="B8" s="39">
        <f>'Design Regulator'!E6</f>
        <v>24</v>
      </c>
      <c r="C8" s="171" t="s">
        <v>0</v>
      </c>
      <c r="D8" s="171" t="s">
        <v>573</v>
      </c>
      <c r="H8" s="88"/>
      <c r="U8" s="427" t="s">
        <v>745</v>
      </c>
      <c r="V8" s="499">
        <v>2</v>
      </c>
    </row>
    <row r="9" spans="1:22" x14ac:dyDescent="0.2">
      <c r="A9" s="388" t="s">
        <v>569</v>
      </c>
      <c r="B9" s="39">
        <f>'Design Regulator'!E8</f>
        <v>36</v>
      </c>
      <c r="C9" s="171" t="s">
        <v>0</v>
      </c>
      <c r="D9" s="171" t="s">
        <v>574</v>
      </c>
      <c r="H9" s="88"/>
      <c r="U9" s="427" t="s">
        <v>746</v>
      </c>
      <c r="V9" s="499">
        <v>3</v>
      </c>
    </row>
    <row r="10" spans="1:22" x14ac:dyDescent="0.2">
      <c r="A10" s="87" t="s">
        <v>5</v>
      </c>
      <c r="B10" s="39">
        <f>'Design Regulator'!E9</f>
        <v>14</v>
      </c>
      <c r="C10" t="s">
        <v>0</v>
      </c>
      <c r="D10" t="s">
        <v>1</v>
      </c>
      <c r="H10" s="88">
        <v>1</v>
      </c>
      <c r="U10" s="427" t="s">
        <v>747</v>
      </c>
      <c r="V10" s="499">
        <v>4</v>
      </c>
    </row>
    <row r="11" spans="1:22" x14ac:dyDescent="0.2">
      <c r="A11" s="87" t="s">
        <v>6</v>
      </c>
      <c r="B11" s="39">
        <f>'Design Regulator'!E10</f>
        <v>9</v>
      </c>
      <c r="C11" t="s">
        <v>2</v>
      </c>
      <c r="D11" t="s">
        <v>15</v>
      </c>
      <c r="H11" s="88">
        <v>1</v>
      </c>
      <c r="U11" s="427" t="s">
        <v>736</v>
      </c>
      <c r="V11" s="499">
        <v>5</v>
      </c>
    </row>
    <row r="12" spans="1:22" x14ac:dyDescent="0.2">
      <c r="A12" s="89" t="s">
        <v>7</v>
      </c>
      <c r="B12" s="353">
        <f>IF(AND('Design Regulator'!E12&lt;='Design Regulator'!E11*1.5, 'Design Regulator'!E12&gt;='Design Regulator'!E11*0.8), 'Design Regulator'!E12*1000, 'Design Regulator'!E11*1000)</f>
        <v>332000</v>
      </c>
      <c r="C12" s="171" t="s">
        <v>10</v>
      </c>
      <c r="D12" t="s">
        <v>16</v>
      </c>
      <c r="H12" s="88">
        <v>1</v>
      </c>
      <c r="T12" s="383" t="s">
        <v>741</v>
      </c>
      <c r="U12" s="500" t="str">
        <f>CHOOSE(VARIANT, "LM5145", "LM5145-Q1", "LM25145", "LM5146", "LM5146-Q1")</f>
        <v>LM5146-Q1</v>
      </c>
      <c r="V12" s="383">
        <v>5</v>
      </c>
    </row>
    <row r="13" spans="1:22" x14ac:dyDescent="0.2">
      <c r="A13" s="388" t="s">
        <v>702</v>
      </c>
      <c r="B13" s="353">
        <f>'Design Regulator'!E11*1000</f>
        <v>332000</v>
      </c>
      <c r="C13" s="171" t="s">
        <v>10</v>
      </c>
      <c r="D13" s="171" t="s">
        <v>703</v>
      </c>
      <c r="H13" s="88"/>
      <c r="T13" s="383" t="s">
        <v>742</v>
      </c>
      <c r="U13" s="500">
        <f>CHOOSE(VARIANT, 75, 75, 42, 100, 100)</f>
        <v>100</v>
      </c>
      <c r="V13" t="s">
        <v>0</v>
      </c>
    </row>
    <row r="14" spans="1:22" x14ac:dyDescent="0.2">
      <c r="A14" s="89" t="s">
        <v>78</v>
      </c>
      <c r="B14" s="90">
        <v>0.8</v>
      </c>
      <c r="C14" t="s">
        <v>0</v>
      </c>
      <c r="D14" t="s">
        <v>79</v>
      </c>
      <c r="H14" s="88"/>
      <c r="T14" s="383" t="s">
        <v>748</v>
      </c>
      <c r="U14" s="500">
        <f>CHOOSE(VARIANT, 6, 6, 6, 5.5, 5.5)</f>
        <v>5.5</v>
      </c>
      <c r="V14" s="171" t="s">
        <v>0</v>
      </c>
    </row>
    <row r="15" spans="1:22" x14ac:dyDescent="0.2">
      <c r="A15" s="306" t="s">
        <v>568</v>
      </c>
      <c r="B15" s="166">
        <f>1/(B13*0.0000000001)</f>
        <v>30120.481927710844</v>
      </c>
      <c r="C15" s="309" t="s">
        <v>208</v>
      </c>
      <c r="H15" s="88"/>
      <c r="T15" s="383" t="s">
        <v>743</v>
      </c>
      <c r="U15" s="500">
        <f>CHOOSE(VARIANT, 60, 60, 42, 60, 60)</f>
        <v>60</v>
      </c>
      <c r="V15" s="171" t="s">
        <v>0</v>
      </c>
    </row>
    <row r="16" spans="1:22" x14ac:dyDescent="0.2">
      <c r="A16" s="388"/>
      <c r="B16" s="63"/>
      <c r="C16" s="309"/>
      <c r="H16" s="88"/>
    </row>
    <row r="17" spans="1:22" x14ac:dyDescent="0.2">
      <c r="A17" s="388" t="s">
        <v>686</v>
      </c>
      <c r="B17" s="453">
        <f>B38/Fsw*1000000000</f>
        <v>1192.0614917138657</v>
      </c>
      <c r="C17" s="171" t="s">
        <v>147</v>
      </c>
      <c r="H17" s="88"/>
    </row>
    <row r="18" spans="1:22" x14ac:dyDescent="0.2">
      <c r="A18" s="306" t="s">
        <v>685</v>
      </c>
      <c r="B18" s="454">
        <f>B37/Fsw*1000000000</f>
        <v>1214.4182521296768</v>
      </c>
      <c r="C18" s="171" t="s">
        <v>147</v>
      </c>
      <c r="H18" s="88"/>
    </row>
    <row r="19" spans="1:22" ht="13.5" thickBot="1" x14ac:dyDescent="0.25">
      <c r="A19" s="91"/>
      <c r="B19" s="157"/>
      <c r="C19" s="92"/>
      <c r="D19" s="92"/>
      <c r="E19" s="92"/>
      <c r="F19" s="92"/>
      <c r="G19" s="92"/>
      <c r="H19" s="93"/>
      <c r="U19" s="427" t="s">
        <v>760</v>
      </c>
      <c r="V19" s="173">
        <v>1</v>
      </c>
    </row>
    <row r="20" spans="1:22" x14ac:dyDescent="0.2">
      <c r="U20" s="427" t="s">
        <v>755</v>
      </c>
      <c r="V20" s="173">
        <v>2</v>
      </c>
    </row>
    <row r="21" spans="1:22" x14ac:dyDescent="0.2">
      <c r="U21" s="501" t="s">
        <v>756</v>
      </c>
      <c r="V21" s="383">
        <v>1</v>
      </c>
    </row>
    <row r="22" spans="1:22" ht="16.5" thickBot="1" x14ac:dyDescent="0.3">
      <c r="A22" s="133" t="s">
        <v>112</v>
      </c>
    </row>
    <row r="23" spans="1:22" x14ac:dyDescent="0.2">
      <c r="A23" s="135" t="s">
        <v>19</v>
      </c>
      <c r="B23" s="389">
        <f>Vout/Vin</f>
        <v>0.46666666666666667</v>
      </c>
      <c r="C23" s="94" t="s">
        <v>23</v>
      </c>
      <c r="D23" s="94" t="s">
        <v>17</v>
      </c>
      <c r="E23" s="94"/>
      <c r="F23" s="94"/>
      <c r="G23" s="94"/>
      <c r="H23" s="95">
        <v>1</v>
      </c>
    </row>
    <row r="24" spans="1:22" x14ac:dyDescent="0.2">
      <c r="A24" s="96" t="s">
        <v>20</v>
      </c>
      <c r="B24" s="391">
        <f>1-23:23</f>
        <v>0.53333333333333333</v>
      </c>
      <c r="C24" t="s">
        <v>23</v>
      </c>
      <c r="D24" t="s">
        <v>18</v>
      </c>
      <c r="H24" s="88">
        <v>1</v>
      </c>
    </row>
    <row r="25" spans="1:22" x14ac:dyDescent="0.2">
      <c r="A25" s="392" t="s">
        <v>679</v>
      </c>
      <c r="B25" s="391">
        <f>Vout/Vinmin</f>
        <v>0.58333333333333337</v>
      </c>
      <c r="H25" s="88"/>
    </row>
    <row r="26" spans="1:22" x14ac:dyDescent="0.2">
      <c r="A26" s="392" t="s">
        <v>680</v>
      </c>
      <c r="B26" s="391">
        <f>1-B25</f>
        <v>0.41666666666666663</v>
      </c>
      <c r="H26" s="88"/>
    </row>
    <row r="27" spans="1:22" x14ac:dyDescent="0.2">
      <c r="A27" s="392" t="s">
        <v>572</v>
      </c>
      <c r="B27" s="391">
        <f>Vout/Vinmax</f>
        <v>0.3888888888888889</v>
      </c>
      <c r="H27" s="88"/>
    </row>
    <row r="28" spans="1:22" x14ac:dyDescent="0.2">
      <c r="A28" s="392" t="s">
        <v>571</v>
      </c>
      <c r="B28" s="391">
        <f>1-B27</f>
        <v>0.61111111111111116</v>
      </c>
      <c r="H28" s="88"/>
    </row>
    <row r="29" spans="1:22" x14ac:dyDescent="0.2">
      <c r="A29" s="392"/>
      <c r="B29" s="395"/>
      <c r="H29" s="88"/>
    </row>
    <row r="30" spans="1:22" x14ac:dyDescent="0.2">
      <c r="A30" s="96" t="s">
        <v>31</v>
      </c>
      <c r="B30" s="359">
        <f>(Vin-Vout)*_Don1/(Fsw*Iout*0.333)</f>
        <v>7.5041574372230328E-6</v>
      </c>
      <c r="C30" t="s">
        <v>24</v>
      </c>
      <c r="D30" t="s">
        <v>420</v>
      </c>
      <c r="H30" s="88">
        <v>1</v>
      </c>
    </row>
    <row r="31" spans="1:22" x14ac:dyDescent="0.2">
      <c r="A31" s="87" t="s">
        <v>32</v>
      </c>
      <c r="B31" s="114">
        <f>'Design Regulator'!E17/1000000</f>
        <v>6.8000000000000001E-6</v>
      </c>
      <c r="C31" t="s">
        <v>24</v>
      </c>
      <c r="D31" s="171" t="s">
        <v>539</v>
      </c>
      <c r="H31" s="88">
        <v>2</v>
      </c>
    </row>
    <row r="32" spans="1:22" x14ac:dyDescent="0.2">
      <c r="A32" s="87" t="s">
        <v>12</v>
      </c>
      <c r="B32" s="39">
        <f>'Design Regulator'!E18/1000</f>
        <v>8.8000000000000003E-4</v>
      </c>
      <c r="C32" s="309" t="s">
        <v>208</v>
      </c>
      <c r="D32" s="171" t="s">
        <v>418</v>
      </c>
      <c r="H32" s="88">
        <v>1</v>
      </c>
    </row>
    <row r="33" spans="1:18" x14ac:dyDescent="0.2">
      <c r="A33" s="387"/>
      <c r="C33" s="309"/>
      <c r="D33" s="171"/>
      <c r="H33" s="88"/>
    </row>
    <row r="34" spans="1:18" x14ac:dyDescent="0.2">
      <c r="A34" s="306" t="s">
        <v>21</v>
      </c>
      <c r="B34" s="452">
        <f>(Vout+(Rdcr+RdsonBot)*Iout)/(Vin+(RdsonBot-RdsonTop)*Iout)</f>
        <v>0.47592735129295793</v>
      </c>
      <c r="D34" s="2" t="s">
        <v>421</v>
      </c>
      <c r="H34" s="88">
        <v>2</v>
      </c>
    </row>
    <row r="35" spans="1:18" x14ac:dyDescent="0.2">
      <c r="A35" s="306" t="s">
        <v>22</v>
      </c>
      <c r="B35" s="452">
        <f>1-_Don2</f>
        <v>0.52407264870704207</v>
      </c>
      <c r="D35" s="2" t="s">
        <v>422</v>
      </c>
      <c r="H35" s="88">
        <v>2</v>
      </c>
    </row>
    <row r="36" spans="1:18" x14ac:dyDescent="0.2">
      <c r="A36" s="388" t="s">
        <v>681</v>
      </c>
      <c r="B36" s="452">
        <f>(Vout+(Rdcr+RdsonBot)*Iout)/(Vinmin+(RdsonBot-RdsonTop)*Iout)</f>
        <v>0.5968131402929473</v>
      </c>
      <c r="H36" s="88"/>
    </row>
    <row r="37" spans="1:18" x14ac:dyDescent="0.2">
      <c r="A37" s="388" t="s">
        <v>682</v>
      </c>
      <c r="B37" s="452">
        <f>1-B36</f>
        <v>0.4031868597070527</v>
      </c>
      <c r="H37" s="88"/>
    </row>
    <row r="38" spans="1:18" x14ac:dyDescent="0.2">
      <c r="A38" s="388" t="s">
        <v>683</v>
      </c>
      <c r="B38" s="452">
        <f>(Vout+(Rdcr+RdsonBot)*Iout)/(Vinmax+(RdsonBot-RdsonTop)*Iout)</f>
        <v>0.39576441524900341</v>
      </c>
      <c r="H38" s="88"/>
      <c r="L38" s="466" t="s">
        <v>730</v>
      </c>
      <c r="M38" s="467">
        <v>100</v>
      </c>
      <c r="N38" s="468">
        <v>1</v>
      </c>
    </row>
    <row r="39" spans="1:18" x14ac:dyDescent="0.2">
      <c r="A39" s="388" t="s">
        <v>684</v>
      </c>
      <c r="B39" s="452">
        <f>1-B38</f>
        <v>0.60423558475099659</v>
      </c>
      <c r="H39" s="88"/>
      <c r="L39" s="466" t="s">
        <v>620</v>
      </c>
      <c r="M39" s="467">
        <v>47</v>
      </c>
      <c r="N39" s="468">
        <v>2</v>
      </c>
    </row>
    <row r="40" spans="1:18" x14ac:dyDescent="0.2">
      <c r="A40" s="392"/>
      <c r="B40" s="1"/>
      <c r="H40" s="88"/>
      <c r="L40" s="466" t="s">
        <v>622</v>
      </c>
      <c r="M40" s="467">
        <v>22</v>
      </c>
      <c r="N40" s="468">
        <v>3</v>
      </c>
    </row>
    <row r="41" spans="1:18" x14ac:dyDescent="0.2">
      <c r="A41" s="87" t="s">
        <v>26</v>
      </c>
      <c r="B41" s="98">
        <f>'Design Regulator'!E31/1000</f>
        <v>0.1</v>
      </c>
      <c r="C41" t="s">
        <v>0</v>
      </c>
      <c r="D41" t="s">
        <v>27</v>
      </c>
      <c r="H41" s="88">
        <v>1</v>
      </c>
      <c r="L41" s="466" t="s">
        <v>624</v>
      </c>
      <c r="M41" s="467">
        <v>22</v>
      </c>
      <c r="N41" s="468">
        <v>4</v>
      </c>
    </row>
    <row r="42" spans="1:18" x14ac:dyDescent="0.2">
      <c r="A42" s="99" t="s">
        <v>33</v>
      </c>
      <c r="B42" s="390">
        <f>(Vin-Vout)*_Don2/(Fsw*Lout2)</f>
        <v>3.3729791020053717</v>
      </c>
      <c r="C42" t="s">
        <v>2</v>
      </c>
      <c r="D42" s="171" t="s">
        <v>540</v>
      </c>
      <c r="H42" s="88">
        <v>1</v>
      </c>
      <c r="L42" s="427" t="s">
        <v>649</v>
      </c>
      <c r="M42" s="467">
        <v>10</v>
      </c>
      <c r="N42" s="468">
        <v>5</v>
      </c>
    </row>
    <row r="43" spans="1:18" x14ac:dyDescent="0.2">
      <c r="A43" s="99" t="s">
        <v>410</v>
      </c>
      <c r="B43" s="390">
        <f>Rdcr*(1+0.0039*(F43-25))</f>
        <v>1.1374E-3</v>
      </c>
      <c r="C43" t="s">
        <v>25</v>
      </c>
      <c r="E43" t="s">
        <v>411</v>
      </c>
      <c r="F43">
        <v>100</v>
      </c>
      <c r="H43" s="88"/>
      <c r="L43" s="427" t="s">
        <v>650</v>
      </c>
      <c r="M43" s="467">
        <v>4.7</v>
      </c>
      <c r="N43" s="468">
        <v>6</v>
      </c>
    </row>
    <row r="44" spans="1:18" ht="13.5" thickBot="1" x14ac:dyDescent="0.25">
      <c r="A44" s="100" t="s">
        <v>355</v>
      </c>
      <c r="B44" s="101">
        <f>Lout2/Rdcr</f>
        <v>7.7272727272727267E-3</v>
      </c>
      <c r="C44" s="92" t="s">
        <v>265</v>
      </c>
      <c r="D44" s="92" t="s">
        <v>356</v>
      </c>
      <c r="E44" s="92"/>
      <c r="F44" s="92"/>
      <c r="G44" s="92"/>
      <c r="H44" s="93"/>
      <c r="L44" s="469" t="s">
        <v>706</v>
      </c>
      <c r="M44" s="470" t="str">
        <f>CHOOSE(N44,"100", "47","22","22","10", "4.7")</f>
        <v>22</v>
      </c>
      <c r="N44" s="383">
        <f>IF(Vout&lt;5, 1, IF(Vout&lt;=8, 2, IF(Vout&lt;=12, 3, IF(Vout&lt;=20, 4, IF(Vout&lt;=42, 5, 6)))))</f>
        <v>4</v>
      </c>
      <c r="Q44" s="430" t="s">
        <v>707</v>
      </c>
      <c r="R44" s="173">
        <v>1</v>
      </c>
    </row>
    <row r="45" spans="1:18" x14ac:dyDescent="0.2">
      <c r="A45" s="2"/>
      <c r="B45" s="1"/>
      <c r="Q45" s="430" t="s">
        <v>708</v>
      </c>
      <c r="R45" s="173">
        <v>2</v>
      </c>
    </row>
    <row r="46" spans="1:18" ht="16.5" thickBot="1" x14ac:dyDescent="0.3">
      <c r="A46" s="133" t="s">
        <v>275</v>
      </c>
      <c r="B46" s="1"/>
    </row>
    <row r="47" spans="1:18" x14ac:dyDescent="0.2">
      <c r="A47" s="136"/>
      <c r="B47" s="137"/>
      <c r="C47" s="94"/>
      <c r="D47" s="94"/>
      <c r="E47" s="94"/>
      <c r="F47" s="94"/>
      <c r="G47" s="94"/>
      <c r="H47" s="95"/>
    </row>
    <row r="48" spans="1:18" x14ac:dyDescent="0.2">
      <c r="A48" s="99"/>
      <c r="B48" s="165"/>
      <c r="H48" s="88"/>
      <c r="L48" s="430" t="s">
        <v>674</v>
      </c>
      <c r="M48" s="173">
        <v>1</v>
      </c>
      <c r="N48" s="430" t="s">
        <v>671</v>
      </c>
      <c r="O48" s="63">
        <v>30</v>
      </c>
    </row>
    <row r="49" spans="1:19" x14ac:dyDescent="0.2">
      <c r="A49" s="99" t="s">
        <v>603</v>
      </c>
      <c r="B49" s="165">
        <f>'Design Regulator'!E25</f>
        <v>13</v>
      </c>
      <c r="H49" s="88"/>
      <c r="L49" s="430" t="s">
        <v>675</v>
      </c>
      <c r="M49" s="173">
        <v>2</v>
      </c>
      <c r="N49" s="430" t="s">
        <v>672</v>
      </c>
      <c r="O49" s="63">
        <v>10.9</v>
      </c>
    </row>
    <row r="50" spans="1:19" x14ac:dyDescent="0.2">
      <c r="A50" s="87" t="s">
        <v>273</v>
      </c>
      <c r="B50" s="385">
        <f>'Design Regulator'!E25-Iripple1/2</f>
        <v>11.313510448997315</v>
      </c>
      <c r="C50" t="s">
        <v>2</v>
      </c>
      <c r="D50" s="171" t="s">
        <v>575</v>
      </c>
      <c r="H50" s="88"/>
      <c r="L50" s="430" t="s">
        <v>676</v>
      </c>
      <c r="M50" s="173">
        <v>3</v>
      </c>
      <c r="N50" s="430" t="s">
        <v>678</v>
      </c>
      <c r="O50" s="63">
        <v>66</v>
      </c>
    </row>
    <row r="51" spans="1:19" x14ac:dyDescent="0.2">
      <c r="A51" s="388" t="s">
        <v>598</v>
      </c>
      <c r="B51" s="394">
        <f>ROUND('Design Regulator'!E25+Iripple1/2,0)*1.2</f>
        <v>18</v>
      </c>
      <c r="C51" s="171" t="s">
        <v>2</v>
      </c>
      <c r="D51" s="171"/>
      <c r="H51" s="88"/>
      <c r="L51" s="430" t="s">
        <v>677</v>
      </c>
      <c r="M51" s="173">
        <v>4</v>
      </c>
      <c r="N51" s="430" t="s">
        <v>673</v>
      </c>
      <c r="O51" s="63">
        <v>150</v>
      </c>
    </row>
    <row r="52" spans="1:19" x14ac:dyDescent="0.2">
      <c r="A52" s="388"/>
      <c r="B52" s="400"/>
      <c r="C52" s="171"/>
      <c r="D52" s="171"/>
      <c r="H52" s="88"/>
      <c r="K52" s="428" t="s">
        <v>653</v>
      </c>
      <c r="L52" s="382" t="str">
        <f>CHOOSE(M52, L48, L49, L50, L51)</f>
        <v>SON 5 x 6</v>
      </c>
      <c r="M52" s="383">
        <v>1</v>
      </c>
    </row>
    <row r="53" spans="1:19" x14ac:dyDescent="0.2">
      <c r="A53" s="306" t="s">
        <v>584</v>
      </c>
      <c r="B53" s="102">
        <v>2.0000000000000001E-4</v>
      </c>
      <c r="C53" t="s">
        <v>2</v>
      </c>
      <c r="D53" s="171" t="s">
        <v>576</v>
      </c>
      <c r="H53" s="88"/>
    </row>
    <row r="54" spans="1:19" ht="15.75" x14ac:dyDescent="0.3">
      <c r="A54" s="388" t="s">
        <v>585</v>
      </c>
      <c r="B54" s="102">
        <v>1E-4</v>
      </c>
      <c r="C54" t="s">
        <v>2</v>
      </c>
      <c r="D54" s="171" t="s">
        <v>577</v>
      </c>
      <c r="H54" s="88"/>
      <c r="L54" s="171" t="s">
        <v>595</v>
      </c>
      <c r="M54" s="173">
        <v>1</v>
      </c>
    </row>
    <row r="55" spans="1:19" x14ac:dyDescent="0.2">
      <c r="A55" s="306" t="s">
        <v>586</v>
      </c>
      <c r="B55" s="386">
        <f>ILimit*RdsonBot/Ilim1</f>
        <v>565.67552244986575</v>
      </c>
      <c r="C55" s="309" t="s">
        <v>208</v>
      </c>
      <c r="D55" s="171" t="s">
        <v>580</v>
      </c>
      <c r="H55" s="88"/>
      <c r="L55" s="171" t="s">
        <v>596</v>
      </c>
      <c r="M55" s="173">
        <v>2</v>
      </c>
    </row>
    <row r="56" spans="1:19" x14ac:dyDescent="0.2">
      <c r="A56" s="306" t="s">
        <v>587</v>
      </c>
      <c r="B56" s="104">
        <f>'Standard Value Calculator'!S6</f>
        <v>562</v>
      </c>
      <c r="C56" s="309" t="s">
        <v>208</v>
      </c>
      <c r="D56" s="171" t="s">
        <v>579</v>
      </c>
      <c r="H56" s="88"/>
      <c r="K56" s="428" t="s">
        <v>652</v>
      </c>
      <c r="L56" s="382" t="str">
        <f>CHOOSE(RDSON_sense, L54,L55)</f>
        <v>RDS(on) sensing</v>
      </c>
      <c r="M56" s="383">
        <v>1</v>
      </c>
      <c r="N56" s="171" t="s">
        <v>567</v>
      </c>
    </row>
    <row r="57" spans="1:19" x14ac:dyDescent="0.2">
      <c r="H57" s="88"/>
      <c r="L57" s="383"/>
      <c r="M57" s="171"/>
    </row>
    <row r="58" spans="1:19" x14ac:dyDescent="0.2">
      <c r="A58" s="388" t="s">
        <v>578</v>
      </c>
      <c r="B58" s="393">
        <f>'Design Regulator'!E24/1000</f>
        <v>6.0000000000000001E-3</v>
      </c>
      <c r="C58" s="309" t="s">
        <v>208</v>
      </c>
      <c r="H58" s="88"/>
      <c r="J58" s="382"/>
      <c r="L58" s="383"/>
      <c r="M58" s="171"/>
    </row>
    <row r="59" spans="1:19" x14ac:dyDescent="0.2">
      <c r="A59" s="388" t="s">
        <v>583</v>
      </c>
      <c r="B59" s="104">
        <f>ILimit*Rshunt/Ilim2</f>
        <v>678.81062693983881</v>
      </c>
      <c r="C59" s="309" t="s">
        <v>208</v>
      </c>
      <c r="H59" s="88"/>
      <c r="K59" s="427" t="s">
        <v>730</v>
      </c>
      <c r="L59" s="2" t="s">
        <v>619</v>
      </c>
      <c r="M59" s="173">
        <v>1</v>
      </c>
      <c r="Q59" s="427"/>
      <c r="R59" s="2"/>
      <c r="S59" s="173"/>
    </row>
    <row r="60" spans="1:19" x14ac:dyDescent="0.2">
      <c r="A60" s="306" t="s">
        <v>588</v>
      </c>
      <c r="B60" s="105">
        <f>'Standard Value Calculator'!S22</f>
        <v>681</v>
      </c>
      <c r="C60" s="309" t="s">
        <v>208</v>
      </c>
      <c r="D60" s="171" t="s">
        <v>579</v>
      </c>
      <c r="H60" s="88"/>
      <c r="K60" s="427" t="s">
        <v>620</v>
      </c>
      <c r="L60" s="2" t="s">
        <v>621</v>
      </c>
      <c r="M60" s="173">
        <v>2</v>
      </c>
      <c r="Q60" s="427" t="s">
        <v>661</v>
      </c>
      <c r="R60" s="2" t="s">
        <v>621</v>
      </c>
      <c r="S60" s="173">
        <v>1</v>
      </c>
    </row>
    <row r="61" spans="1:19" x14ac:dyDescent="0.2">
      <c r="A61" s="388"/>
      <c r="B61" s="105"/>
      <c r="C61" s="309"/>
      <c r="D61" s="171"/>
      <c r="H61" s="88"/>
      <c r="K61" s="427" t="s">
        <v>622</v>
      </c>
      <c r="L61" s="2" t="s">
        <v>623</v>
      </c>
      <c r="M61" s="173">
        <v>3</v>
      </c>
      <c r="Q61" s="427" t="s">
        <v>662</v>
      </c>
      <c r="R61" s="2" t="s">
        <v>623</v>
      </c>
      <c r="S61" s="173">
        <v>2</v>
      </c>
    </row>
    <row r="62" spans="1:19" x14ac:dyDescent="0.2">
      <c r="A62" s="306" t="s">
        <v>582</v>
      </c>
      <c r="B62" s="393">
        <f>ROUND(((1-Don_Vinmax)*Iout)^2*Rshunt,2)</f>
        <v>0.18</v>
      </c>
      <c r="C62" s="171" t="s">
        <v>208</v>
      </c>
      <c r="H62" s="88"/>
      <c r="K62" s="427" t="s">
        <v>624</v>
      </c>
      <c r="L62" s="2" t="s">
        <v>625</v>
      </c>
      <c r="M62" s="173">
        <v>4</v>
      </c>
      <c r="Q62" s="427" t="s">
        <v>663</v>
      </c>
      <c r="R62" s="2" t="s">
        <v>625</v>
      </c>
      <c r="S62" s="173">
        <v>3</v>
      </c>
    </row>
    <row r="63" spans="1:19" x14ac:dyDescent="0.2">
      <c r="A63" s="388"/>
      <c r="B63" s="393"/>
      <c r="C63" s="171"/>
      <c r="H63" s="88"/>
      <c r="K63" s="427"/>
      <c r="L63" s="2"/>
      <c r="M63" s="173"/>
      <c r="Q63" s="427"/>
      <c r="R63" s="2"/>
      <c r="S63" s="173"/>
    </row>
    <row r="64" spans="1:19" x14ac:dyDescent="0.2">
      <c r="A64" s="87" t="s">
        <v>692</v>
      </c>
      <c r="B64" s="463">
        <f>0.000000006/Rilim_Rdson_ideal - 0.000000000002</f>
        <v>8.606787392911744E-12</v>
      </c>
      <c r="C64" s="171" t="s">
        <v>34</v>
      </c>
      <c r="D64" t="s">
        <v>696</v>
      </c>
      <c r="H64" s="88"/>
      <c r="K64" s="427" t="s">
        <v>649</v>
      </c>
      <c r="L64" s="2" t="s">
        <v>626</v>
      </c>
      <c r="M64" s="173">
        <v>5</v>
      </c>
      <c r="Q64" s="427" t="s">
        <v>664</v>
      </c>
      <c r="R64" s="2" t="s">
        <v>626</v>
      </c>
      <c r="S64" s="173">
        <v>4</v>
      </c>
    </row>
    <row r="65" spans="1:19" x14ac:dyDescent="0.2">
      <c r="A65" s="87" t="s">
        <v>693</v>
      </c>
      <c r="B65" s="104">
        <f>'Standard Value Calculator'!S23</f>
        <v>8.1999999999999993</v>
      </c>
      <c r="C65" s="171" t="s">
        <v>53</v>
      </c>
      <c r="H65" s="88"/>
      <c r="K65" s="427" t="s">
        <v>650</v>
      </c>
      <c r="L65" s="2" t="s">
        <v>651</v>
      </c>
      <c r="M65" s="173">
        <v>6</v>
      </c>
      <c r="Q65" s="427" t="s">
        <v>665</v>
      </c>
      <c r="R65" s="2" t="s">
        <v>651</v>
      </c>
      <c r="S65" s="173">
        <v>5</v>
      </c>
    </row>
    <row r="66" spans="1:19" ht="13.5" thickBot="1" x14ac:dyDescent="0.25">
      <c r="A66" s="91" t="s">
        <v>288</v>
      </c>
      <c r="B66" s="107" t="e">
        <f>Ics*Rset/Rdcr-Iripple1/2</f>
        <v>#NAME?</v>
      </c>
      <c r="C66" s="92" t="s">
        <v>2</v>
      </c>
      <c r="D66" s="175" t="s">
        <v>476</v>
      </c>
      <c r="E66" s="92"/>
      <c r="F66" s="92"/>
      <c r="G66" s="92"/>
      <c r="H66" s="93"/>
      <c r="K66" s="428" t="s">
        <v>627</v>
      </c>
      <c r="L66" s="382" t="str">
        <f>CHOOSE(M66,"6.3V","10V","16V","25V","50V","100V")</f>
        <v>25V</v>
      </c>
      <c r="M66" s="383">
        <f>IF(Vout&lt;5, 1, IF(Vout&lt;=8, 2, IF(Vout&lt;=12, 3, IF(Vout&lt;=20, 4,  IF(Vout&lt;=42, 5, 6)))))</f>
        <v>4</v>
      </c>
      <c r="Q66" s="428" t="s">
        <v>660</v>
      </c>
      <c r="R66" s="382" t="str">
        <f>CHOOSE(S66,"10V","16V","25V","50V","100V")</f>
        <v>50V</v>
      </c>
      <c r="S66" s="383">
        <f>IF(Vinmax&lt;=8,1,IF(Vinmax&lt;=12,2,IF(Vinmax&lt;=20,3,IF(Vinmax&lt;=42,4,5))))</f>
        <v>4</v>
      </c>
    </row>
    <row r="68" spans="1:19" ht="16.5" thickBot="1" x14ac:dyDescent="0.3">
      <c r="A68" s="133" t="s">
        <v>276</v>
      </c>
    </row>
    <row r="69" spans="1:19" x14ac:dyDescent="0.2">
      <c r="A69" s="134" t="s">
        <v>283</v>
      </c>
      <c r="B69" s="448">
        <f>Iripple1/SQRT(3)/2</f>
        <v>0.97369519625689183</v>
      </c>
      <c r="C69" s="174" t="s">
        <v>2</v>
      </c>
      <c r="D69" s="174" t="s">
        <v>477</v>
      </c>
      <c r="E69" s="94"/>
      <c r="F69" s="94"/>
      <c r="G69" s="94"/>
      <c r="H69" s="95"/>
      <c r="L69" s="429" t="s">
        <v>628</v>
      </c>
      <c r="M69" s="173">
        <v>1</v>
      </c>
      <c r="N69" s="171" t="s">
        <v>629</v>
      </c>
      <c r="O69" s="63">
        <v>0.5</v>
      </c>
    </row>
    <row r="70" spans="1:19" x14ac:dyDescent="0.2">
      <c r="A70" s="96" t="s">
        <v>29</v>
      </c>
      <c r="B70" s="97">
        <f>(Iripple1/(Vripple1*Fsw*8))</f>
        <v>1.2699469510562393E-5</v>
      </c>
      <c r="C70" t="s">
        <v>34</v>
      </c>
      <c r="D70" t="s">
        <v>28</v>
      </c>
      <c r="H70" s="88">
        <v>1</v>
      </c>
      <c r="L70" s="429" t="s">
        <v>497</v>
      </c>
      <c r="M70" s="173">
        <v>2</v>
      </c>
      <c r="N70" s="171" t="s">
        <v>630</v>
      </c>
      <c r="O70" s="63">
        <v>1.3</v>
      </c>
    </row>
    <row r="71" spans="1:19" x14ac:dyDescent="0.2">
      <c r="A71" s="87" t="s">
        <v>36</v>
      </c>
      <c r="B71" s="39">
        <f>'Design Regulator'!E33/1000000</f>
        <v>6.9999999999999994E-5</v>
      </c>
      <c r="C71" t="s">
        <v>34</v>
      </c>
      <c r="D71" t="s">
        <v>35</v>
      </c>
      <c r="H71" s="88">
        <v>1</v>
      </c>
      <c r="L71" s="429" t="s">
        <v>631</v>
      </c>
      <c r="M71" s="173">
        <v>3</v>
      </c>
      <c r="N71" s="171" t="s">
        <v>632</v>
      </c>
      <c r="O71" s="63">
        <v>2.5</v>
      </c>
    </row>
    <row r="72" spans="1:19" x14ac:dyDescent="0.2">
      <c r="A72" s="96" t="s">
        <v>114</v>
      </c>
      <c r="B72" s="391">
        <f>SQRT((Vripple1/Iripple1)^2-(1/(Fsw*Cout*8))^2)</f>
        <v>2.9155399235505822E-2</v>
      </c>
      <c r="C72" s="309" t="s">
        <v>208</v>
      </c>
      <c r="D72" s="171" t="s">
        <v>478</v>
      </c>
      <c r="H72" s="88">
        <v>1</v>
      </c>
      <c r="L72" s="429" t="s">
        <v>633</v>
      </c>
      <c r="M72" s="173">
        <v>4</v>
      </c>
      <c r="N72" s="171" t="s">
        <v>634</v>
      </c>
      <c r="O72" s="63">
        <v>5.0999999999999996</v>
      </c>
    </row>
    <row r="73" spans="1:19" x14ac:dyDescent="0.2">
      <c r="A73" s="87" t="s">
        <v>272</v>
      </c>
      <c r="B73" s="90">
        <f>'Design Regulator'!E35/1000</f>
        <v>2.8000000000000003E-4</v>
      </c>
      <c r="C73" s="309" t="s">
        <v>208</v>
      </c>
      <c r="D73" s="171" t="s">
        <v>479</v>
      </c>
      <c r="H73" s="88">
        <v>1</v>
      </c>
      <c r="L73" s="429" t="s">
        <v>635</v>
      </c>
      <c r="M73" s="173">
        <v>5</v>
      </c>
      <c r="N73" s="171" t="s">
        <v>636</v>
      </c>
      <c r="O73" s="63">
        <v>8</v>
      </c>
    </row>
    <row r="74" spans="1:19" ht="13.5" thickBot="1" x14ac:dyDescent="0.25">
      <c r="A74" s="108" t="s">
        <v>362</v>
      </c>
      <c r="B74" s="447">
        <f>Iripple1*SQRT(CoutEsr^2+(1/(8*Fsw*Cout))^2)</f>
        <v>1.8166665156301557E-2</v>
      </c>
      <c r="C74" s="157" t="s">
        <v>75</v>
      </c>
      <c r="D74" s="92"/>
      <c r="E74" s="92"/>
      <c r="F74" s="92"/>
      <c r="G74" s="92"/>
      <c r="H74" s="93"/>
      <c r="K74" s="428" t="s">
        <v>637</v>
      </c>
      <c r="L74" s="382" t="str">
        <f>CHOOSE(M74,"0402","0603","0805","1206","1210")</f>
        <v>1210</v>
      </c>
      <c r="M74" s="383">
        <v>5</v>
      </c>
      <c r="N74" s="382" t="str">
        <f>CHOOSE(M74,N69,N70, N71,N72,N73)</f>
        <v>3.2 x 2.5</v>
      </c>
    </row>
    <row r="76" spans="1:19" ht="13.5" thickBot="1" x14ac:dyDescent="0.25"/>
    <row r="77" spans="1:19" ht="15.75" x14ac:dyDescent="0.25">
      <c r="A77" s="144" t="s">
        <v>277</v>
      </c>
      <c r="B77" s="145"/>
      <c r="C77" s="145"/>
      <c r="D77" s="145"/>
      <c r="E77" s="145"/>
      <c r="F77" s="145"/>
      <c r="G77" s="145"/>
      <c r="H77" s="146"/>
    </row>
    <row r="78" spans="1:19" x14ac:dyDescent="0.2">
      <c r="A78" s="147" t="s">
        <v>415</v>
      </c>
      <c r="B78" s="112">
        <f>'Design Regulator'!E40/1000</f>
        <v>0.24</v>
      </c>
      <c r="C78" t="s">
        <v>75</v>
      </c>
      <c r="H78" s="148"/>
      <c r="L78" s="171" t="s">
        <v>638</v>
      </c>
      <c r="M78" s="173">
        <v>1</v>
      </c>
      <c r="N78" s="430" t="s">
        <v>639</v>
      </c>
      <c r="O78" s="63">
        <v>9</v>
      </c>
    </row>
    <row r="79" spans="1:19" x14ac:dyDescent="0.2">
      <c r="A79" s="149" t="s">
        <v>282</v>
      </c>
      <c r="B79" s="168">
        <f>Iout*SQRT(_Don2*Doff2)</f>
        <v>4.4947815424470203</v>
      </c>
      <c r="C79" s="142" t="s">
        <v>2</v>
      </c>
      <c r="H79" s="148"/>
      <c r="L79" s="171" t="s">
        <v>640</v>
      </c>
      <c r="M79" s="173">
        <v>2</v>
      </c>
      <c r="N79" s="430" t="s">
        <v>641</v>
      </c>
      <c r="O79" s="63">
        <v>16</v>
      </c>
    </row>
    <row r="80" spans="1:19" x14ac:dyDescent="0.2">
      <c r="A80" s="149" t="s">
        <v>414</v>
      </c>
      <c r="B80" s="154">
        <f>Iout*_Don2*(1-_Don2)/(Vinripple1*Fsw)</f>
        <v>2.8172497091591943E-5</v>
      </c>
      <c r="C80" s="142" t="s">
        <v>34</v>
      </c>
      <c r="H80" s="148"/>
      <c r="L80" s="171" t="s">
        <v>642</v>
      </c>
      <c r="M80" s="173">
        <v>3</v>
      </c>
      <c r="N80" s="430" t="s">
        <v>643</v>
      </c>
      <c r="O80" s="63">
        <v>25</v>
      </c>
    </row>
    <row r="81" spans="1:15" x14ac:dyDescent="0.2">
      <c r="A81" s="149" t="s">
        <v>127</v>
      </c>
      <c r="B81" s="143">
        <f>'Design Regulator'!E42/1000000</f>
        <v>3.0000000000000001E-5</v>
      </c>
      <c r="C81" s="142" t="s">
        <v>34</v>
      </c>
      <c r="D81" t="s">
        <v>286</v>
      </c>
      <c r="H81" s="148"/>
      <c r="L81" s="171" t="s">
        <v>644</v>
      </c>
      <c r="M81" s="173">
        <v>4</v>
      </c>
      <c r="N81" s="430" t="s">
        <v>645</v>
      </c>
      <c r="O81" s="63">
        <v>36</v>
      </c>
    </row>
    <row r="82" spans="1:15" x14ac:dyDescent="0.2">
      <c r="A82" s="149" t="s">
        <v>416</v>
      </c>
      <c r="B82" s="155">
        <f>-(Iout*_Don2*(1-_Don2)/(Cin*Fsw)-Vinripple1)/(Iout+Iripple1/2)</f>
        <v>1.3680847389115458E-3</v>
      </c>
      <c r="C82" s="309" t="s">
        <v>208</v>
      </c>
      <c r="H82" s="148"/>
      <c r="L82" s="171" t="s">
        <v>646</v>
      </c>
      <c r="M82" s="173">
        <v>5</v>
      </c>
      <c r="N82" s="430" t="s">
        <v>647</v>
      </c>
      <c r="O82" s="63">
        <v>49</v>
      </c>
    </row>
    <row r="83" spans="1:15" x14ac:dyDescent="0.2">
      <c r="A83" s="149" t="s">
        <v>159</v>
      </c>
      <c r="B83" s="143">
        <f>'Design Regulator'!E44/1000</f>
        <v>1E-3</v>
      </c>
      <c r="C83" s="309" t="s">
        <v>208</v>
      </c>
      <c r="D83" s="171" t="s">
        <v>480</v>
      </c>
      <c r="H83" s="148"/>
      <c r="L83" s="171" t="s">
        <v>654</v>
      </c>
      <c r="M83" s="173">
        <v>6</v>
      </c>
      <c r="N83" s="430" t="s">
        <v>655</v>
      </c>
      <c r="O83" s="63">
        <v>64</v>
      </c>
    </row>
    <row r="84" spans="1:15" x14ac:dyDescent="0.2">
      <c r="A84" s="149" t="s">
        <v>417</v>
      </c>
      <c r="B84" s="169">
        <f>Iout*_Don2*(1-_Don2)/(Cin*Fsw)+(Iout +Iripple1/2)*RCinEsr</f>
        <v>0.2360664662837382</v>
      </c>
      <c r="C84" s="142" t="s">
        <v>75</v>
      </c>
      <c r="H84" s="148"/>
      <c r="L84" s="171" t="s">
        <v>656</v>
      </c>
      <c r="M84" s="173">
        <v>7</v>
      </c>
      <c r="N84" s="430" t="s">
        <v>657</v>
      </c>
      <c r="O84" s="63">
        <v>100</v>
      </c>
    </row>
    <row r="85" spans="1:15" ht="13.5" thickBot="1" x14ac:dyDescent="0.25">
      <c r="A85" s="150"/>
      <c r="B85" s="156">
        <f>Iout*_Don1*(1-_Don1)/(Cin*Fsw)</f>
        <v>0.22489959839357429</v>
      </c>
      <c r="C85" s="151"/>
      <c r="D85" s="152"/>
      <c r="E85" s="152"/>
      <c r="F85" s="152"/>
      <c r="G85" s="152"/>
      <c r="H85" s="153"/>
      <c r="L85" s="171" t="s">
        <v>658</v>
      </c>
      <c r="M85" s="173">
        <v>8</v>
      </c>
      <c r="N85" s="430" t="s">
        <v>659</v>
      </c>
      <c r="O85" s="63">
        <v>144</v>
      </c>
    </row>
    <row r="86" spans="1:15" x14ac:dyDescent="0.2">
      <c r="K86" s="428" t="s">
        <v>648</v>
      </c>
      <c r="L86" s="382" t="str">
        <f>CHOOSE(M86,L78,L79, L80, L81, L82, L83, L84, L85)</f>
        <v>12mm x 12mm</v>
      </c>
      <c r="M86" s="383">
        <v>8</v>
      </c>
      <c r="N86" s="382" t="str">
        <f>CHOOSE(M86,N78,N79, N80,N81,N82, N83, N84, N85)</f>
        <v>12.0 x 12.0</v>
      </c>
      <c r="O86" s="382"/>
    </row>
    <row r="87" spans="1:15" ht="16.5" thickBot="1" x14ac:dyDescent="0.3">
      <c r="A87" s="133" t="s">
        <v>289</v>
      </c>
    </row>
    <row r="88" spans="1:15" x14ac:dyDescent="0.2">
      <c r="A88" s="134" t="s">
        <v>291</v>
      </c>
      <c r="B88" s="18">
        <f>'Design Regulator'!E49/1000</f>
        <v>4.0000000000000001E-3</v>
      </c>
      <c r="C88" s="94" t="s">
        <v>265</v>
      </c>
      <c r="D88" s="94" t="s">
        <v>292</v>
      </c>
      <c r="E88" s="94"/>
      <c r="F88" s="94"/>
      <c r="G88" s="94"/>
      <c r="H88" s="95"/>
    </row>
    <row r="89" spans="1:15" x14ac:dyDescent="0.2">
      <c r="A89" s="87" t="s">
        <v>293</v>
      </c>
      <c r="B89" s="103">
        <f>Cout*Vout/Tss</f>
        <v>0.245</v>
      </c>
      <c r="C89" t="s">
        <v>2</v>
      </c>
      <c r="D89" s="171" t="s">
        <v>439</v>
      </c>
      <c r="H89" s="88"/>
    </row>
    <row r="90" spans="1:15" x14ac:dyDescent="0.2">
      <c r="A90" s="87" t="s">
        <v>294</v>
      </c>
      <c r="B90" s="110">
        <f>0.00001*Tss/0.8</f>
        <v>4.9999999999999998E-8</v>
      </c>
      <c r="C90" t="s">
        <v>34</v>
      </c>
      <c r="H90" s="88"/>
    </row>
    <row r="91" spans="1:15" ht="13.5" thickBot="1" x14ac:dyDescent="0.25">
      <c r="A91" s="91" t="s">
        <v>310</v>
      </c>
      <c r="B91" s="109">
        <f>'Standard Value Calculator'!B4</f>
        <v>4.6999999999999997E-8</v>
      </c>
      <c r="C91" s="92" t="s">
        <v>34</v>
      </c>
      <c r="D91" s="92"/>
      <c r="E91" s="92"/>
      <c r="F91" s="92"/>
      <c r="G91" s="92"/>
      <c r="H91" s="93"/>
    </row>
    <row r="93" spans="1:15" ht="16.5" thickBot="1" x14ac:dyDescent="0.3">
      <c r="A93" s="133" t="s">
        <v>328</v>
      </c>
    </row>
    <row r="94" spans="1:15" x14ac:dyDescent="0.2">
      <c r="A94" s="305"/>
      <c r="B94" s="138"/>
      <c r="C94" s="174"/>
      <c r="D94" s="94"/>
      <c r="E94" s="94"/>
      <c r="F94" s="94"/>
      <c r="G94" s="94"/>
      <c r="H94" s="95"/>
    </row>
    <row r="95" spans="1:15" ht="15.75" x14ac:dyDescent="0.3">
      <c r="A95" s="306" t="s">
        <v>482</v>
      </c>
      <c r="B95" s="54">
        <f>'Design Regulator'!E51</f>
        <v>30</v>
      </c>
      <c r="C95" s="171" t="s">
        <v>0</v>
      </c>
      <c r="H95" s="88"/>
    </row>
    <row r="96" spans="1:15" ht="15.75" x14ac:dyDescent="0.3">
      <c r="A96" s="306" t="s">
        <v>483</v>
      </c>
      <c r="B96" s="54">
        <f>'Design Regulator'!E52</f>
        <v>28</v>
      </c>
      <c r="C96" s="171" t="s">
        <v>0</v>
      </c>
      <c r="H96" s="88"/>
    </row>
    <row r="97" spans="1:8" ht="15.75" x14ac:dyDescent="0.3">
      <c r="A97" s="306" t="s">
        <v>512</v>
      </c>
      <c r="B97" s="63">
        <f>(VINuvlo_off-VINuvlo_on*Vuvlo_off/Vuvlo_on)/(Iuvlo1*Vuvlo_off/Vuvlo_on-Iuvlo2)</f>
        <v>200</v>
      </c>
      <c r="C97" s="55" t="s">
        <v>489</v>
      </c>
      <c r="D97">
        <f>'Standard Value Calculator'!S16</f>
        <v>200</v>
      </c>
      <c r="E97" s="55" t="s">
        <v>489</v>
      </c>
      <c r="F97" s="54">
        <f>IF(Ruvlo1&lt;0,"N/A",D97)</f>
        <v>200</v>
      </c>
      <c r="G97" s="54" t="str">
        <f>IF(Ruvlo1&lt;0,"N/A",D97&amp;"kΩ")</f>
        <v>200kΩ</v>
      </c>
      <c r="H97" s="88"/>
    </row>
    <row r="98" spans="1:8" ht="15.75" customHeight="1" x14ac:dyDescent="0.3">
      <c r="A98" s="306" t="s">
        <v>513</v>
      </c>
      <c r="B98" s="307">
        <f>D97*Vuvlo_on/(VINuvlo_on-Vuvlo_on+Ruvlo1*Iuvlo1)</f>
        <v>8.3333333333333339</v>
      </c>
      <c r="C98" s="55" t="s">
        <v>489</v>
      </c>
      <c r="D98">
        <f>'Standard Value Calculator'!S17</f>
        <v>8.25</v>
      </c>
      <c r="E98" s="55" t="s">
        <v>489</v>
      </c>
      <c r="F98" s="54">
        <f>IF(F97="N/A","N/A",D98)</f>
        <v>8.25</v>
      </c>
      <c r="G98" s="54" t="str">
        <f>IF(G97="N/A","N/A",D98&amp;"kΩ")</f>
        <v>8,25kΩ</v>
      </c>
      <c r="H98" s="88"/>
    </row>
    <row r="99" spans="1:8" ht="15.75" customHeight="1" x14ac:dyDescent="0.2">
      <c r="A99" s="306"/>
      <c r="B99" s="307"/>
      <c r="C99" s="55"/>
      <c r="E99" s="55"/>
      <c r="H99" s="88"/>
    </row>
    <row r="100" spans="1:8" ht="15.75" customHeight="1" x14ac:dyDescent="0.3">
      <c r="A100" s="306" t="s">
        <v>490</v>
      </c>
      <c r="B100" s="307">
        <f>(D97+D98)/D98*Vuvlo_on-Iuvlo1*D97</f>
        <v>30.290909090909089</v>
      </c>
      <c r="C100" s="55"/>
      <c r="E100" s="55"/>
      <c r="H100" s="88"/>
    </row>
    <row r="101" spans="1:8" ht="15.75" customHeight="1" x14ac:dyDescent="0.3">
      <c r="A101" s="306" t="s">
        <v>491</v>
      </c>
      <c r="B101" s="307">
        <f>(D97+D98)/D98*Vuvlo_off-Iuvlo2*D97</f>
        <v>28.290909090909089</v>
      </c>
      <c r="C101" s="55"/>
      <c r="E101" s="55"/>
      <c r="H101" s="88"/>
    </row>
    <row r="102" spans="1:8" ht="15.75" customHeight="1" x14ac:dyDescent="0.2">
      <c r="A102" s="306"/>
      <c r="B102" s="307"/>
      <c r="C102" s="55"/>
      <c r="E102" s="55"/>
      <c r="H102" s="88"/>
    </row>
    <row r="103" spans="1:8" ht="15.75" customHeight="1" x14ac:dyDescent="0.2">
      <c r="A103" s="306"/>
      <c r="B103" s="54"/>
      <c r="H103" s="88"/>
    </row>
    <row r="104" spans="1:8" ht="15.75" customHeight="1" x14ac:dyDescent="0.2">
      <c r="A104" s="306" t="s">
        <v>484</v>
      </c>
      <c r="B104" s="54">
        <v>1.2</v>
      </c>
      <c r="H104" s="88"/>
    </row>
    <row r="105" spans="1:8" ht="15.75" customHeight="1" x14ac:dyDescent="0.2">
      <c r="A105" s="306" t="s">
        <v>485</v>
      </c>
      <c r="B105" s="54">
        <v>1.2</v>
      </c>
      <c r="H105" s="88"/>
    </row>
    <row r="106" spans="1:8" ht="15.75" customHeight="1" x14ac:dyDescent="0.2">
      <c r="A106" s="306" t="s">
        <v>485</v>
      </c>
      <c r="B106" s="54">
        <f>B104-B105</f>
        <v>0</v>
      </c>
      <c r="H106" s="88"/>
    </row>
    <row r="107" spans="1:8" ht="15.75" customHeight="1" x14ac:dyDescent="0.2">
      <c r="A107" s="306" t="s">
        <v>488</v>
      </c>
      <c r="B107" s="54">
        <v>0</v>
      </c>
      <c r="H107" s="88"/>
    </row>
    <row r="108" spans="1:8" ht="15.75" customHeight="1" x14ac:dyDescent="0.2">
      <c r="A108" s="306" t="s">
        <v>486</v>
      </c>
      <c r="B108" s="54">
        <v>0.01</v>
      </c>
      <c r="H108" s="88"/>
    </row>
    <row r="109" spans="1:8" ht="15.75" customHeight="1" x14ac:dyDescent="0.2">
      <c r="A109" s="306" t="s">
        <v>487</v>
      </c>
      <c r="B109" s="54">
        <f>B108-B107</f>
        <v>0.01</v>
      </c>
      <c r="H109" s="88"/>
    </row>
    <row r="110" spans="1:8" ht="15.75" customHeight="1" x14ac:dyDescent="0.2">
      <c r="A110" s="306"/>
      <c r="B110" s="54"/>
      <c r="H110" s="88"/>
    </row>
    <row r="111" spans="1:8" ht="15.75" customHeight="1" x14ac:dyDescent="0.3">
      <c r="A111" s="87" t="s">
        <v>330</v>
      </c>
      <c r="B111" s="54"/>
      <c r="C111" s="309" t="s">
        <v>208</v>
      </c>
      <c r="H111" s="88"/>
    </row>
    <row r="112" spans="1:8" ht="15.75" customHeight="1" x14ac:dyDescent="0.3">
      <c r="A112" s="87" t="s">
        <v>331</v>
      </c>
      <c r="B112" s="54"/>
      <c r="C112" s="309" t="s">
        <v>208</v>
      </c>
      <c r="H112" s="88"/>
    </row>
    <row r="113" spans="1:8" ht="15.75" customHeight="1" x14ac:dyDescent="0.2">
      <c r="A113" s="87" t="s">
        <v>305</v>
      </c>
      <c r="B113" s="54"/>
      <c r="C113" s="309" t="s">
        <v>208</v>
      </c>
      <c r="H113" s="88"/>
    </row>
    <row r="114" spans="1:8" ht="15.75" customHeight="1" x14ac:dyDescent="0.2">
      <c r="A114" s="87" t="s">
        <v>428</v>
      </c>
      <c r="B114" s="54" t="e">
        <f>80700/(Totp+273)*398</f>
        <v>#NAME?</v>
      </c>
      <c r="C114" s="309" t="s">
        <v>208</v>
      </c>
      <c r="H114" s="88"/>
    </row>
    <row r="115" spans="1:8" ht="15.75" customHeight="1" x14ac:dyDescent="0.2">
      <c r="A115" s="87"/>
      <c r="B115" s="54"/>
      <c r="H115" s="88"/>
    </row>
    <row r="116" spans="1:8" x14ac:dyDescent="0.2">
      <c r="A116" s="87"/>
      <c r="B116" s="54"/>
      <c r="H116" s="88"/>
    </row>
    <row r="117" spans="1:8" x14ac:dyDescent="0.2">
      <c r="A117" s="87" t="s">
        <v>332</v>
      </c>
      <c r="B117" s="54">
        <v>100</v>
      </c>
      <c r="C117" s="171" t="s">
        <v>53</v>
      </c>
      <c r="H117" s="88"/>
    </row>
    <row r="118" spans="1:8" x14ac:dyDescent="0.2">
      <c r="A118" s="87"/>
      <c r="B118" s="54"/>
      <c r="H118" s="88"/>
    </row>
    <row r="119" spans="1:8" ht="13.5" thickBot="1" x14ac:dyDescent="0.25">
      <c r="A119" s="91"/>
      <c r="B119" s="111"/>
      <c r="C119" s="92"/>
      <c r="D119" s="92"/>
      <c r="E119" s="92"/>
      <c r="F119" s="92"/>
      <c r="G119" s="92"/>
      <c r="H119" s="93"/>
    </row>
    <row r="120" spans="1:8" x14ac:dyDescent="0.2">
      <c r="B120" s="54"/>
    </row>
    <row r="121" spans="1:8" ht="16.5" thickBot="1" x14ac:dyDescent="0.3">
      <c r="A121" s="133" t="s">
        <v>329</v>
      </c>
    </row>
    <row r="122" spans="1:8" x14ac:dyDescent="0.2">
      <c r="A122" s="134" t="s">
        <v>81</v>
      </c>
      <c r="B122" s="355">
        <v>10000</v>
      </c>
      <c r="C122" s="94" t="s">
        <v>49</v>
      </c>
      <c r="D122" s="174" t="s">
        <v>431</v>
      </c>
      <c r="E122" s="94"/>
      <c r="F122" s="94"/>
      <c r="G122" s="94"/>
      <c r="H122" s="95"/>
    </row>
    <row r="123" spans="1:8" x14ac:dyDescent="0.2">
      <c r="A123" s="87" t="s">
        <v>82</v>
      </c>
      <c r="B123" s="90">
        <v>5000000</v>
      </c>
      <c r="C123" t="s">
        <v>10</v>
      </c>
      <c r="D123" s="171" t="s">
        <v>432</v>
      </c>
      <c r="H123" s="88"/>
    </row>
    <row r="124" spans="1:8" x14ac:dyDescent="0.2">
      <c r="A124" s="306" t="s">
        <v>541</v>
      </c>
      <c r="B124" s="140">
        <f>'Design Regulator'!E61*1000</f>
        <v>35000</v>
      </c>
      <c r="C124" s="171" t="s">
        <v>10</v>
      </c>
      <c r="H124" s="88"/>
    </row>
    <row r="125" spans="1:8" x14ac:dyDescent="0.2">
      <c r="A125" s="87" t="s">
        <v>51</v>
      </c>
      <c r="B125" s="141">
        <f>Fcross/Fo/15</f>
        <v>0.31979848300017549</v>
      </c>
      <c r="C125" t="s">
        <v>49</v>
      </c>
      <c r="D125" s="171" t="s">
        <v>438</v>
      </c>
      <c r="H125" s="88">
        <v>1</v>
      </c>
    </row>
    <row r="126" spans="1:8" x14ac:dyDescent="0.2">
      <c r="A126" s="87" t="s">
        <v>52</v>
      </c>
      <c r="B126" s="112">
        <f>'Design Regulator'!E63*1000</f>
        <v>26400</v>
      </c>
      <c r="C126" s="309" t="s">
        <v>208</v>
      </c>
      <c r="D126" t="s">
        <v>260</v>
      </c>
      <c r="H126" s="88">
        <v>1</v>
      </c>
    </row>
    <row r="127" spans="1:8" x14ac:dyDescent="0.2">
      <c r="A127" s="99" t="s">
        <v>77</v>
      </c>
      <c r="B127" s="357">
        <f>IF(Vout=Vref,100000000,Vref/((Vout-Vref)/_Rfb1))</f>
        <v>1600</v>
      </c>
      <c r="C127" s="309" t="s">
        <v>208</v>
      </c>
      <c r="D127" s="171" t="s">
        <v>698</v>
      </c>
      <c r="H127" s="88"/>
    </row>
    <row r="128" spans="1:8" x14ac:dyDescent="0.2">
      <c r="A128" s="87" t="s">
        <v>271</v>
      </c>
      <c r="B128" s="103">
        <f>IF(Vout=Vref,"N/A",'Standard Value Calculator'!S11)</f>
        <v>1580</v>
      </c>
      <c r="C128" s="309" t="s">
        <v>208</v>
      </c>
      <c r="D128" s="171" t="s">
        <v>697</v>
      </c>
      <c r="H128" s="88"/>
    </row>
    <row r="129" spans="1:8" x14ac:dyDescent="0.2">
      <c r="A129" s="387" t="s">
        <v>689</v>
      </c>
      <c r="B129" s="461">
        <f>0.8/Rfb2_u*(Rfb2_u+_Rfb1)</f>
        <v>14.167088607594938</v>
      </c>
      <c r="C129" t="s">
        <v>0</v>
      </c>
      <c r="D129" s="171" t="s">
        <v>690</v>
      </c>
      <c r="H129" s="88"/>
    </row>
    <row r="130" spans="1:8" x14ac:dyDescent="0.2">
      <c r="A130" s="387"/>
      <c r="C130" s="309"/>
      <c r="D130" s="171"/>
      <c r="H130" s="88"/>
    </row>
    <row r="131" spans="1:8" x14ac:dyDescent="0.2">
      <c r="A131" s="96" t="s">
        <v>74</v>
      </c>
      <c r="B131" s="391">
        <f>Vin/15</f>
        <v>2</v>
      </c>
      <c r="C131" t="s">
        <v>75</v>
      </c>
      <c r="D131" s="171" t="s">
        <v>555</v>
      </c>
      <c r="H131" s="88"/>
    </row>
    <row r="132" spans="1:8" x14ac:dyDescent="0.2">
      <c r="A132" s="96" t="s">
        <v>58</v>
      </c>
      <c r="B132" s="358">
        <f>Kmidband*_Rfb1</f>
        <v>8442.6799512046327</v>
      </c>
      <c r="C132" s="309" t="s">
        <v>208</v>
      </c>
      <c r="D132" s="171" t="s">
        <v>430</v>
      </c>
      <c r="H132" s="88">
        <v>1</v>
      </c>
    </row>
    <row r="133" spans="1:8" x14ac:dyDescent="0.2">
      <c r="A133" s="96" t="s">
        <v>54</v>
      </c>
      <c r="B133" s="359">
        <f>1/(Rcea1*('Design Regulator'!E67*1000)*2*Pi)</f>
        <v>3.6909773486492662E-9</v>
      </c>
      <c r="C133" t="s">
        <v>34</v>
      </c>
      <c r="D133" t="s">
        <v>261</v>
      </c>
      <c r="H133" s="88">
        <v>1</v>
      </c>
    </row>
    <row r="134" spans="1:8" x14ac:dyDescent="0.2">
      <c r="A134" s="96" t="s">
        <v>55</v>
      </c>
      <c r="B134" s="359">
        <f>1/((Rcea1*2*Pi*'Design Regulator'!E70*1000)-1/Cc1ea)</f>
        <v>1.171665629508981E-10</v>
      </c>
      <c r="C134" t="s">
        <v>34</v>
      </c>
      <c r="H134" s="88">
        <v>1</v>
      </c>
    </row>
    <row r="135" spans="1:8" x14ac:dyDescent="0.2">
      <c r="A135" s="96" t="s">
        <v>56</v>
      </c>
      <c r="B135" s="357">
        <f>(1/(1000*2*Pi*'Design Regulator'!E69))*_Rfb1/(1/('Design Regulator'!E68*1000*2*Pi)-(1/(1000*2*Pi*'Design Regulator'!E69)))</f>
        <v>21.36653559236554</v>
      </c>
      <c r="C135" s="309" t="s">
        <v>208</v>
      </c>
      <c r="H135" s="88">
        <v>1</v>
      </c>
    </row>
    <row r="136" spans="1:8" x14ac:dyDescent="0.2">
      <c r="A136" s="96" t="s">
        <v>57</v>
      </c>
      <c r="B136" s="359">
        <f>(1/(1000*2*Pi*'Design Regulator'!E69))/Rcea2</f>
        <v>9.1732232000227773E-10</v>
      </c>
      <c r="C136" t="s">
        <v>34</v>
      </c>
      <c r="H136" s="88">
        <v>1</v>
      </c>
    </row>
    <row r="137" spans="1:8" x14ac:dyDescent="0.2">
      <c r="A137" s="96"/>
      <c r="B137" s="1"/>
      <c r="H137" s="88"/>
    </row>
    <row r="138" spans="1:8" x14ac:dyDescent="0.2">
      <c r="A138" s="99" t="s">
        <v>382</v>
      </c>
      <c r="H138" s="88"/>
    </row>
    <row r="139" spans="1:8" x14ac:dyDescent="0.2">
      <c r="A139" s="87" t="s">
        <v>59</v>
      </c>
      <c r="B139" s="166">
        <f>'Design Regulator'!D74*1000</f>
        <v>6650</v>
      </c>
      <c r="C139" s="309" t="s">
        <v>208</v>
      </c>
      <c r="H139" s="88">
        <v>2</v>
      </c>
    </row>
    <row r="140" spans="1:8" x14ac:dyDescent="0.2">
      <c r="A140" s="87" t="s">
        <v>60</v>
      </c>
      <c r="B140" s="106">
        <f>'Design Regulator'!D75*0.000000000001</f>
        <v>4.6999999999999999E-9</v>
      </c>
      <c r="C140" t="s">
        <v>34</v>
      </c>
      <c r="H140" s="88">
        <v>2</v>
      </c>
    </row>
    <row r="141" spans="1:8" x14ac:dyDescent="0.2">
      <c r="A141" s="87" t="s">
        <v>61</v>
      </c>
      <c r="B141" s="106">
        <f>'Design Regulator'!D76*0.000000000001</f>
        <v>1.2E-10</v>
      </c>
      <c r="C141" t="s">
        <v>34</v>
      </c>
      <c r="H141" s="88">
        <v>2</v>
      </c>
    </row>
    <row r="142" spans="1:8" x14ac:dyDescent="0.2">
      <c r="A142" s="87" t="s">
        <v>62</v>
      </c>
      <c r="B142" s="166">
        <f>'Design Regulator'!D77</f>
        <v>768</v>
      </c>
      <c r="C142" s="309" t="s">
        <v>208</v>
      </c>
      <c r="H142" s="88">
        <v>2</v>
      </c>
    </row>
    <row r="143" spans="1:8" x14ac:dyDescent="0.2">
      <c r="A143" s="87" t="s">
        <v>63</v>
      </c>
      <c r="B143" s="106">
        <f>'Design Regulator'!D78*0.000000000001</f>
        <v>1.0000000000000001E-9</v>
      </c>
      <c r="C143" t="s">
        <v>34</v>
      </c>
      <c r="H143" s="88">
        <v>2</v>
      </c>
    </row>
    <row r="144" spans="1:8" x14ac:dyDescent="0.2">
      <c r="A144" s="87"/>
      <c r="H144" s="88"/>
    </row>
    <row r="145" spans="1:8" x14ac:dyDescent="0.2">
      <c r="A145" s="99" t="s">
        <v>343</v>
      </c>
      <c r="D145">
        <f>Cout</f>
        <v>6.9999999999999994E-5</v>
      </c>
      <c r="E145">
        <f>CoutEsr</f>
        <v>2.8000000000000003E-4</v>
      </c>
      <c r="H145" s="88"/>
    </row>
    <row r="146" spans="1:8" x14ac:dyDescent="0.2">
      <c r="A146" s="96" t="s">
        <v>39</v>
      </c>
      <c r="B146" s="420">
        <f>SQRT((Rfets+Rdcr+Ro)/(Cout*Lout2*(CoutEsr+Ro)))/(2*Pi)</f>
        <v>7296.2614188887601</v>
      </c>
      <c r="C146" t="s">
        <v>10</v>
      </c>
      <c r="D146" t="s">
        <v>40</v>
      </c>
      <c r="H146" s="88"/>
    </row>
    <row r="147" spans="1:8" x14ac:dyDescent="0.2">
      <c r="A147" s="96" t="s">
        <v>42</v>
      </c>
      <c r="B147" s="421">
        <f>(Rfets+Rdcr+Ro)/(Lout2+Cout*(Rdcr+Rfets)*(CoutEsr+Ro)+Cout*CoutEsr*Ro)/(Fo*2*Pi)</f>
        <v>4.9014450692988278</v>
      </c>
      <c r="C147" t="s">
        <v>49</v>
      </c>
      <c r="D147" t="s">
        <v>43</v>
      </c>
      <c r="H147" s="88"/>
    </row>
    <row r="148" spans="1:8" x14ac:dyDescent="0.2">
      <c r="A148" s="96" t="s">
        <v>41</v>
      </c>
      <c r="B148" s="420">
        <f>1/(2*Pi*Cout*CoutEsr)</f>
        <v>8120150.1670283861</v>
      </c>
      <c r="C148" t="s">
        <v>10</v>
      </c>
      <c r="D148" s="171" t="s">
        <v>433</v>
      </c>
      <c r="H148" s="88"/>
    </row>
    <row r="149" spans="1:8" x14ac:dyDescent="0.2">
      <c r="A149" s="96" t="s">
        <v>64</v>
      </c>
      <c r="B149" s="420">
        <f>1/(2*Pi*Rcea1_u*Cc1ea_u)</f>
        <v>5092.1434418095141</v>
      </c>
      <c r="C149" t="s">
        <v>10</v>
      </c>
      <c r="D149" s="171" t="s">
        <v>543</v>
      </c>
      <c r="H149" s="88"/>
    </row>
    <row r="150" spans="1:8" x14ac:dyDescent="0.2">
      <c r="A150" s="96" t="s">
        <v>65</v>
      </c>
      <c r="B150" s="420">
        <f>1/(2*Pi*Cc3ea_u*(_Rfb1+Rcea2_u))</f>
        <v>5858.1766517136475</v>
      </c>
      <c r="C150" t="s">
        <v>10</v>
      </c>
      <c r="D150" s="171" t="s">
        <v>543</v>
      </c>
      <c r="H150" s="88"/>
    </row>
    <row r="151" spans="1:8" x14ac:dyDescent="0.2">
      <c r="A151" s="96" t="s">
        <v>66</v>
      </c>
      <c r="B151" s="420">
        <f>1/(2*Pi*Rcea2_u*Cc3ea_u)</f>
        <v>207232.99905437027</v>
      </c>
      <c r="C151" t="s">
        <v>10</v>
      </c>
      <c r="D151" t="s">
        <v>263</v>
      </c>
      <c r="H151" s="88"/>
    </row>
    <row r="152" spans="1:8" x14ac:dyDescent="0.2">
      <c r="A152" s="96" t="s">
        <v>67</v>
      </c>
      <c r="B152" s="420">
        <f>1/(2*Pi*Rcea1_u*(Cc1ea_u*Cc2ea_u/(Cc1ea_u+Cc2ea_u)))</f>
        <v>204534.42824601551</v>
      </c>
      <c r="C152" t="s">
        <v>10</v>
      </c>
      <c r="D152" t="s">
        <v>262</v>
      </c>
      <c r="H152" s="88"/>
    </row>
    <row r="153" spans="1:8" x14ac:dyDescent="0.2">
      <c r="A153" s="96" t="s">
        <v>80</v>
      </c>
      <c r="B153" s="421">
        <f>Vout/(Iout+Vref/_Rfb2)</f>
        <v>1.5554691406032997</v>
      </c>
      <c r="D153" s="171" t="s">
        <v>542</v>
      </c>
      <c r="H153" s="88"/>
    </row>
    <row r="154" spans="1:8" x14ac:dyDescent="0.2">
      <c r="A154" s="96" t="s">
        <v>70</v>
      </c>
      <c r="B154" s="421">
        <v>3.1415926500000002</v>
      </c>
      <c r="D154" t="s">
        <v>264</v>
      </c>
      <c r="H154" s="88"/>
    </row>
    <row r="155" spans="1:8" x14ac:dyDescent="0.2">
      <c r="A155" s="96" t="s">
        <v>327</v>
      </c>
      <c r="B155" s="1"/>
      <c r="H155" s="88"/>
    </row>
    <row r="156" spans="1:8" x14ac:dyDescent="0.2">
      <c r="A156" s="96" t="s">
        <v>336</v>
      </c>
      <c r="B156" s="1">
        <v>0</v>
      </c>
      <c r="C156" s="309" t="s">
        <v>208</v>
      </c>
      <c r="D156" s="171" t="s">
        <v>538</v>
      </c>
      <c r="G156">
        <f>_Don2*RdsonTop+Doff2*RdsonBot+B161*Vin^2*Fsw/2/(((Iripple1/SQRT(3))^2))</f>
        <v>0.22696551193211817</v>
      </c>
      <c r="H156" s="88"/>
    </row>
    <row r="157" spans="1:8" x14ac:dyDescent="0.2">
      <c r="A157" s="87"/>
      <c r="H157" s="88"/>
    </row>
    <row r="158" spans="1:8" x14ac:dyDescent="0.2">
      <c r="A158" s="96" t="s">
        <v>339</v>
      </c>
      <c r="B158" s="2">
        <f>0.00000002*Fsw*0.6*4/Iripple1</f>
        <v>4.7246067995278728E-3</v>
      </c>
      <c r="D158" s="2"/>
      <c r="H158" s="88"/>
    </row>
    <row r="159" spans="1:8" x14ac:dyDescent="0.2">
      <c r="A159" s="96" t="s">
        <v>338</v>
      </c>
      <c r="B159" s="2">
        <f>_Don2*RdsonTop+Doff2*RdsonBot</f>
        <v>2.9988948754304232E-2</v>
      </c>
      <c r="D159" s="2"/>
      <c r="H159" s="88"/>
    </row>
    <row r="160" spans="1:8" x14ac:dyDescent="0.2">
      <c r="A160" s="96" t="s">
        <v>337</v>
      </c>
      <c r="B160" s="2">
        <f>B161*Vin^2*Fsw/2/(((Iripple1/SQRT(3))^2))</f>
        <v>0.19697656317781392</v>
      </c>
      <c r="D160" s="2"/>
      <c r="H160" s="88"/>
    </row>
    <row r="161" spans="1:8" ht="13.5" thickBot="1" x14ac:dyDescent="0.25">
      <c r="A161" s="108" t="s">
        <v>340</v>
      </c>
      <c r="B161" s="113">
        <v>5.0000000000000001E-9</v>
      </c>
      <c r="C161" s="92"/>
      <c r="D161" s="113"/>
      <c r="E161" s="92"/>
      <c r="F161" s="92"/>
      <c r="G161" s="92"/>
      <c r="H161" s="93"/>
    </row>
    <row r="162" spans="1:8" x14ac:dyDescent="0.2">
      <c r="A162" s="1"/>
      <c r="B162" s="60"/>
      <c r="D162" s="60"/>
    </row>
    <row r="163" spans="1:8" x14ac:dyDescent="0.2">
      <c r="A163" s="1"/>
      <c r="B163" s="60"/>
      <c r="D163" s="60"/>
    </row>
    <row r="164" spans="1:8" ht="16.5" thickBot="1" x14ac:dyDescent="0.3">
      <c r="A164" s="139" t="s">
        <v>361</v>
      </c>
    </row>
    <row r="165" spans="1:8" x14ac:dyDescent="0.2">
      <c r="A165" s="134"/>
      <c r="B165" s="94"/>
      <c r="C165" s="94"/>
      <c r="D165" s="94"/>
      <c r="E165" s="94"/>
      <c r="F165" s="94"/>
      <c r="G165" s="94"/>
      <c r="H165" s="95"/>
    </row>
    <row r="166" spans="1:8" x14ac:dyDescent="0.2">
      <c r="A166" s="99" t="s">
        <v>125</v>
      </c>
      <c r="H166" s="88"/>
    </row>
    <row r="167" spans="1:8" x14ac:dyDescent="0.2">
      <c r="A167" s="87" t="s">
        <v>156</v>
      </c>
      <c r="B167" s="39">
        <v>25</v>
      </c>
      <c r="D167" t="s">
        <v>175</v>
      </c>
      <c r="H167" s="88"/>
    </row>
    <row r="168" spans="1:8" ht="15.75" x14ac:dyDescent="0.25">
      <c r="A168" s="477" t="s">
        <v>128</v>
      </c>
      <c r="H168" s="88"/>
    </row>
    <row r="169" spans="1:8" x14ac:dyDescent="0.2">
      <c r="A169" s="87" t="s">
        <v>155</v>
      </c>
      <c r="B169" s="90">
        <f>4000/1000000</f>
        <v>4.0000000000000001E-3</v>
      </c>
      <c r="C169" s="171" t="s">
        <v>556</v>
      </c>
      <c r="D169" t="s">
        <v>176</v>
      </c>
      <c r="H169" s="88"/>
    </row>
    <row r="170" spans="1:8" x14ac:dyDescent="0.2">
      <c r="A170" s="87" t="s">
        <v>250</v>
      </c>
      <c r="B170" s="90">
        <v>20</v>
      </c>
      <c r="C170" s="171" t="s">
        <v>380</v>
      </c>
      <c r="D170" t="s">
        <v>251</v>
      </c>
      <c r="H170" s="88"/>
    </row>
    <row r="171" spans="1:8" x14ac:dyDescent="0.2">
      <c r="A171" s="87" t="s">
        <v>159</v>
      </c>
      <c r="B171" s="39">
        <f>RCinEsr</f>
        <v>1E-3</v>
      </c>
      <c r="C171" s="309" t="s">
        <v>208</v>
      </c>
      <c r="D171" t="s">
        <v>178</v>
      </c>
      <c r="H171" s="88"/>
    </row>
    <row r="172" spans="1:8" x14ac:dyDescent="0.2">
      <c r="A172" s="96" t="s">
        <v>268</v>
      </c>
      <c r="H172" s="88"/>
    </row>
    <row r="173" spans="1:8" x14ac:dyDescent="0.2">
      <c r="A173" s="306" t="s">
        <v>610</v>
      </c>
      <c r="B173" s="90">
        <v>7.5</v>
      </c>
      <c r="H173" s="88"/>
    </row>
    <row r="174" spans="1:8" x14ac:dyDescent="0.2">
      <c r="A174" s="99" t="s">
        <v>202</v>
      </c>
      <c r="H174" s="88"/>
    </row>
    <row r="175" spans="1:8" x14ac:dyDescent="0.2">
      <c r="A175" s="87" t="s">
        <v>132</v>
      </c>
      <c r="B175" s="90">
        <v>1</v>
      </c>
      <c r="C175" s="309" t="s">
        <v>208</v>
      </c>
      <c r="D175" t="s">
        <v>204</v>
      </c>
      <c r="H175" s="88"/>
    </row>
    <row r="176" spans="1:8" x14ac:dyDescent="0.2">
      <c r="A176" s="87" t="s">
        <v>239</v>
      </c>
      <c r="B176" s="90">
        <v>0.9</v>
      </c>
      <c r="C176" s="309" t="s">
        <v>208</v>
      </c>
      <c r="D176" t="s">
        <v>205</v>
      </c>
      <c r="H176" s="88"/>
    </row>
    <row r="177" spans="1:8" x14ac:dyDescent="0.2">
      <c r="A177" s="99" t="s">
        <v>203</v>
      </c>
      <c r="H177" s="88"/>
    </row>
    <row r="178" spans="1:8" x14ac:dyDescent="0.2">
      <c r="A178" s="87" t="s">
        <v>131</v>
      </c>
      <c r="B178" s="158">
        <v>1</v>
      </c>
      <c r="C178" s="309" t="s">
        <v>208</v>
      </c>
      <c r="D178" t="s">
        <v>204</v>
      </c>
      <c r="H178" s="88"/>
    </row>
    <row r="179" spans="1:8" x14ac:dyDescent="0.2">
      <c r="A179" s="87" t="s">
        <v>238</v>
      </c>
      <c r="B179" s="90">
        <v>0.9</v>
      </c>
      <c r="C179" s="309" t="s">
        <v>208</v>
      </c>
      <c r="D179" t="s">
        <v>205</v>
      </c>
      <c r="H179" s="88"/>
    </row>
    <row r="180" spans="1:8" x14ac:dyDescent="0.2">
      <c r="A180" s="99" t="s">
        <v>133</v>
      </c>
      <c r="D180" t="s">
        <v>199</v>
      </c>
      <c r="H180" s="88"/>
    </row>
    <row r="181" spans="1:8" x14ac:dyDescent="0.2">
      <c r="A181" s="87" t="s">
        <v>133</v>
      </c>
      <c r="B181" s="102">
        <v>2.9999999999999997E-8</v>
      </c>
      <c r="C181" t="s">
        <v>265</v>
      </c>
      <c r="D181" t="s">
        <v>179</v>
      </c>
      <c r="H181" s="88"/>
    </row>
    <row r="182" spans="1:8" x14ac:dyDescent="0.2">
      <c r="A182" s="99" t="s">
        <v>119</v>
      </c>
      <c r="H182" s="88"/>
    </row>
    <row r="183" spans="1:8" x14ac:dyDescent="0.2">
      <c r="A183" s="87" t="s">
        <v>249</v>
      </c>
      <c r="B183" s="90">
        <v>2E-3</v>
      </c>
      <c r="C183" t="s">
        <v>2</v>
      </c>
      <c r="D183" t="s">
        <v>259</v>
      </c>
      <c r="H183" s="88"/>
    </row>
    <row r="184" spans="1:8" ht="15.75" x14ac:dyDescent="0.25">
      <c r="A184" s="477" t="s">
        <v>129</v>
      </c>
      <c r="H184" s="88"/>
    </row>
    <row r="185" spans="1:8" x14ac:dyDescent="0.2">
      <c r="A185" s="87" t="s">
        <v>142</v>
      </c>
      <c r="B185" s="39">
        <f>'Design Regulator'!E85/1000</f>
        <v>5.1999999999999998E-2</v>
      </c>
      <c r="C185" s="309" t="s">
        <v>208</v>
      </c>
      <c r="D185" t="s">
        <v>194</v>
      </c>
      <c r="H185" s="88"/>
    </row>
    <row r="186" spans="1:8" x14ac:dyDescent="0.2">
      <c r="A186" s="87" t="s">
        <v>152</v>
      </c>
      <c r="B186" s="90">
        <f>4000/1000000</f>
        <v>4.0000000000000001E-3</v>
      </c>
      <c r="C186" s="171" t="s">
        <v>556</v>
      </c>
      <c r="D186" t="s">
        <v>193</v>
      </c>
      <c r="H186" s="88"/>
    </row>
    <row r="187" spans="1:8" x14ac:dyDescent="0.2">
      <c r="A187" s="87" t="s">
        <v>141</v>
      </c>
      <c r="B187" s="114">
        <f>'Design Regulator'!E86/1000000000</f>
        <v>3.2000000000000001E-9</v>
      </c>
      <c r="C187" t="s">
        <v>269</v>
      </c>
      <c r="D187" t="s">
        <v>180</v>
      </c>
      <c r="H187" s="88"/>
    </row>
    <row r="188" spans="1:8" x14ac:dyDescent="0.2">
      <c r="A188" s="87" t="s">
        <v>218</v>
      </c>
      <c r="B188" s="114">
        <f>'Design Regulator'!E87/1000000000</f>
        <v>8.0000000000000003E-10</v>
      </c>
      <c r="C188" t="s">
        <v>269</v>
      </c>
      <c r="D188" t="s">
        <v>219</v>
      </c>
      <c r="H188" s="88"/>
    </row>
    <row r="189" spans="1:8" x14ac:dyDescent="0.2">
      <c r="A189" s="87" t="s">
        <v>236</v>
      </c>
      <c r="B189" s="114">
        <f>'Design Regulator'!E88/1000000000</f>
        <v>1.6000000000000001E-9</v>
      </c>
      <c r="C189" t="s">
        <v>269</v>
      </c>
      <c r="D189" t="s">
        <v>713</v>
      </c>
      <c r="H189" s="88"/>
    </row>
    <row r="190" spans="1:8" x14ac:dyDescent="0.2">
      <c r="A190" s="388" t="s">
        <v>720</v>
      </c>
      <c r="B190" s="114">
        <f>'Design Regulator'!E89/1000000000000</f>
        <v>6.8999999999999994E-11</v>
      </c>
      <c r="C190" t="s">
        <v>34</v>
      </c>
      <c r="D190" t="s">
        <v>721</v>
      </c>
      <c r="H190" s="88"/>
    </row>
    <row r="191" spans="1:8" x14ac:dyDescent="0.2">
      <c r="A191" s="87" t="s">
        <v>168</v>
      </c>
      <c r="B191" s="39">
        <f>'Design Regulator'!E90</f>
        <v>4.5999999999999996</v>
      </c>
      <c r="C191" s="309" t="s">
        <v>208</v>
      </c>
      <c r="D191" t="s">
        <v>722</v>
      </c>
      <c r="H191" s="88"/>
    </row>
    <row r="192" spans="1:8" x14ac:dyDescent="0.2">
      <c r="A192" s="87" t="s">
        <v>140</v>
      </c>
      <c r="B192" s="39">
        <f>'Design Regulator'!E91</f>
        <v>45</v>
      </c>
      <c r="C192" t="s">
        <v>137</v>
      </c>
      <c r="D192" t="s">
        <v>182</v>
      </c>
      <c r="H192" s="88"/>
    </row>
    <row r="193" spans="1:10" x14ac:dyDescent="0.2">
      <c r="A193" s="87" t="s">
        <v>170</v>
      </c>
      <c r="B193" s="39">
        <f>'Design Regulator'!E92</f>
        <v>5</v>
      </c>
      <c r="C193" t="s">
        <v>0</v>
      </c>
      <c r="D193" t="s">
        <v>183</v>
      </c>
      <c r="H193" s="88"/>
    </row>
    <row r="194" spans="1:10" x14ac:dyDescent="0.2">
      <c r="A194" s="87" t="s">
        <v>235</v>
      </c>
      <c r="B194" s="103">
        <f>VthTop+Iout/GmTop</f>
        <v>5.2</v>
      </c>
      <c r="C194" t="s">
        <v>0</v>
      </c>
      <c r="D194" t="s">
        <v>266</v>
      </c>
      <c r="H194" s="88"/>
    </row>
    <row r="195" spans="1:10" x14ac:dyDescent="0.2">
      <c r="A195" s="87" t="s">
        <v>377</v>
      </c>
      <c r="B195" s="39">
        <f>'Design Regulator'!E93</f>
        <v>0.8</v>
      </c>
      <c r="C195" t="s">
        <v>0</v>
      </c>
      <c r="D195" t="s">
        <v>379</v>
      </c>
      <c r="H195" s="88"/>
    </row>
    <row r="196" spans="1:10" x14ac:dyDescent="0.2">
      <c r="A196" s="87" t="s">
        <v>161</v>
      </c>
      <c r="B196" s="39">
        <f>'Design Regulator'!E94</f>
        <v>55</v>
      </c>
      <c r="C196" s="171" t="s">
        <v>380</v>
      </c>
      <c r="D196" t="s">
        <v>184</v>
      </c>
      <c r="H196" s="88"/>
    </row>
    <row r="197" spans="1:10" ht="15.75" x14ac:dyDescent="0.25">
      <c r="A197" s="477" t="s">
        <v>130</v>
      </c>
      <c r="H197" s="88"/>
    </row>
    <row r="198" spans="1:10" x14ac:dyDescent="0.2">
      <c r="A198" s="87" t="s">
        <v>139</v>
      </c>
      <c r="B198" s="39">
        <f>'Design Regulator'!E97/1000</f>
        <v>0.01</v>
      </c>
      <c r="C198" s="309" t="s">
        <v>208</v>
      </c>
      <c r="D198" t="s">
        <v>192</v>
      </c>
      <c r="H198" s="88"/>
    </row>
    <row r="199" spans="1:10" x14ac:dyDescent="0.2">
      <c r="A199" s="87" t="s">
        <v>153</v>
      </c>
      <c r="B199" s="39">
        <f>4000/1000000</f>
        <v>4.0000000000000001E-3</v>
      </c>
      <c r="C199" s="171" t="s">
        <v>556</v>
      </c>
      <c r="D199" t="s">
        <v>185</v>
      </c>
      <c r="H199" s="88"/>
    </row>
    <row r="200" spans="1:10" x14ac:dyDescent="0.2">
      <c r="A200" s="87" t="s">
        <v>138</v>
      </c>
      <c r="B200" s="114">
        <f>'Design Regulator'!E98/1000000000</f>
        <v>1.3000000000000001E-8</v>
      </c>
      <c r="C200" t="s">
        <v>269</v>
      </c>
      <c r="D200" s="171" t="s">
        <v>716</v>
      </c>
      <c r="H200" s="88"/>
      <c r="J200">
        <f>RGateTop</f>
        <v>4.5999999999999996</v>
      </c>
    </row>
    <row r="201" spans="1:10" x14ac:dyDescent="0.2">
      <c r="A201" s="388" t="s">
        <v>714</v>
      </c>
      <c r="B201" s="114">
        <f>'Design Regulator'!E99/1000000000</f>
        <v>2E-8</v>
      </c>
      <c r="C201" t="s">
        <v>269</v>
      </c>
      <c r="D201" s="171" t="s">
        <v>715</v>
      </c>
      <c r="H201" s="88"/>
    </row>
    <row r="202" spans="1:10" x14ac:dyDescent="0.2">
      <c r="A202" s="388" t="s">
        <v>719</v>
      </c>
      <c r="B202" s="114">
        <f>'Design Regulator'!E100/1000000000000</f>
        <v>5.7999999999999996E-10</v>
      </c>
      <c r="C202" t="s">
        <v>34</v>
      </c>
      <c r="D202" s="171" t="s">
        <v>718</v>
      </c>
      <c r="H202" s="88"/>
    </row>
    <row r="203" spans="1:10" x14ac:dyDescent="0.2">
      <c r="A203" s="87" t="s">
        <v>169</v>
      </c>
      <c r="B203" s="39">
        <v>1</v>
      </c>
      <c r="C203" s="309" t="s">
        <v>208</v>
      </c>
      <c r="D203" t="s">
        <v>181</v>
      </c>
      <c r="H203" s="88"/>
    </row>
    <row r="204" spans="1:10" x14ac:dyDescent="0.2">
      <c r="A204" s="87" t="s">
        <v>144</v>
      </c>
      <c r="B204" s="39">
        <f>'Design Regulator'!E101</f>
        <v>0.9</v>
      </c>
      <c r="C204" t="s">
        <v>0</v>
      </c>
      <c r="D204" t="s">
        <v>186</v>
      </c>
      <c r="H204" s="88"/>
    </row>
    <row r="205" spans="1:10" x14ac:dyDescent="0.2">
      <c r="A205" s="87" t="s">
        <v>145</v>
      </c>
      <c r="B205" s="114">
        <f>'Design Regulator'!E102/1000000000</f>
        <v>4.9999999999999998E-8</v>
      </c>
      <c r="C205" t="s">
        <v>269</v>
      </c>
      <c r="D205" t="s">
        <v>196</v>
      </c>
      <c r="H205" s="88"/>
    </row>
    <row r="206" spans="1:10" x14ac:dyDescent="0.2">
      <c r="A206" s="87" t="s">
        <v>146</v>
      </c>
      <c r="B206" s="114">
        <v>4.0000000000000001E-8</v>
      </c>
      <c r="C206" t="s">
        <v>265</v>
      </c>
      <c r="D206" t="s">
        <v>187</v>
      </c>
      <c r="H206" s="88"/>
    </row>
    <row r="207" spans="1:10" x14ac:dyDescent="0.2">
      <c r="A207" s="87" t="s">
        <v>160</v>
      </c>
      <c r="B207" s="39">
        <f>'Design Regulator'!E103</f>
        <v>40</v>
      </c>
      <c r="C207" s="171" t="s">
        <v>380</v>
      </c>
      <c r="D207" t="s">
        <v>184</v>
      </c>
      <c r="H207" s="88"/>
    </row>
    <row r="208" spans="1:10" ht="15.75" x14ac:dyDescent="0.25">
      <c r="A208" s="477" t="s">
        <v>427</v>
      </c>
      <c r="B208" s="39"/>
      <c r="H208" s="88"/>
    </row>
    <row r="209" spans="1:8" x14ac:dyDescent="0.2">
      <c r="A209" s="87" t="s">
        <v>364</v>
      </c>
      <c r="B209" s="39">
        <f>'Design Regulator'!E105</f>
        <v>0</v>
      </c>
      <c r="C209" t="s">
        <v>0</v>
      </c>
      <c r="D209" t="s">
        <v>367</v>
      </c>
      <c r="H209" s="88"/>
    </row>
    <row r="210" spans="1:8" x14ac:dyDescent="0.2">
      <c r="A210" s="87" t="s">
        <v>365</v>
      </c>
      <c r="B210" s="39">
        <v>0</v>
      </c>
      <c r="C210" t="s">
        <v>269</v>
      </c>
      <c r="D210" t="s">
        <v>368</v>
      </c>
      <c r="H210" s="88"/>
    </row>
    <row r="211" spans="1:8" x14ac:dyDescent="0.2">
      <c r="A211" s="87" t="s">
        <v>366</v>
      </c>
      <c r="B211" s="39">
        <v>0</v>
      </c>
      <c r="C211" t="s">
        <v>2</v>
      </c>
      <c r="D211" t="s">
        <v>369</v>
      </c>
      <c r="H211" s="88"/>
    </row>
    <row r="212" spans="1:8" x14ac:dyDescent="0.2">
      <c r="A212" s="99" t="s">
        <v>209</v>
      </c>
      <c r="H212" s="88"/>
    </row>
    <row r="213" spans="1:8" x14ac:dyDescent="0.2">
      <c r="A213" s="87" t="s">
        <v>267</v>
      </c>
      <c r="B213" s="39">
        <v>30</v>
      </c>
      <c r="H213" s="88"/>
    </row>
    <row r="214" spans="1:8" x14ac:dyDescent="0.2">
      <c r="A214" s="99" t="s">
        <v>149</v>
      </c>
      <c r="H214" s="88"/>
    </row>
    <row r="215" spans="1:8" x14ac:dyDescent="0.2">
      <c r="A215" s="87" t="s">
        <v>129</v>
      </c>
      <c r="H215" s="88"/>
    </row>
    <row r="216" spans="1:8" x14ac:dyDescent="0.2">
      <c r="A216" s="87" t="s">
        <v>166</v>
      </c>
      <c r="B216" s="106">
        <f>(QgdTop+QgsTop/2)*(RdsonDRT+RGateTop)/(Vdd-VspTop)</f>
        <v>3.8956521739130443E-9</v>
      </c>
      <c r="C216" t="s">
        <v>265</v>
      </c>
      <c r="H216" s="88"/>
    </row>
    <row r="217" spans="1:8" x14ac:dyDescent="0.2">
      <c r="A217" s="87" t="s">
        <v>167</v>
      </c>
      <c r="B217" s="106">
        <f>(QgdTop+QgsTop/2)*(RdsonDRT+RGateTop)/(VspTop)</f>
        <v>1.723076923076923E-9</v>
      </c>
      <c r="C217" t="s">
        <v>265</v>
      </c>
      <c r="H217" s="88"/>
    </row>
    <row r="218" spans="1:8" x14ac:dyDescent="0.2">
      <c r="A218" s="87"/>
      <c r="H218" s="88"/>
    </row>
    <row r="219" spans="1:8" x14ac:dyDescent="0.2">
      <c r="A219" s="87"/>
      <c r="H219" s="88"/>
    </row>
    <row r="220" spans="1:8" x14ac:dyDescent="0.2">
      <c r="A220" s="99" t="s">
        <v>391</v>
      </c>
      <c r="B220" s="2" t="s">
        <v>8</v>
      </c>
      <c r="C220" s="2" t="s">
        <v>148</v>
      </c>
      <c r="H220" s="88"/>
    </row>
    <row r="221" spans="1:8" x14ac:dyDescent="0.2">
      <c r="A221" s="89" t="s">
        <v>207</v>
      </c>
      <c r="B221" s="410">
        <f>'Power Calculations'!AN9</f>
        <v>0.100338</v>
      </c>
      <c r="C221" s="3" t="s">
        <v>208</v>
      </c>
      <c r="H221" s="88"/>
    </row>
    <row r="222" spans="1:8" x14ac:dyDescent="0.2">
      <c r="A222" s="89" t="s">
        <v>211</v>
      </c>
      <c r="B222" s="411">
        <f>B221*ThetaJaCtrl</f>
        <v>3.0101399999999998</v>
      </c>
      <c r="C222" s="171" t="s">
        <v>441</v>
      </c>
      <c r="H222" s="88"/>
    </row>
    <row r="223" spans="1:8" x14ac:dyDescent="0.2">
      <c r="A223" s="89" t="s">
        <v>387</v>
      </c>
      <c r="B223" s="413">
        <f>(QgBot+QgTop)*Fsw+Iq</f>
        <v>7.3784000000000002E-3</v>
      </c>
      <c r="C223" t="s">
        <v>2</v>
      </c>
      <c r="H223" s="88"/>
    </row>
    <row r="224" spans="1:8" x14ac:dyDescent="0.2">
      <c r="A224" s="89" t="s">
        <v>388</v>
      </c>
      <c r="B224" s="412">
        <f>QrrBot*Fsw</f>
        <v>1.66E-2</v>
      </c>
      <c r="C224" t="s">
        <v>2</v>
      </c>
      <c r="H224" s="88"/>
    </row>
    <row r="225" spans="1:8" x14ac:dyDescent="0.2">
      <c r="A225" s="89" t="s">
        <v>389</v>
      </c>
      <c r="B225" s="412">
        <f>C225/Vin</f>
        <v>1.4920826835731777E-4</v>
      </c>
      <c r="C225">
        <f>Deadtime*Fsw*(Ipp/2)*(VsdTop+VsdBot)</f>
        <v>4.4762480507195331E-3</v>
      </c>
      <c r="H225" s="88"/>
    </row>
    <row r="226" spans="1:8" x14ac:dyDescent="0.2">
      <c r="A226" s="89" t="s">
        <v>392</v>
      </c>
      <c r="B226" s="412">
        <f>SUM(B223:B225)</f>
        <v>2.4127608268357317E-2</v>
      </c>
      <c r="C226" t="s">
        <v>2</v>
      </c>
      <c r="H226" s="88"/>
    </row>
    <row r="227" spans="1:8" x14ac:dyDescent="0.2">
      <c r="A227" s="87"/>
      <c r="H227" s="88"/>
    </row>
    <row r="228" spans="1:8" x14ac:dyDescent="0.2">
      <c r="A228" s="87"/>
      <c r="H228" s="88"/>
    </row>
    <row r="229" spans="1:8" x14ac:dyDescent="0.2">
      <c r="A229" s="87"/>
      <c r="H229" s="88"/>
    </row>
    <row r="230" spans="1:8" x14ac:dyDescent="0.2">
      <c r="A230" s="87"/>
      <c r="H230" s="88"/>
    </row>
    <row r="231" spans="1:8" x14ac:dyDescent="0.2">
      <c r="A231" s="87"/>
      <c r="H231" s="88"/>
    </row>
    <row r="232" spans="1:8" x14ac:dyDescent="0.2">
      <c r="A232" s="99" t="s">
        <v>150</v>
      </c>
      <c r="H232" s="88"/>
    </row>
    <row r="233" spans="1:8" x14ac:dyDescent="0.2">
      <c r="A233" s="87" t="s">
        <v>206</v>
      </c>
      <c r="H233" s="88"/>
    </row>
    <row r="234" spans="1:8" ht="13.5" thickBot="1" x14ac:dyDescent="0.25">
      <c r="A234" s="91" t="s">
        <v>207</v>
      </c>
      <c r="B234" s="92"/>
      <c r="C234" s="92"/>
      <c r="D234" s="92"/>
      <c r="E234" s="92"/>
      <c r="F234" s="92"/>
      <c r="G234" s="92"/>
      <c r="H234" s="93"/>
    </row>
    <row r="235" spans="1:8" x14ac:dyDescent="0.2">
      <c r="A235" s="1"/>
      <c r="B235" s="1"/>
    </row>
    <row r="236" spans="1:8" ht="21.75" customHeight="1" thickBot="1" x14ac:dyDescent="0.3">
      <c r="A236" s="133" t="s">
        <v>381</v>
      </c>
    </row>
    <row r="237" spans="1:8" x14ac:dyDescent="0.2">
      <c r="A237" s="134" t="str">
        <f>"RC1 = "&amp;'Design Regulator'!D74&amp;"kΩ"</f>
        <v>RC1 = 6,65kΩ</v>
      </c>
      <c r="B237" s="94" t="str">
        <f>'Design Regulator'!D74&amp;"kΩ"</f>
        <v>6,65kΩ</v>
      </c>
      <c r="C237" s="94"/>
      <c r="D237" s="94"/>
      <c r="E237" s="94"/>
      <c r="F237" s="94"/>
      <c r="G237" s="94"/>
      <c r="H237" s="95"/>
    </row>
    <row r="238" spans="1:8" x14ac:dyDescent="0.2">
      <c r="A238" s="87" t="str">
        <f>"LOUT = "&amp;'Design Regulator'!E17&amp;"uH"</f>
        <v>LOUT = 6,8uH</v>
      </c>
      <c r="B238" t="str">
        <f>'Design Regulator'!E17&amp;"µH"</f>
        <v>6,8µH</v>
      </c>
      <c r="H238" s="88"/>
    </row>
    <row r="239" spans="1:8" x14ac:dyDescent="0.2">
      <c r="A239" s="87" t="str">
        <f>"Rdcr = "&amp;'Design Regulator'!E18&amp;"mΩ"</f>
        <v>Rdcr = 0,88mΩ</v>
      </c>
      <c r="B239" t="str">
        <f>'Design Regulator'!E18&amp;"mΩ"</f>
        <v>0,88mΩ</v>
      </c>
      <c r="H239" s="88"/>
    </row>
    <row r="240" spans="1:8" x14ac:dyDescent="0.2">
      <c r="A240" s="387"/>
      <c r="H240" s="88"/>
    </row>
    <row r="241" spans="1:8" x14ac:dyDescent="0.2">
      <c r="A241" s="87" t="str">
        <f>"VOUT = "&amp;'Design Regulator'!E9&amp;"V"</f>
        <v>VOUT = 14V</v>
      </c>
      <c r="B241" t="str">
        <f>'Design Regulator'!E9&amp;"V"</f>
        <v>14V</v>
      </c>
      <c r="H241" s="88"/>
    </row>
    <row r="242" spans="1:8" x14ac:dyDescent="0.2">
      <c r="A242" s="87"/>
      <c r="C242" s="173" t="str">
        <f>M44</f>
        <v>22</v>
      </c>
      <c r="D242" s="173">
        <f>ROUNDUP('Design Regulator'!$E$33/C242,0)</f>
        <v>4</v>
      </c>
      <c r="H242" s="88"/>
    </row>
    <row r="243" spans="1:8" x14ac:dyDescent="0.2">
      <c r="A243" s="87" t="str">
        <f>"COUT = "&amp;'Design Regulator'!$E$33&amp;"uF"</f>
        <v>COUT = 70uF</v>
      </c>
      <c r="B243" t="str">
        <f>'Design Regulator'!$E$33&amp;"µF"</f>
        <v>70µF</v>
      </c>
      <c r="C243" s="173" t="str">
        <f>C242</f>
        <v>22</v>
      </c>
      <c r="D243" s="173" t="str">
        <f>IF(D242=1, "",B245)</f>
        <v xml:space="preserve">4 x </v>
      </c>
      <c r="E243" t="str">
        <f>D243&amp;C243&amp;"µF"</f>
        <v>4 x 22µF</v>
      </c>
      <c r="F243" t="str">
        <f>C243&amp;"µF"</f>
        <v>22µF</v>
      </c>
      <c r="G243" t="str">
        <f>L66</f>
        <v>25V</v>
      </c>
      <c r="H243" s="88"/>
    </row>
    <row r="244" spans="1:8" x14ac:dyDescent="0.2">
      <c r="A244" s="306" t="s">
        <v>527</v>
      </c>
      <c r="B244" t="str">
        <f>C242&amp;"µF"</f>
        <v>22µF</v>
      </c>
      <c r="H244" s="88"/>
    </row>
    <row r="245" spans="1:8" x14ac:dyDescent="0.2">
      <c r="A245" s="306" t="s">
        <v>528</v>
      </c>
      <c r="B245" s="173" t="str">
        <f>D242&amp;" x "</f>
        <v xml:space="preserve">4 x </v>
      </c>
      <c r="H245" s="88"/>
    </row>
    <row r="246" spans="1:8" x14ac:dyDescent="0.2">
      <c r="A246" s="388"/>
      <c r="H246" s="88"/>
    </row>
    <row r="247" spans="1:8" x14ac:dyDescent="0.2">
      <c r="A247" s="387"/>
      <c r="H247" s="88"/>
    </row>
    <row r="248" spans="1:8" x14ac:dyDescent="0.2">
      <c r="A248" s="87" t="s">
        <v>409</v>
      </c>
      <c r="B248" t="str">
        <f>Cin*1000000&amp;"µF"</f>
        <v>30µF</v>
      </c>
      <c r="H248" s="88"/>
    </row>
    <row r="249" spans="1:8" x14ac:dyDescent="0.2">
      <c r="A249" s="306" t="s">
        <v>526</v>
      </c>
      <c r="B249" t="str">
        <f>"4.7µF"</f>
        <v>4.7µF</v>
      </c>
      <c r="H249" s="88"/>
    </row>
    <row r="250" spans="1:8" x14ac:dyDescent="0.2">
      <c r="A250" s="306" t="s">
        <v>525</v>
      </c>
      <c r="B250" s="173" t="str">
        <f>ROUNDUP(Cin*1000000/4.7,0)&amp;" x "</f>
        <v xml:space="preserve">7 x </v>
      </c>
      <c r="E250" t="str">
        <f>B250&amp;B249</f>
        <v>7 x 4.7µF</v>
      </c>
      <c r="H250" s="88"/>
    </row>
    <row r="251" spans="1:8" x14ac:dyDescent="0.2">
      <c r="A251" s="388"/>
      <c r="B251" s="173"/>
      <c r="H251" s="88"/>
    </row>
    <row r="252" spans="1:8" x14ac:dyDescent="0.2">
      <c r="A252" s="306"/>
      <c r="B252" s="173"/>
      <c r="H252" s="88"/>
    </row>
    <row r="253" spans="1:8" x14ac:dyDescent="0.2">
      <c r="A253" s="87" t="str">
        <f>"RC1 = "&amp;Rcea1_u/1000&amp;"kΩ"</f>
        <v>RC1 = 6,65kΩ</v>
      </c>
      <c r="B253" t="str">
        <f>ROUND(Rcea1_u/1000,2)&amp;"kΩ"</f>
        <v>6,65kΩ</v>
      </c>
      <c r="H253" s="88"/>
    </row>
    <row r="254" spans="1:8" x14ac:dyDescent="0.2">
      <c r="A254" s="87" t="str">
        <f>"CC1 = "&amp;Cc1ea_u*10^9&amp;"nF"</f>
        <v>CC1 = 4,7nF</v>
      </c>
      <c r="B254" t="str">
        <f>ROUND(Cc1ea_u*10^9,1)&amp;"nF"</f>
        <v>4,7nF</v>
      </c>
      <c r="H254" s="88"/>
    </row>
    <row r="255" spans="1:8" x14ac:dyDescent="0.2">
      <c r="A255" s="87" t="str">
        <f>"CC2 = "&amp;Cc2ea_u*10^12&amp;"pF"</f>
        <v>CC2 = 120pF</v>
      </c>
      <c r="B255" t="str">
        <f>ROUND(Cc2ea_u*10^12,0)&amp;"pF"</f>
        <v>120pF</v>
      </c>
      <c r="H255" s="88"/>
    </row>
    <row r="256" spans="1:8" x14ac:dyDescent="0.2">
      <c r="A256" s="87" t="str">
        <f>"RC2 = "&amp;Rcea2_u&amp;"Ω"</f>
        <v>RC2 = 768Ω</v>
      </c>
      <c r="B256" t="str">
        <f>ROUND(Rcea2_u,2)&amp;"Ω"</f>
        <v>768Ω</v>
      </c>
      <c r="H256" s="88"/>
    </row>
    <row r="257" spans="1:8" x14ac:dyDescent="0.2">
      <c r="A257" s="87" t="str">
        <f>"CC3 = "&amp;Cc3ea_u*10^12&amp;"pF"</f>
        <v>CC3 = 1000pF</v>
      </c>
      <c r="B257" t="str">
        <f>ROUND(Cc3ea_u*10^12,0)&amp;"pF"</f>
        <v>1000pF</v>
      </c>
      <c r="H257" s="88"/>
    </row>
    <row r="258" spans="1:8" x14ac:dyDescent="0.2">
      <c r="A258" s="87" t="str">
        <f>"RFB1 = "&amp;'Design Regulator'!E63&amp;"kΩ"</f>
        <v>RFB1 = 26,4kΩ</v>
      </c>
      <c r="B258" t="str">
        <f>'Design Regulator'!E63&amp;"kΩ"</f>
        <v>26,4kΩ</v>
      </c>
      <c r="H258" s="88"/>
    </row>
    <row r="259" spans="1:8" x14ac:dyDescent="0.2">
      <c r="A259" s="87" t="str">
        <f>"RFB2 = "&amp;IF(Vout=Vref,"OPEN",'Design Regulator'!E64&amp;"kΩ")</f>
        <v>RFB2 = 1,58kΩ</v>
      </c>
      <c r="B259" t="str">
        <f>IF(Vout=Vref,"OPEN",Rfb2_u/1000&amp;"kΩ")</f>
        <v>1,58kΩ</v>
      </c>
      <c r="H259" s="88"/>
    </row>
    <row r="260" spans="1:8" x14ac:dyDescent="0.2">
      <c r="A260" s="87" t="str">
        <f>"Crossover Frequency = "&amp;ROUND('Bode Plots Calculations'!BK5,0)&amp;" kHz"</f>
        <v>Crossover Frequency = 35 kHz</v>
      </c>
      <c r="B260" t="str">
        <f>ROUND('Bode Plots Calculations'!BK5,0)&amp;" kHz"</f>
        <v>35 kHz</v>
      </c>
      <c r="C260" s="172">
        <f>'Bode Plots Calculations'!BK5</f>
        <v>34.5</v>
      </c>
      <c r="H260" s="88"/>
    </row>
    <row r="261" spans="1:8" x14ac:dyDescent="0.2">
      <c r="A261" s="87" t="str">
        <f>"Phase Margin = "&amp;ROUND('Bode Plots Calculations'!BK6,0)&amp;"°"</f>
        <v>Phase Margin = 54°</v>
      </c>
      <c r="B261" s="173" t="str">
        <f>ROUND('Bode Plots Calculations'!BK6,0)&amp;"°"</f>
        <v>54°</v>
      </c>
      <c r="D261" s="309"/>
      <c r="H261" s="88"/>
    </row>
    <row r="262" spans="1:8" x14ac:dyDescent="0.2">
      <c r="A262" s="387"/>
      <c r="B262" s="173"/>
      <c r="D262" s="309"/>
      <c r="H262" s="88"/>
    </row>
    <row r="263" spans="1:8" x14ac:dyDescent="0.2">
      <c r="A263" s="87"/>
      <c r="H263" s="88"/>
    </row>
    <row r="264" spans="1:8" x14ac:dyDescent="0.2">
      <c r="A264" s="87" t="str">
        <f>"Rilim(Rdson) = "&amp;Rilim_Rdson&amp;"Ω"</f>
        <v>Rilim(Rdson) = 562Ω</v>
      </c>
      <c r="B264" t="str">
        <f>IF(Rilim_Rdson&gt;999,Rilim_Rdson/1000&amp;"kΩ", Rilim_Rdson&amp;"Ω")</f>
        <v>562Ω</v>
      </c>
      <c r="C264">
        <f>IF(Rilim_Rdson&gt;999,Rilim_Rdson/1000, Rilim_Rdson)</f>
        <v>562</v>
      </c>
      <c r="H264" s="88"/>
    </row>
    <row r="265" spans="1:8" x14ac:dyDescent="0.2">
      <c r="A265" s="87" t="str">
        <f>"Rilim(shunt) = "&amp;Rilim_shunt&amp;"Ω"</f>
        <v>Rilim(shunt) = 681Ω</v>
      </c>
      <c r="B265" t="str">
        <f>IF('Standard Value Calculator'!S22&gt;999, 'Standard Value Calculator'!S22/1000&amp;"kΩ", 'Standard Value Calculator'!S22&amp;"Ω")</f>
        <v>681Ω</v>
      </c>
      <c r="C265">
        <f>IF('Standard Value Calculator'!S22&gt;999, 'Standard Value Calculator'!S22/1000, 'Standard Value Calculator'!S22)</f>
        <v>681</v>
      </c>
      <c r="H265" s="88"/>
    </row>
    <row r="266" spans="1:8" x14ac:dyDescent="0.2">
      <c r="A266" s="87" t="s">
        <v>692</v>
      </c>
      <c r="B266" t="str">
        <f>Cilim_ideal&amp;"pF"</f>
        <v>8,2pF</v>
      </c>
      <c r="C266" s="462">
        <f>Cilim_ideal</f>
        <v>8.1999999999999993</v>
      </c>
      <c r="H266" s="88"/>
    </row>
    <row r="267" spans="1:8" x14ac:dyDescent="0.2">
      <c r="A267" s="387"/>
      <c r="H267" s="88"/>
    </row>
    <row r="268" spans="1:8" x14ac:dyDescent="0.2">
      <c r="A268" s="388" t="s">
        <v>594</v>
      </c>
      <c r="B268" t="str">
        <f>IF(RDSON_sense=1, 'Variable Management'!B264,'Variable Management'!B265)</f>
        <v>562Ω</v>
      </c>
      <c r="C268">
        <f>IF(RDSON_sense=1, 'Variable Management'!C264,'Variable Management'!C265)</f>
        <v>562</v>
      </c>
      <c r="H268" s="88"/>
    </row>
    <row r="269" spans="1:8" x14ac:dyDescent="0.2">
      <c r="A269" s="388" t="str">
        <f>IF(RDSON_sense=1, "", "Rs")</f>
        <v/>
      </c>
      <c r="B269" t="str">
        <f>IF(RDSON_sense=1, "", Rshunt*1000&amp;"mΩ")</f>
        <v/>
      </c>
      <c r="D269" t="s">
        <v>694</v>
      </c>
      <c r="H269" s="88"/>
    </row>
    <row r="270" spans="1:8" x14ac:dyDescent="0.2">
      <c r="A270" s="388" t="str">
        <f>IF(RDSON_sense=1, "Cilim", "")</f>
        <v>Cilim</v>
      </c>
      <c r="B270" t="str">
        <f>IF(RDSON_sense=1, IF(Cilim_ideal&lt;3.3, "N/A", Cilim_ideal&amp;"pF"), "")</f>
        <v>8,2pF</v>
      </c>
      <c r="C270" s="427" t="str">
        <f>IF(RDSON_sense=1, IF(Cilim_ideal&lt;3.3, "N/A", Cilim_ideal&amp;""), "")</f>
        <v>8,2</v>
      </c>
      <c r="D270" t="s">
        <v>695</v>
      </c>
      <c r="H270" s="88"/>
    </row>
    <row r="271" spans="1:8" x14ac:dyDescent="0.2">
      <c r="A271" s="387"/>
      <c r="H271" s="88"/>
    </row>
    <row r="272" spans="1:8" x14ac:dyDescent="0.2">
      <c r="A272" s="387"/>
      <c r="H272" s="88"/>
    </row>
    <row r="273" spans="1:8" x14ac:dyDescent="0.2">
      <c r="A273" s="87" t="s">
        <v>428</v>
      </c>
      <c r="B273" t="str">
        <f>'Standard Value Calculator'!S24/1000&amp;"kΩ"</f>
        <v>0kΩ</v>
      </c>
      <c r="C273">
        <f>'Standard Value Calculator'!S24/1000</f>
        <v>0</v>
      </c>
      <c r="H273" s="88"/>
    </row>
    <row r="274" spans="1:8" x14ac:dyDescent="0.2">
      <c r="A274" s="306" t="s">
        <v>520</v>
      </c>
      <c r="B274" s="171" t="s">
        <v>521</v>
      </c>
      <c r="H274" s="88"/>
    </row>
    <row r="275" spans="1:8" x14ac:dyDescent="0.2">
      <c r="A275" s="87" t="s">
        <v>295</v>
      </c>
      <c r="B275" t="str">
        <f>'Standard Value Calculator'!S4/1000&amp;"kΩ"</f>
        <v>30,1kΩ</v>
      </c>
      <c r="H275" s="88"/>
    </row>
    <row r="276" spans="1:8" x14ac:dyDescent="0.2">
      <c r="A276" s="87" t="s">
        <v>294</v>
      </c>
      <c r="B276" t="str">
        <f>'Standard Value Calculator'!B4*1000000000 &amp;"nF"</f>
        <v>47nF</v>
      </c>
      <c r="H276" s="88"/>
    </row>
    <row r="277" spans="1:8" x14ac:dyDescent="0.2">
      <c r="A277" s="306" t="s">
        <v>522</v>
      </c>
      <c r="B277" s="171" t="s">
        <v>557</v>
      </c>
      <c r="H277" s="88"/>
    </row>
    <row r="278" spans="1:8" x14ac:dyDescent="0.2">
      <c r="A278" s="87" t="s">
        <v>357</v>
      </c>
      <c r="B278" t="str">
        <f>IF(B47="y","","|")</f>
        <v>|</v>
      </c>
      <c r="H278" s="88"/>
    </row>
    <row r="279" spans="1:8" x14ac:dyDescent="0.2">
      <c r="A279" s="87" t="s">
        <v>384</v>
      </c>
      <c r="B279" t="str">
        <f>'Design Regulator'!$E$10&amp;"A"</f>
        <v>9A</v>
      </c>
      <c r="H279" s="88"/>
    </row>
    <row r="280" spans="1:8" x14ac:dyDescent="0.2">
      <c r="A280" s="87" t="s">
        <v>281</v>
      </c>
      <c r="B280" t="str">
        <f>Vin&amp;"V"</f>
        <v>30V</v>
      </c>
      <c r="H280" s="88"/>
    </row>
    <row r="281" spans="1:8" x14ac:dyDescent="0.2">
      <c r="A281" s="388" t="s">
        <v>700</v>
      </c>
      <c r="B281" t="str">
        <f>Vinmin&amp;"V to "&amp;Vinmax&amp;"V"</f>
        <v>24V to 36V</v>
      </c>
      <c r="H281" s="88"/>
    </row>
    <row r="282" spans="1:8" x14ac:dyDescent="0.2">
      <c r="A282" s="388"/>
      <c r="H282" s="88"/>
    </row>
    <row r="283" spans="1:8" x14ac:dyDescent="0.2">
      <c r="A283" s="87"/>
      <c r="H283" s="88"/>
    </row>
    <row r="284" spans="1:8" x14ac:dyDescent="0.2">
      <c r="A284" s="87" t="s">
        <v>393</v>
      </c>
      <c r="B284">
        <v>12</v>
      </c>
      <c r="H284" s="88"/>
    </row>
    <row r="285" spans="1:8" x14ac:dyDescent="0.2">
      <c r="A285" s="87" t="s">
        <v>394</v>
      </c>
      <c r="B285">
        <v>18</v>
      </c>
      <c r="H285" s="88"/>
    </row>
    <row r="286" spans="1:8" x14ac:dyDescent="0.2">
      <c r="A286" s="87" t="s">
        <v>395</v>
      </c>
      <c r="B286">
        <v>14</v>
      </c>
      <c r="H286" s="88"/>
    </row>
    <row r="287" spans="1:8" x14ac:dyDescent="0.2">
      <c r="A287" s="87" t="s">
        <v>396</v>
      </c>
      <c r="B287">
        <v>6</v>
      </c>
      <c r="H287" s="88"/>
    </row>
    <row r="288" spans="1:8" x14ac:dyDescent="0.2">
      <c r="A288" s="87" t="s">
        <v>397</v>
      </c>
      <c r="B288">
        <v>7</v>
      </c>
      <c r="H288" s="88"/>
    </row>
    <row r="289" spans="1:8" x14ac:dyDescent="0.2">
      <c r="A289" s="87" t="s">
        <v>398</v>
      </c>
      <c r="B289">
        <v>11</v>
      </c>
      <c r="H289" s="88"/>
    </row>
    <row r="290" spans="1:8" x14ac:dyDescent="0.2">
      <c r="A290" s="87" t="s">
        <v>399</v>
      </c>
      <c r="B290">
        <v>1</v>
      </c>
      <c r="H290" s="88"/>
    </row>
    <row r="291" spans="1:8" x14ac:dyDescent="0.2">
      <c r="A291" s="87" t="s">
        <v>400</v>
      </c>
      <c r="B291">
        <v>5</v>
      </c>
      <c r="H291" s="88"/>
    </row>
    <row r="292" spans="1:8" x14ac:dyDescent="0.2">
      <c r="A292" s="87" t="s">
        <v>401</v>
      </c>
      <c r="B292">
        <v>13</v>
      </c>
      <c r="H292" s="88"/>
    </row>
    <row r="293" spans="1:8" x14ac:dyDescent="0.2">
      <c r="A293" s="87" t="s">
        <v>402</v>
      </c>
      <c r="B293">
        <v>4</v>
      </c>
      <c r="H293" s="88"/>
    </row>
    <row r="294" spans="1:8" x14ac:dyDescent="0.2">
      <c r="A294" s="87" t="s">
        <v>403</v>
      </c>
      <c r="B294">
        <v>3</v>
      </c>
      <c r="H294" s="88"/>
    </row>
    <row r="295" spans="1:8" x14ac:dyDescent="0.2">
      <c r="A295" s="87" t="s">
        <v>404</v>
      </c>
      <c r="B295">
        <v>24</v>
      </c>
      <c r="H295" s="88"/>
    </row>
    <row r="296" spans="1:8" x14ac:dyDescent="0.2">
      <c r="A296" s="87" t="s">
        <v>405</v>
      </c>
      <c r="B296">
        <v>23</v>
      </c>
      <c r="H296" s="88"/>
    </row>
    <row r="297" spans="1:8" x14ac:dyDescent="0.2">
      <c r="A297" s="87" t="s">
        <v>406</v>
      </c>
      <c r="B297">
        <v>15</v>
      </c>
      <c r="H297" s="88"/>
    </row>
    <row r="298" spans="1:8" x14ac:dyDescent="0.2">
      <c r="A298" s="87" t="s">
        <v>407</v>
      </c>
      <c r="B298">
        <v>16</v>
      </c>
      <c r="H298" s="88"/>
    </row>
    <row r="299" spans="1:8" x14ac:dyDescent="0.2">
      <c r="A299" s="87" t="s">
        <v>408</v>
      </c>
      <c r="B299">
        <v>17</v>
      </c>
      <c r="H299" s="88"/>
    </row>
    <row r="300" spans="1:8" x14ac:dyDescent="0.2">
      <c r="A300" t="s">
        <v>426</v>
      </c>
      <c r="B300">
        <v>2</v>
      </c>
      <c r="H300" s="88"/>
    </row>
    <row r="301" spans="1:8" x14ac:dyDescent="0.2">
      <c r="A301" s="87" t="s">
        <v>423</v>
      </c>
      <c r="B301">
        <v>8</v>
      </c>
      <c r="H301" s="88"/>
    </row>
    <row r="302" spans="1:8" x14ac:dyDescent="0.2">
      <c r="A302" s="87" t="s">
        <v>424</v>
      </c>
      <c r="B302">
        <v>9</v>
      </c>
      <c r="H302" s="88"/>
    </row>
    <row r="303" spans="1:8" ht="13.5" thickBot="1" x14ac:dyDescent="0.25">
      <c r="A303" s="91" t="s">
        <v>425</v>
      </c>
      <c r="B303" s="92">
        <v>10</v>
      </c>
      <c r="C303" s="92"/>
      <c r="D303" s="92"/>
      <c r="E303" s="92"/>
      <c r="F303" s="92"/>
      <c r="G303" s="92"/>
      <c r="H303" s="93"/>
    </row>
    <row r="307" spans="1:2" x14ac:dyDescent="0.2">
      <c r="A307" s="167"/>
    </row>
    <row r="308" spans="1:2" x14ac:dyDescent="0.2">
      <c r="A308" s="460" t="s">
        <v>687</v>
      </c>
      <c r="B308" s="54" t="str">
        <f>ROUND('Power Calculations'!AU209*1,1)&amp;"%"</f>
        <v>95,6%</v>
      </c>
    </row>
    <row r="309" spans="1:2" x14ac:dyDescent="0.2">
      <c r="A309" s="460" t="s">
        <v>688</v>
      </c>
      <c r="B309" s="54" t="str">
        <f>ROUND('Power Calculations'!AU109*1,1)&amp;"%"</f>
        <v>97,1%</v>
      </c>
    </row>
    <row r="346" spans="1:1" x14ac:dyDescent="0.2">
      <c r="A346" t="s">
        <v>315</v>
      </c>
    </row>
    <row r="347" spans="1:1" x14ac:dyDescent="0.2">
      <c r="A347" t="s">
        <v>316</v>
      </c>
    </row>
    <row r="348" spans="1:1" x14ac:dyDescent="0.2">
      <c r="A348" t="s">
        <v>317</v>
      </c>
    </row>
    <row r="349" spans="1:1" x14ac:dyDescent="0.2">
      <c r="A349" t="s">
        <v>318</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219075</xdr:colOff>
                <xdr:row>10</xdr:row>
                <xdr:rowOff>114300</xdr:rowOff>
              </from>
              <to>
                <xdr:col>16</xdr:col>
                <xdr:colOff>28575</xdr:colOff>
                <xdr:row>31</xdr:row>
                <xdr:rowOff>123825</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2.75" x14ac:dyDescent="0.2"/>
  <cols>
    <col min="1" max="1" width="17.28515625" customWidth="1"/>
    <col min="2" max="2" width="12" bestFit="1" customWidth="1"/>
    <col min="3" max="5" width="12.42578125" bestFit="1" customWidth="1"/>
    <col min="8" max="8" width="12.42578125" bestFit="1" customWidth="1"/>
    <col min="14" max="14" width="11.85546875" customWidth="1"/>
    <col min="17" max="17" width="12.140625" customWidth="1"/>
    <col min="18" max="18" width="12.42578125" bestFit="1" customWidth="1"/>
    <col min="19" max="19" width="15.42578125" customWidth="1"/>
  </cols>
  <sheetData>
    <row r="2" spans="1:20" x14ac:dyDescent="0.2">
      <c r="A2" t="s">
        <v>306</v>
      </c>
      <c r="B2" t="s">
        <v>294</v>
      </c>
      <c r="C2" t="s">
        <v>54</v>
      </c>
      <c r="D2" t="s">
        <v>55</v>
      </c>
      <c r="E2" t="s">
        <v>57</v>
      </c>
      <c r="F2" t="s">
        <v>36</v>
      </c>
      <c r="G2" t="s">
        <v>127</v>
      </c>
      <c r="H2" t="s">
        <v>692</v>
      </c>
      <c r="I2" t="s">
        <v>320</v>
      </c>
      <c r="J2" t="s">
        <v>304</v>
      </c>
      <c r="K2" t="s">
        <v>324</v>
      </c>
      <c r="L2" t="s">
        <v>303</v>
      </c>
      <c r="M2" t="s">
        <v>314</v>
      </c>
      <c r="N2" t="s">
        <v>358</v>
      </c>
    </row>
    <row r="3" spans="1:20" x14ac:dyDescent="0.2">
      <c r="A3" t="s">
        <v>309</v>
      </c>
      <c r="B3">
        <f>Css</f>
        <v>4.9999999999999998E-8</v>
      </c>
      <c r="C3">
        <f>Cc1ea</f>
        <v>3.6909773486492662E-9</v>
      </c>
      <c r="D3">
        <f>Cc2ea</f>
        <v>1.171665629508981E-10</v>
      </c>
      <c r="E3">
        <f>Cc3ea</f>
        <v>9.1732232000227773E-10</v>
      </c>
      <c r="F3">
        <f>Cout</f>
        <v>6.9999999999999994E-5</v>
      </c>
      <c r="G3">
        <f>Cin</f>
        <v>3.0000000000000001E-5</v>
      </c>
      <c r="H3">
        <f>Cilim</f>
        <v>8.606787392911744E-12</v>
      </c>
      <c r="I3">
        <f>Cdd</f>
        <v>0</v>
      </c>
      <c r="J3">
        <f>Csb</f>
        <v>0</v>
      </c>
      <c r="K3">
        <f>Csby</f>
        <v>100</v>
      </c>
      <c r="L3">
        <f>Cby</f>
        <v>0</v>
      </c>
      <c r="M3">
        <f>Cb</f>
        <v>0</v>
      </c>
      <c r="N3" t="e">
        <f>'Variable Management'!#REF!</f>
        <v>#REF!</v>
      </c>
      <c r="Q3" t="s">
        <v>311</v>
      </c>
      <c r="R3" t="s">
        <v>313</v>
      </c>
      <c r="S3" s="2" t="s">
        <v>308</v>
      </c>
    </row>
    <row r="4" spans="1:20" x14ac:dyDescent="0.2">
      <c r="A4" s="7" t="s">
        <v>308</v>
      </c>
      <c r="B4" s="7">
        <f>SUM(B6:B158)/1000000000000</f>
        <v>4.6999999999999997E-8</v>
      </c>
      <c r="C4" s="7">
        <f t="shared" ref="C4:H4" si="0">SUM(C6:C158)/1000000000000</f>
        <v>3.9000000000000002E-9</v>
      </c>
      <c r="D4" s="7">
        <f t="shared" si="0"/>
        <v>1.2E-10</v>
      </c>
      <c r="E4" s="7">
        <f t="shared" si="0"/>
        <v>1.0000000000000001E-9</v>
      </c>
      <c r="F4" s="7">
        <f t="shared" si="0"/>
        <v>6.7999999999999999E-5</v>
      </c>
      <c r="G4" s="7">
        <f t="shared" si="0"/>
        <v>3.3000000000000003E-5</v>
      </c>
      <c r="H4" s="7">
        <f t="shared" si="0"/>
        <v>8.1999999999999998E-12</v>
      </c>
      <c r="I4" s="7">
        <f t="shared" ref="I4:N4" si="1">IF(I3="OPEN","OPEN",SUM(I6:I158)/1000000000000)</f>
        <v>0</v>
      </c>
      <c r="J4" s="7">
        <f t="shared" si="1"/>
        <v>0</v>
      </c>
      <c r="K4" s="7">
        <f t="shared" si="1"/>
        <v>0</v>
      </c>
      <c r="L4" s="7">
        <f t="shared" si="1"/>
        <v>0</v>
      </c>
      <c r="M4" s="7">
        <f t="shared" si="1"/>
        <v>0</v>
      </c>
      <c r="N4" s="7" t="e">
        <f t="shared" si="1"/>
        <v>#REF!</v>
      </c>
      <c r="Q4" t="s">
        <v>312</v>
      </c>
      <c r="R4">
        <f>Rfadj</f>
        <v>30120.481927710844</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30100</v>
      </c>
      <c r="T4" s="55" t="s">
        <v>535</v>
      </c>
    </row>
    <row r="5" spans="1:20" x14ac:dyDescent="0.2">
      <c r="A5" t="s">
        <v>307</v>
      </c>
      <c r="Q5" s="171" t="s">
        <v>587</v>
      </c>
      <c r="R5">
        <f>Rilim_Rdson_ideal</f>
        <v>565.67552244986575</v>
      </c>
      <c r="S5" s="2">
        <f t="shared" si="2"/>
        <v>562</v>
      </c>
      <c r="T5" s="55" t="s">
        <v>535</v>
      </c>
    </row>
    <row r="6" spans="1:20" x14ac:dyDescent="0.2">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587</v>
      </c>
      <c r="R6">
        <f>Rilim_Rdson_ideal</f>
        <v>565.67552244986575</v>
      </c>
      <c r="S6" s="2">
        <f t="shared" si="2"/>
        <v>562</v>
      </c>
      <c r="T6" s="55" t="s">
        <v>535</v>
      </c>
    </row>
    <row r="7" spans="1:20" x14ac:dyDescent="0.2">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x14ac:dyDescent="0.2">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344</v>
      </c>
      <c r="R8">
        <f>Rcea1</f>
        <v>8442.6799512046327</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8450</v>
      </c>
      <c r="T8" s="55" t="s">
        <v>535</v>
      </c>
    </row>
    <row r="9" spans="1:20" x14ac:dyDescent="0.2">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345</v>
      </c>
      <c r="R9">
        <f>Rcea2</f>
        <v>21.36653559236554</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21.5</v>
      </c>
      <c r="T9" s="55" t="s">
        <v>535</v>
      </c>
    </row>
    <row r="10" spans="1:20" x14ac:dyDescent="0.2">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26400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26100</v>
      </c>
      <c r="T10" s="55" t="s">
        <v>535</v>
      </c>
    </row>
    <row r="11" spans="1:20" x14ac:dyDescent="0.2">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1600</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1580</v>
      </c>
      <c r="T11" s="55" t="s">
        <v>535</v>
      </c>
    </row>
    <row r="12" spans="1:20" x14ac:dyDescent="0.2">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315</v>
      </c>
      <c r="R12">
        <f>_Rs1</f>
        <v>8.1999999999999993</v>
      </c>
      <c r="S12" s="2"/>
    </row>
    <row r="13" spans="1:20" x14ac:dyDescent="0.2">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316</v>
      </c>
      <c r="R13">
        <f>_Rs2</f>
        <v>8.606787392911744E-12</v>
      </c>
      <c r="S13" s="2"/>
    </row>
    <row r="14" spans="1:20" x14ac:dyDescent="0.2">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317</v>
      </c>
      <c r="R14">
        <f>_Rs3</f>
        <v>0.18</v>
      </c>
      <c r="S14" s="2"/>
    </row>
    <row r="15" spans="1:20" x14ac:dyDescent="0.2">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x14ac:dyDescent="0.2">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523</v>
      </c>
      <c r="R16">
        <f>Ruvlo1</f>
        <v>200</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200</v>
      </c>
      <c r="T16" s="55" t="s">
        <v>489</v>
      </c>
    </row>
    <row r="17" spans="1:20" x14ac:dyDescent="0.2">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524</v>
      </c>
      <c r="R17">
        <f>Ruvlo2</f>
        <v>8.3333333333333339</v>
      </c>
      <c r="S17" s="2">
        <f t="shared" si="13"/>
        <v>8.25</v>
      </c>
      <c r="T17" s="55" t="s">
        <v>489</v>
      </c>
    </row>
    <row r="18" spans="1:20" x14ac:dyDescent="0.2">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x14ac:dyDescent="0.2">
      <c r="A21">
        <v>8.1999999999999993</v>
      </c>
      <c r="B21">
        <f t="shared" si="11"/>
        <v>0</v>
      </c>
      <c r="C21">
        <f t="shared" si="12"/>
        <v>0</v>
      </c>
      <c r="D21">
        <f t="shared" si="3"/>
        <v>0</v>
      </c>
      <c r="E21">
        <f t="shared" si="4"/>
        <v>0</v>
      </c>
      <c r="F21">
        <f t="shared" si="5"/>
        <v>0</v>
      </c>
      <c r="G21">
        <f t="shared" si="6"/>
        <v>0</v>
      </c>
      <c r="H21">
        <f t="shared" si="7"/>
        <v>8.1999999999999993</v>
      </c>
      <c r="I21">
        <f t="shared" si="7"/>
        <v>0</v>
      </c>
      <c r="J21">
        <f t="shared" si="7"/>
        <v>0</v>
      </c>
      <c r="K21">
        <f t="shared" si="7"/>
        <v>0</v>
      </c>
      <c r="L21">
        <f t="shared" si="8"/>
        <v>0</v>
      </c>
      <c r="M21">
        <f t="shared" si="9"/>
        <v>0</v>
      </c>
      <c r="N21" t="e">
        <f t="shared" si="10"/>
        <v>#REF!</v>
      </c>
      <c r="Q21" s="171"/>
      <c r="S21" s="2"/>
      <c r="T21" s="55"/>
    </row>
    <row r="22" spans="1:20" x14ac:dyDescent="0.2">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588</v>
      </c>
      <c r="R22" s="407">
        <f>Rilim_shunt_ideal</f>
        <v>678.81062693983881</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681</v>
      </c>
      <c r="T22" s="55" t="s">
        <v>535</v>
      </c>
    </row>
    <row r="23" spans="1:20" x14ac:dyDescent="0.2">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692</v>
      </c>
      <c r="R23" s="40">
        <f>Cilim</f>
        <v>8.606787392911744E-12</v>
      </c>
      <c r="S23" s="2">
        <f>H4*1000000000000</f>
        <v>8.1999999999999993</v>
      </c>
      <c r="T23" t="s">
        <v>53</v>
      </c>
    </row>
    <row r="24" spans="1:20" x14ac:dyDescent="0.2">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x14ac:dyDescent="0.2">
      <c r="A27">
        <v>27</v>
      </c>
      <c r="B27">
        <f t="shared" si="11"/>
        <v>0</v>
      </c>
      <c r="C27">
        <f t="shared" si="12"/>
        <v>0</v>
      </c>
      <c r="D27">
        <f t="shared" si="3"/>
        <v>0</v>
      </c>
      <c r="E27">
        <f t="shared" si="4"/>
        <v>0</v>
      </c>
      <c r="F27">
        <f t="shared" si="5"/>
        <v>0</v>
      </c>
      <c r="G27">
        <f t="shared" si="6"/>
        <v>0</v>
      </c>
      <c r="H27">
        <f t="shared" si="7"/>
        <v>0</v>
      </c>
      <c r="I27">
        <f t="shared" si="7"/>
        <v>0</v>
      </c>
      <c r="J27">
        <f t="shared" si="7"/>
        <v>0</v>
      </c>
      <c r="K27">
        <f t="shared" si="7"/>
        <v>0</v>
      </c>
      <c r="L27">
        <f t="shared" si="8"/>
        <v>0</v>
      </c>
      <c r="M27">
        <f t="shared" si="9"/>
        <v>0</v>
      </c>
      <c r="N27" t="e">
        <f t="shared" si="10"/>
        <v>#REF!</v>
      </c>
      <c r="Q27" s="3" t="s">
        <v>325</v>
      </c>
      <c r="R27" t="str">
        <f>S8/1000&amp;" kΩ"</f>
        <v>8,45 kΩ</v>
      </c>
      <c r="S27">
        <f>S8/1000</f>
        <v>8.4499999999999993</v>
      </c>
      <c r="T27" s="55" t="s">
        <v>489</v>
      </c>
    </row>
    <row r="28" spans="1:20" x14ac:dyDescent="0.2">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321</v>
      </c>
      <c r="R28" t="str">
        <f>C4*1000000000000&amp;" pF"</f>
        <v>3900 pF</v>
      </c>
      <c r="S28">
        <f>C4*1000000000000</f>
        <v>3900</v>
      </c>
      <c r="T28" s="171" t="s">
        <v>53</v>
      </c>
    </row>
    <row r="29" spans="1:20" x14ac:dyDescent="0.2">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322</v>
      </c>
      <c r="R29" t="str">
        <f>D4*1000000000000&amp;" pF"</f>
        <v>120 pF</v>
      </c>
      <c r="S29">
        <f>D4*1000000000000</f>
        <v>120</v>
      </c>
      <c r="T29" s="171" t="s">
        <v>53</v>
      </c>
    </row>
    <row r="30" spans="1:20" x14ac:dyDescent="0.2">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326</v>
      </c>
      <c r="R30" t="str">
        <f>S9&amp;" Ω"</f>
        <v>21,5 Ω</v>
      </c>
      <c r="S30">
        <f>S9</f>
        <v>21.5</v>
      </c>
      <c r="T30" s="55" t="s">
        <v>535</v>
      </c>
    </row>
    <row r="31" spans="1:20" x14ac:dyDescent="0.2">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323</v>
      </c>
      <c r="R31" t="str">
        <f>E4*1000000000000&amp;" pF"</f>
        <v>1000 pF</v>
      </c>
      <c r="S31">
        <f>E4*1000000000000</f>
        <v>1000.0000000000001</v>
      </c>
      <c r="T31" s="171" t="s">
        <v>53</v>
      </c>
    </row>
    <row r="32" spans="1:20" x14ac:dyDescent="0.2">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
      <c r="A34">
        <f>A22*10</f>
        <v>100</v>
      </c>
      <c r="B34">
        <f t="shared" si="11"/>
        <v>0</v>
      </c>
      <c r="C34">
        <f t="shared" si="12"/>
        <v>0</v>
      </c>
      <c r="D34">
        <f t="shared" si="3"/>
        <v>120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
      <c r="A45">
        <f>A33*10</f>
        <v>820</v>
      </c>
      <c r="B45">
        <f t="shared" si="11"/>
        <v>0</v>
      </c>
      <c r="C45">
        <f t="shared" si="17"/>
        <v>0</v>
      </c>
      <c r="D45">
        <f t="shared" si="3"/>
        <v>0</v>
      </c>
      <c r="E45">
        <f t="shared" si="4"/>
        <v>1000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
      <c r="A47">
        <f t="shared" si="14"/>
        <v>1200</v>
      </c>
      <c r="B47">
        <f t="shared" si="11"/>
        <v>0</v>
      </c>
      <c r="C47">
        <f t="shared" si="17"/>
        <v>0</v>
      </c>
      <c r="D47">
        <f t="shared" si="3"/>
        <v>0</v>
      </c>
      <c r="E47">
        <f t="shared" si="4"/>
        <v>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
      <c r="A51">
        <f t="shared" si="14"/>
        <v>2700</v>
      </c>
      <c r="B51">
        <f t="shared" si="11"/>
        <v>0</v>
      </c>
      <c r="C51">
        <f t="shared" si="17"/>
        <v>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
      <c r="A52">
        <f t="shared" si="14"/>
        <v>3300</v>
      </c>
      <c r="B52">
        <f t="shared" si="11"/>
        <v>0</v>
      </c>
      <c r="C52">
        <f t="shared" si="17"/>
        <v>3900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
      <c r="A66">
        <f t="shared" si="14"/>
        <v>47000</v>
      </c>
      <c r="B66">
        <f t="shared" si="11"/>
        <v>47000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
      <c r="A70">
        <f t="shared" si="14"/>
        <v>100000</v>
      </c>
      <c r="B70">
        <f t="shared" si="11"/>
        <v>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
      <c r="A99">
        <f t="shared" ref="A99:A159" si="28">A87*10</f>
        <v>27000000</v>
      </c>
      <c r="B99">
        <f t="shared" si="22"/>
        <v>0</v>
      </c>
      <c r="C99">
        <f t="shared" si="23"/>
        <v>0</v>
      </c>
      <c r="D99">
        <f t="shared" si="23"/>
        <v>0</v>
      </c>
      <c r="E99">
        <f t="shared" si="23"/>
        <v>0</v>
      </c>
      <c r="F99">
        <f t="shared" si="23"/>
        <v>0</v>
      </c>
      <c r="G99">
        <f t="shared" si="24"/>
        <v>33000000</v>
      </c>
      <c r="H99">
        <f t="shared" si="25"/>
        <v>0</v>
      </c>
      <c r="I99">
        <f t="shared" si="26"/>
        <v>0</v>
      </c>
      <c r="J99">
        <f t="shared" si="27"/>
        <v>0</v>
      </c>
      <c r="K99">
        <f t="shared" si="18"/>
        <v>0</v>
      </c>
      <c r="L99">
        <f t="shared" si="18"/>
        <v>0</v>
      </c>
      <c r="M99">
        <f t="shared" si="20"/>
        <v>0</v>
      </c>
      <c r="N99" t="e">
        <f t="shared" si="21"/>
        <v>#REF!</v>
      </c>
    </row>
    <row r="100" spans="1:14" x14ac:dyDescent="0.2">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
      <c r="A104">
        <f t="shared" si="28"/>
        <v>68000000</v>
      </c>
      <c r="B104">
        <f t="shared" si="22"/>
        <v>0</v>
      </c>
      <c r="C104">
        <f t="shared" si="23"/>
        <v>0</v>
      </c>
      <c r="D104">
        <f t="shared" si="23"/>
        <v>0</v>
      </c>
      <c r="E104">
        <f t="shared" si="23"/>
        <v>0</v>
      </c>
      <c r="F104">
        <f t="shared" si="23"/>
        <v>68000000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
      <c r="A106">
        <f t="shared" si="28"/>
        <v>100000000</v>
      </c>
      <c r="B106">
        <f t="shared" si="22"/>
        <v>0</v>
      </c>
      <c r="C106">
        <f t="shared" si="23"/>
        <v>0</v>
      </c>
      <c r="D106">
        <f t="shared" si="23"/>
        <v>0</v>
      </c>
      <c r="E106">
        <f t="shared" si="23"/>
        <v>0</v>
      </c>
      <c r="F106">
        <f t="shared" si="23"/>
        <v>0</v>
      </c>
      <c r="G106">
        <f t="shared" si="31"/>
        <v>0</v>
      </c>
      <c r="H106">
        <f t="shared" si="32"/>
        <v>0</v>
      </c>
      <c r="I106">
        <f t="shared" si="33"/>
        <v>0</v>
      </c>
      <c r="J106">
        <f t="shared" si="34"/>
        <v>0</v>
      </c>
      <c r="K106">
        <f t="shared" si="18"/>
        <v>0</v>
      </c>
      <c r="L106">
        <f t="shared" si="18"/>
        <v>0</v>
      </c>
      <c r="M106">
        <f t="shared" si="29"/>
        <v>0</v>
      </c>
      <c r="N106" t="e">
        <f t="shared" si="30"/>
        <v>#REF!</v>
      </c>
    </row>
    <row r="107" spans="1:14" x14ac:dyDescent="0.2">
      <c r="A107">
        <f t="shared" si="28"/>
        <v>120000000</v>
      </c>
      <c r="B107">
        <f t="shared" si="22"/>
        <v>0</v>
      </c>
      <c r="C107">
        <f t="shared" si="23"/>
        <v>0</v>
      </c>
      <c r="D107">
        <f t="shared" si="23"/>
        <v>0</v>
      </c>
      <c r="E107">
        <f t="shared" si="23"/>
        <v>0</v>
      </c>
      <c r="F107">
        <f t="shared" si="23"/>
        <v>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2.75" x14ac:dyDescent="0.2"/>
  <cols>
    <col min="1" max="1" width="10.42578125" customWidth="1"/>
    <col min="2" max="2" width="10" bestFit="1" customWidth="1"/>
    <col min="4" max="4" width="12.42578125" bestFit="1" customWidth="1"/>
    <col min="7" max="7" width="11.140625" customWidth="1"/>
    <col min="8" max="8" width="13.140625" bestFit="1" customWidth="1"/>
    <col min="13" max="14" width="12.42578125" bestFit="1" customWidth="1"/>
    <col min="16" max="16" width="12.42578125" bestFit="1" customWidth="1"/>
    <col min="18" max="18" width="13.140625" bestFit="1" customWidth="1"/>
    <col min="20" max="20" width="13.140625" bestFit="1" customWidth="1"/>
    <col min="22" max="22" width="13.140625" bestFit="1" customWidth="1"/>
    <col min="24" max="24" width="13.85546875" bestFit="1" customWidth="1"/>
    <col min="25" max="25" width="12.5703125" bestFit="1" customWidth="1"/>
    <col min="26" max="26" width="12.42578125" bestFit="1" customWidth="1"/>
    <col min="28" max="28" width="3.140625" style="6" customWidth="1"/>
    <col min="29" max="32" width="8.5703125" customWidth="1"/>
    <col min="33" max="33" width="13.140625" bestFit="1" customWidth="1"/>
    <col min="34" max="34" width="9.5703125" bestFit="1" customWidth="1"/>
    <col min="35" max="35" width="10" bestFit="1" customWidth="1"/>
    <col min="36" max="39" width="8.85546875" customWidth="1"/>
    <col min="43" max="43" width="12.42578125" bestFit="1" customWidth="1"/>
    <col min="45" max="46" width="12.42578125" bestFit="1" customWidth="1"/>
    <col min="47" max="47" width="13.140625" bestFit="1" customWidth="1"/>
    <col min="49" max="49" width="13.140625" bestFit="1" customWidth="1"/>
    <col min="50" max="50" width="11" bestFit="1" customWidth="1"/>
    <col min="54" max="54" width="12.42578125" customWidth="1"/>
    <col min="55" max="55" width="10.140625" customWidth="1"/>
    <col min="58" max="58" width="11" customWidth="1"/>
    <col min="59" max="59" width="13" customWidth="1"/>
    <col min="60" max="60" width="16.85546875" customWidth="1"/>
    <col min="62" max="62" width="12.28515625" customWidth="1"/>
    <col min="66" max="66" width="13.140625" bestFit="1" customWidth="1"/>
    <col min="72" max="72" width="10.5703125" customWidth="1"/>
  </cols>
  <sheetData>
    <row r="1" spans="1:81" ht="38.25" customHeight="1" x14ac:dyDescent="0.4">
      <c r="A1" s="564" t="s">
        <v>45</v>
      </c>
      <c r="B1" s="564"/>
      <c r="C1" s="564"/>
      <c r="D1" s="564"/>
      <c r="E1" s="564"/>
      <c r="F1" s="564"/>
      <c r="G1" s="564"/>
      <c r="AC1" s="8" t="s">
        <v>106</v>
      </c>
      <c r="AD1" s="5"/>
      <c r="AE1" s="5"/>
      <c r="AF1" s="5"/>
      <c r="AG1" s="5"/>
    </row>
    <row r="3" spans="1:81" x14ac:dyDescent="0.2">
      <c r="AT3">
        <f>AT9/10000000000000</f>
        <v>-5.9716155248726806E-5</v>
      </c>
      <c r="AU3">
        <f>AU9/10000000000000</f>
        <v>-3.301957837324189E-2</v>
      </c>
    </row>
    <row r="4" spans="1:81" x14ac:dyDescent="0.2">
      <c r="AT4">
        <f>AT3*1000</f>
        <v>-5.9716155248726803E-2</v>
      </c>
      <c r="AU4">
        <f>AU3*1000</f>
        <v>-33.019578373241892</v>
      </c>
      <c r="BJ4" s="5" t="s">
        <v>111</v>
      </c>
      <c r="BK4" s="5"/>
    </row>
    <row r="5" spans="1:81" x14ac:dyDescent="0.2">
      <c r="AC5" t="s">
        <v>93</v>
      </c>
      <c r="AD5" t="s">
        <v>94</v>
      </c>
      <c r="AE5" t="s">
        <v>95</v>
      </c>
      <c r="AF5" t="s">
        <v>96</v>
      </c>
      <c r="AJ5" t="s">
        <v>93</v>
      </c>
      <c r="AK5" t="s">
        <v>94</v>
      </c>
      <c r="AL5" t="s">
        <v>95</v>
      </c>
      <c r="AM5" t="s">
        <v>96</v>
      </c>
      <c r="BJ5" t="s">
        <v>84</v>
      </c>
      <c r="BK5">
        <f>SUM(BJ9:BJ626)/1000</f>
        <v>34.5</v>
      </c>
    </row>
    <row r="6" spans="1:81" x14ac:dyDescent="0.2">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333</v>
      </c>
      <c r="BG6" s="5"/>
      <c r="BH6" s="5"/>
      <c r="BJ6" t="s">
        <v>85</v>
      </c>
      <c r="BK6" s="4">
        <f>SUM(BK10:BK627)</f>
        <v>53.516580375067448</v>
      </c>
      <c r="BM6" s="5" t="s">
        <v>334</v>
      </c>
      <c r="BN6" s="5"/>
      <c r="BU6" s="2"/>
    </row>
    <row r="7" spans="1:81" x14ac:dyDescent="0.2">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335</v>
      </c>
      <c r="BQ8" s="2"/>
      <c r="BR8" s="2"/>
      <c r="BS8" s="2"/>
      <c r="BT8" t="s">
        <v>341</v>
      </c>
      <c r="BY8" s="2"/>
      <c r="BZ8" s="2"/>
      <c r="CA8" s="2"/>
      <c r="CB8" s="2"/>
    </row>
    <row r="9" spans="1:81" x14ac:dyDescent="0.2">
      <c r="A9">
        <v>1</v>
      </c>
      <c r="B9">
        <f>A9/1000</f>
        <v>1E-3</v>
      </c>
      <c r="C9">
        <f t="shared" ref="C9:C72" si="0">SQRT((A9/Fesr)^2+1)</f>
        <v>1.0000000000000075</v>
      </c>
      <c r="D9">
        <f t="shared" ref="D9:D72" si="1">ATAN(A9/Fesr)</f>
        <v>1.2315043187999938E-7</v>
      </c>
      <c r="F9">
        <f t="shared" ref="F9:F72" si="2">(Ro/(Ro+Rdcr))/SQRT((A9/(Q*Fo))^2+(1-(A9^2/Fo^2))^2)</f>
        <v>0.99943459255608535</v>
      </c>
      <c r="G9">
        <f t="shared" ref="G9:G72" si="3">-ATAN(A9*Fo/(Q*(Fo^2-A9^2)))</f>
        <v>-2.7962466847104998E-5</v>
      </c>
      <c r="H9">
        <f t="shared" ref="H9:H72" si="4">IF(G9&gt;0,G9-Pi,G9)</f>
        <v>-2.7962466847104998E-5</v>
      </c>
      <c r="J9">
        <f t="shared" ref="J9:J72" si="5">Vin/Vramp</f>
        <v>15</v>
      </c>
      <c r="M9">
        <f t="shared" ref="M9:M72" si="6">1/(2*Pi*_Rfb1*(Cc1ea_u+Cc2ea_u)*A9)</f>
        <v>1250.7461278272067</v>
      </c>
      <c r="N9">
        <f t="shared" ref="N9:N72" si="7">-Pi/2</f>
        <v>-1.5707963250000001</v>
      </c>
      <c r="O9">
        <f t="shared" ref="O9:O72" si="8">SQRT(1+(A9/Fz1_u)^2)</f>
        <v>1.0000000192827398</v>
      </c>
      <c r="P9">
        <f t="shared" ref="P9:P72" si="9">ATAN2(Fz1_u,A9)</f>
        <v>1.9638095402699145E-4</v>
      </c>
      <c r="Q9">
        <f t="shared" ref="Q9:Q72" si="10">SQRT(1+(A9/Fz2_u)^2)</f>
        <v>1.0000000145695143</v>
      </c>
      <c r="R9">
        <f t="shared" ref="R9:R72" si="11">ATAN2(Fz2_u,A9)</f>
        <v>1.7070157657237398E-4</v>
      </c>
      <c r="S9">
        <f t="shared" ref="S9:S72" si="12">1/SQRT(1+(A9/Fp1_u)^2)</f>
        <v>0.99999999998835731</v>
      </c>
      <c r="T9">
        <f t="shared" ref="T9:T72" si="13">-ATAN2(Fp1_u,A9)</f>
        <v>-4.8254863103625465E-6</v>
      </c>
      <c r="U9">
        <f t="shared" ref="U9:U72" si="14">1/SQRT(1+(A9/Fp2_u)^2)</f>
        <v>0.99999999998804823</v>
      </c>
      <c r="V9">
        <f t="shared" ref="V9:V72" si="15">-ATAN2(Fp2_u,A9)</f>
        <v>-4.8891524452266032E-6</v>
      </c>
      <c r="X9">
        <f>20*LOG(C9*J9*O9*Q9*F9*M9*S9*U9)</f>
        <v>85.460296359976098</v>
      </c>
      <c r="Y9">
        <f t="shared" ref="Y9:Y72" si="16">(180/Pi)*(D9+H9+N9+P9+R9+T9+V9)</f>
        <v>-89.981119403377392</v>
      </c>
      <c r="Z9">
        <f>Y9+180</f>
        <v>90.018880596622608</v>
      </c>
      <c r="AC9">
        <v>1</v>
      </c>
      <c r="AD9">
        <f t="shared" ref="AD9:AD72" si="17">Rcea1_u*Cc1ea_u*A9*2*Pi</f>
        <v>1.963809565515E-4</v>
      </c>
      <c r="AE9">
        <f t="shared" ref="AE9:AE72" si="18">-Rcea1_u*Cc1ea_u*Cc2ea_u*(A9*2*Pi)^2</f>
        <v>-1.4806775272851885E-13</v>
      </c>
      <c r="AF9">
        <f t="shared" ref="AF9:AF72" si="19">(Cc2ea_u+Cc1ea_u)*A9*2*Pi</f>
        <v>3.0284953145999996E-8</v>
      </c>
      <c r="AG9">
        <f>AC9*AE9/(AE9^2+AF9^2)+AD9*AF9/(AE9^2+AF9^2)</f>
        <v>6323.0014977569499</v>
      </c>
      <c r="AH9">
        <f>AD9*AE9/(AE9^2+AF9^2)-AC9*AF9/(AE9^2+AF9^2)</f>
        <v>-33019697.805552378</v>
      </c>
      <c r="AI9">
        <f>SQRT(AG9^2+AH9^2)</f>
        <v>33019698.410953853</v>
      </c>
      <c r="AJ9">
        <f t="shared" ref="AJ9:AJ72" si="20">_Rfb1</f>
        <v>26400</v>
      </c>
      <c r="AK9">
        <f t="shared" ref="AK9:AK72" si="21">_Rfb1*Rcea2_u*Cc3ea_u*A9*2*Pi</f>
        <v>0.12739283859456002</v>
      </c>
      <c r="AL9">
        <v>1</v>
      </c>
      <c r="AM9">
        <f t="shared" ref="AM9:AM72" si="22">(_Rfb1+Rcea2_u)*Cc3ea_u*A9*2*Pi</f>
        <v>1.7070157823040002E-4</v>
      </c>
      <c r="AN9">
        <f>AJ9*AL9/(AL9^2+AM9^2)+AK9*AM9/(AL9^2+AM9^2)</f>
        <v>26399.99925247582</v>
      </c>
      <c r="AO9">
        <f>AK9*AL9/(AL9^2+AM9^2)-AJ9*AM9/(AL9^2+AM9^2)</f>
        <v>-4.3791286990844434</v>
      </c>
      <c r="AP9" s="51">
        <f>SQRT(AN9^2+AO9^2)</f>
        <v>26399.999615672194</v>
      </c>
      <c r="AQ9">
        <f t="shared" ref="AQ9:AQ72" si="23">Eadcg/(1+(Eadcg*A9/GBP)^2)</f>
        <v>9999.9600001600011</v>
      </c>
      <c r="AR9">
        <f t="shared" ref="AR9:AR72" si="24">-(A9*Eadcg*Eadcg/GBP)/(1+(Eadcg*A9/GBP)^2)</f>
        <v>-19.99992000032</v>
      </c>
      <c r="AT9">
        <f>-AR9*AH9+AG9*AQ9</f>
        <v>-597161552.48726809</v>
      </c>
      <c r="AU9">
        <f>AQ9*AH9+AG9*AR9</f>
        <v>-330195783732.41888</v>
      </c>
      <c r="AV9">
        <f>ATAN2(AT9,AU9)</f>
        <v>-1.5726048323266544</v>
      </c>
      <c r="AW9">
        <f t="shared" ref="AW9:AW73" si="25">AG9-AH9*AO9/_Rfb2+AG9*AN9/_Rfb2+AN9-AO9*AR9+AQ9*AN9</f>
        <v>264045528.02786297</v>
      </c>
      <c r="AX9">
        <f t="shared" ref="AX9:AX73" si="26">AH9+AH9*AN9/_Rfb2+AG9*AO9/_Rfb2+AO9+AO9*AQ9+AN9*AR9</f>
        <v>-578416506.84006417</v>
      </c>
      <c r="AY9">
        <f>ATAN2(AW9,AX9)</f>
        <v>-1.1425524635430886</v>
      </c>
      <c r="BA9">
        <f t="shared" ref="BA9:BA72" si="27">SQRT(AT9^2+AU9^2)/SQRT(AW9^2+AX9^2)</f>
        <v>519.31162625443608</v>
      </c>
      <c r="BB9" s="51">
        <f>20*LOG(BA9)</f>
        <v>54.308560912198672</v>
      </c>
      <c r="BC9">
        <f>AV9-AY9</f>
        <v>-0.43005236878356579</v>
      </c>
      <c r="BD9">
        <f t="shared" ref="BD9:BD72" si="28">BC9*180/Pi-180</f>
        <v>-204.64018572905746</v>
      </c>
      <c r="BF9">
        <f t="shared" ref="BF9:BF72" si="29">20*LOG(BA9*J9*F9*C9)</f>
        <v>77.825473637753618</v>
      </c>
      <c r="BG9">
        <f t="shared" ref="BG9:BG72" si="30">(180/Pi)*(D9+H9+BC9)</f>
        <v>-24.641780804394411</v>
      </c>
      <c r="BH9">
        <f>IF(BG9&gt;180,BG9-180,BG9+180)</f>
        <v>155.35821919560559</v>
      </c>
      <c r="BI9">
        <f>IF(BH9&gt;180,BH9-360,BH9)</f>
        <v>155.35821919560559</v>
      </c>
      <c r="BJ9">
        <f t="shared" ref="BJ9:BJ72" si="31">SUM((BF10&lt;0)*(BF9&gt;0))*A9</f>
        <v>0</v>
      </c>
      <c r="BK9">
        <f>IF(BJ9&gt;0,BI9,0)</f>
        <v>0</v>
      </c>
      <c r="BM9">
        <f>20*LOG(J9*F9*C9)</f>
        <v>23.516912725554931</v>
      </c>
      <c r="BN9">
        <f t="shared" ref="BN9:BN72" si="32">(H9+D9)*180/Pi</f>
        <v>-1.5950753369443043E-3</v>
      </c>
      <c r="BQ9" s="56">
        <f>20*LOG(BA9*7)</f>
        <v>71.210521712483811</v>
      </c>
      <c r="BR9" s="56"/>
      <c r="BS9" s="56"/>
      <c r="BT9" s="56" t="s">
        <v>44</v>
      </c>
      <c r="BU9" s="56" t="s">
        <v>68</v>
      </c>
      <c r="BV9" s="56" t="s">
        <v>69</v>
      </c>
      <c r="BW9" s="56"/>
      <c r="BY9" s="56"/>
      <c r="BZ9" s="56"/>
      <c r="CA9" s="56"/>
      <c r="CC9" s="56"/>
    </row>
    <row r="10" spans="1:81" x14ac:dyDescent="0.2">
      <c r="A10">
        <v>2</v>
      </c>
      <c r="B10">
        <f t="shared" ref="B10:B73" si="33">A10/1000</f>
        <v>2E-3</v>
      </c>
      <c r="C10">
        <f t="shared" si="0"/>
        <v>1.0000000000000302</v>
      </c>
      <c r="D10">
        <f t="shared" si="1"/>
        <v>2.4630086375999505E-7</v>
      </c>
      <c r="F10">
        <f t="shared" si="2"/>
        <v>0.99943464770548696</v>
      </c>
      <c r="G10">
        <f t="shared" si="3"/>
        <v>-5.5924936802045309E-5</v>
      </c>
      <c r="H10">
        <f t="shared" si="4"/>
        <v>-5.5924936802045309E-5</v>
      </c>
      <c r="J10">
        <f t="shared" si="5"/>
        <v>15</v>
      </c>
      <c r="M10">
        <f t="shared" si="6"/>
        <v>625.37306391360335</v>
      </c>
      <c r="N10">
        <f t="shared" si="7"/>
        <v>-1.5707963250000001</v>
      </c>
      <c r="O10">
        <f t="shared" si="8"/>
        <v>1.0000000771309572</v>
      </c>
      <c r="P10">
        <f t="shared" si="9"/>
        <v>3.9276189290693295E-4</v>
      </c>
      <c r="Q10">
        <f t="shared" si="10"/>
        <v>1.0000000582780559</v>
      </c>
      <c r="R10">
        <f t="shared" si="11"/>
        <v>3.4140314319659244E-4</v>
      </c>
      <c r="S10">
        <f t="shared" si="12"/>
        <v>0.99999999995342925</v>
      </c>
      <c r="T10">
        <f t="shared" si="13"/>
        <v>-9.6509726205003667E-6</v>
      </c>
      <c r="U10">
        <f t="shared" si="14"/>
        <v>0.99999999995219246</v>
      </c>
      <c r="V10">
        <f t="shared" si="15"/>
        <v>-9.7783048902194677E-6</v>
      </c>
      <c r="X10">
        <f t="shared" ref="X10:X73" si="34">20*LOG(C10*J10*O10*Q10*F10*M10*S10*U10)</f>
        <v>79.439697807485203</v>
      </c>
      <c r="Y10">
        <f t="shared" si="16"/>
        <v>-89.962238808370699</v>
      </c>
      <c r="Z10">
        <f t="shared" ref="Z10:Z73" si="35">Y10+180</f>
        <v>90.037761191629301</v>
      </c>
      <c r="AC10">
        <v>1</v>
      </c>
      <c r="AD10">
        <f t="shared" si="17"/>
        <v>3.9276191310299999E-4</v>
      </c>
      <c r="AE10">
        <f t="shared" si="18"/>
        <v>-5.9227101091407539E-13</v>
      </c>
      <c r="AF10">
        <f t="shared" si="19"/>
        <v>6.0569906291999993E-8</v>
      </c>
      <c r="AG10">
        <f t="shared" ref="AG10:AG73" si="36">AC10*AE10/(AE10^2+AF10^2)+AD10*AF10/(AE10^2+AF10^2)</f>
        <v>6323.0014973035186</v>
      </c>
      <c r="AH10">
        <f t="shared" ref="AH10:AH73" si="37">AD10*AE10/(AE10^2+AF10^2)-AC10*AF10/(AE10^2+AF10^2)</f>
        <v>-16509848.949147366</v>
      </c>
      <c r="AJ10">
        <f t="shared" si="20"/>
        <v>26400</v>
      </c>
      <c r="AK10">
        <f t="shared" si="21"/>
        <v>0.25478567718912004</v>
      </c>
      <c r="AL10">
        <v>1</v>
      </c>
      <c r="AM10">
        <f t="shared" si="22"/>
        <v>3.4140315646080004E-4</v>
      </c>
      <c r="AN10">
        <f t="shared" ref="AN10:AN73" si="38">AJ10*AL10/(AL10^2+AM10^2)+AK10*AM10/(AL10^2+AM10^2)</f>
        <v>26399.997009903538</v>
      </c>
      <c r="AO10">
        <f t="shared" ref="AO10:AO73" si="39">AK10*AL10/(AL10^2+AM10^2)-AJ10*AM10/(AL10^2+AM10^2)</f>
        <v>-8.7582566325476332</v>
      </c>
      <c r="AQ10">
        <f t="shared" si="23"/>
        <v>9999.8400025599585</v>
      </c>
      <c r="AR10">
        <f t="shared" si="24"/>
        <v>-39.999360010239833</v>
      </c>
      <c r="AT10">
        <f t="shared" ref="AT10:AT21" si="40">-AR10*AH10+AG10*AQ10</f>
        <v>-597154388.52264309</v>
      </c>
      <c r="AU10">
        <f t="shared" ref="AU10:AU21" si="41">AQ10*AH10+AG10*AR10</f>
        <v>-165096100873.91956</v>
      </c>
      <c r="AV10">
        <f t="shared" ref="AV10:AV73" si="42">ATAN2(AT10,AU10)</f>
        <v>-1.5744133218737513</v>
      </c>
      <c r="AW10">
        <f t="shared" si="25"/>
        <v>264042074.92004454</v>
      </c>
      <c r="AX10">
        <f t="shared" si="26"/>
        <v>-290065933.2757988</v>
      </c>
      <c r="AY10">
        <f>ATAN2(AW10,AX10)</f>
        <v>-0.83232899509468461</v>
      </c>
      <c r="BA10">
        <f t="shared" si="27"/>
        <v>420.90277136685427</v>
      </c>
      <c r="BB10">
        <f t="shared" ref="BB10:BB73" si="43">20*LOG(BA10)</f>
        <v>52.483635705997258</v>
      </c>
      <c r="BC10">
        <f t="shared" ref="BC10:BC73" si="44">AV10-AY10</f>
        <v>-0.74208432677906666</v>
      </c>
      <c r="BD10">
        <f t="shared" si="28"/>
        <v>-222.51830001583178</v>
      </c>
      <c r="BF10">
        <f t="shared" si="29"/>
        <v>76.000548910844984</v>
      </c>
      <c r="BG10">
        <f t="shared" si="30"/>
        <v>-42.521490166683726</v>
      </c>
      <c r="BH10">
        <f t="shared" ref="BH10:BH73" si="45">IF(BG10&gt;180,BG10-180,BG10+180)</f>
        <v>137.47850983331628</v>
      </c>
      <c r="BI10">
        <f t="shared" ref="BI10:BI73" si="46">IF(BH10&gt;180,BH10-360,BH10)</f>
        <v>137.47850983331628</v>
      </c>
      <c r="BJ10">
        <f t="shared" si="31"/>
        <v>0</v>
      </c>
      <c r="BK10">
        <f t="shared" ref="BK10:BK73" si="47">IF(BJ10&gt;0,BI10,0)</f>
        <v>0</v>
      </c>
      <c r="BM10">
        <f t="shared" ref="BM10:BM73" si="48">20*LOG(J10*F10*C10)</f>
        <v>23.516913204847725</v>
      </c>
      <c r="BN10">
        <f t="shared" si="32"/>
        <v>-3.1901508519544554E-3</v>
      </c>
      <c r="BQ10" s="56">
        <f t="shared" ref="BQ10:BQ73" si="49">20*LOG(BA10*7)</f>
        <v>69.385596506282397</v>
      </c>
      <c r="BR10" s="57"/>
      <c r="BS10" s="57"/>
      <c r="BT10" s="57">
        <v>100</v>
      </c>
      <c r="BU10" s="57">
        <v>35.359299999999998</v>
      </c>
      <c r="BV10" s="57">
        <v>-267.66769999999997</v>
      </c>
      <c r="BW10" s="61"/>
      <c r="BY10" s="57"/>
      <c r="BZ10" s="57"/>
      <c r="CA10" s="57"/>
      <c r="CC10" s="57"/>
    </row>
    <row r="11" spans="1:81" x14ac:dyDescent="0.2">
      <c r="A11">
        <v>3</v>
      </c>
      <c r="B11">
        <f t="shared" si="33"/>
        <v>3.0000000000000001E-3</v>
      </c>
      <c r="C11">
        <f t="shared" si="0"/>
        <v>1.0000000000000684</v>
      </c>
      <c r="D11">
        <f t="shared" si="1"/>
        <v>3.6945129563998321E-7</v>
      </c>
      <c r="F11">
        <f t="shared" si="2"/>
        <v>0.99943473962116969</v>
      </c>
      <c r="G11">
        <f t="shared" si="3"/>
        <v>-8.3887412972657378E-5</v>
      </c>
      <c r="H11">
        <f t="shared" si="4"/>
        <v>-8.3887412972657378E-5</v>
      </c>
      <c r="J11">
        <f t="shared" si="5"/>
        <v>15</v>
      </c>
      <c r="M11">
        <f t="shared" si="6"/>
        <v>416.91537594240225</v>
      </c>
      <c r="N11">
        <f t="shared" si="7"/>
        <v>-1.5707963250000001</v>
      </c>
      <c r="O11">
        <f t="shared" si="8"/>
        <v>1.0000001735446453</v>
      </c>
      <c r="P11">
        <f t="shared" si="9"/>
        <v>5.891428014927814E-4</v>
      </c>
      <c r="Q11">
        <f t="shared" si="10"/>
        <v>1.000000131125621</v>
      </c>
      <c r="R11">
        <f t="shared" si="11"/>
        <v>5.1210468992450315E-4</v>
      </c>
      <c r="S11">
        <f t="shared" si="12"/>
        <v>0.99999999989521604</v>
      </c>
      <c r="T11">
        <f t="shared" si="13"/>
        <v>-1.4476458930188734E-5</v>
      </c>
      <c r="U11">
        <f t="shared" si="14"/>
        <v>0.99999999989243271</v>
      </c>
      <c r="V11">
        <f t="shared" si="15"/>
        <v>-1.4667457334744856E-5</v>
      </c>
      <c r="X11">
        <f t="shared" si="34"/>
        <v>75.917874894352678</v>
      </c>
      <c r="Y11">
        <f t="shared" si="16"/>
        <v>-89.943358216595783</v>
      </c>
      <c r="Z11">
        <f t="shared" si="35"/>
        <v>90.056641783404217</v>
      </c>
      <c r="AC11">
        <v>1</v>
      </c>
      <c r="AD11">
        <f t="shared" si="17"/>
        <v>5.8914286965449996E-4</v>
      </c>
      <c r="AE11">
        <f t="shared" si="18"/>
        <v>-1.3326097745566695E-12</v>
      </c>
      <c r="AF11">
        <f t="shared" si="19"/>
        <v>9.0854859438000002E-8</v>
      </c>
      <c r="AG11">
        <f t="shared" si="36"/>
        <v>6323.0014965477976</v>
      </c>
      <c r="AH11">
        <f t="shared" si="37"/>
        <v>-11006566.017621772</v>
      </c>
      <c r="AJ11">
        <f t="shared" si="20"/>
        <v>26400</v>
      </c>
      <c r="AK11">
        <f t="shared" si="21"/>
        <v>0.38217851578368001</v>
      </c>
      <c r="AL11">
        <v>1</v>
      </c>
      <c r="AM11">
        <f t="shared" si="22"/>
        <v>5.1210473469120012E-4</v>
      </c>
      <c r="AN11">
        <f t="shared" si="38"/>
        <v>26399.993272283944</v>
      </c>
      <c r="AO11">
        <f t="shared" si="39"/>
        <v>-13.137383034768757</v>
      </c>
      <c r="AQ11">
        <f t="shared" si="23"/>
        <v>9999.6400129595349</v>
      </c>
      <c r="AR11">
        <f t="shared" si="24"/>
        <v>-59.997840077757203</v>
      </c>
      <c r="AT11">
        <f t="shared" si="40"/>
        <v>-597142448.9636656</v>
      </c>
      <c r="AU11">
        <f t="shared" si="41"/>
        <v>-110062077321.52396</v>
      </c>
      <c r="AV11">
        <f t="shared" si="42"/>
        <v>-1.5762217794522937</v>
      </c>
      <c r="AW11">
        <f t="shared" si="25"/>
        <v>264036319.92461711</v>
      </c>
      <c r="AX11">
        <f t="shared" si="26"/>
        <v>-194330235.75787953</v>
      </c>
      <c r="AY11">
        <f t="shared" ref="AY11:AY74" si="50">ATAN2(AW11,AX11)</f>
        <v>-0.63447951713575756</v>
      </c>
      <c r="BA11">
        <f t="shared" si="27"/>
        <v>335.72326860358373</v>
      </c>
      <c r="BB11">
        <f t="shared" si="43"/>
        <v>50.519628855102169</v>
      </c>
      <c r="BC11">
        <f t="shared" si="44"/>
        <v>-0.94174226231653613</v>
      </c>
      <c r="BD11">
        <f t="shared" si="28"/>
        <v>-233.95785708149543</v>
      </c>
      <c r="BF11">
        <f t="shared" si="29"/>
        <v>74.03654285877127</v>
      </c>
      <c r="BG11">
        <f t="shared" si="30"/>
        <v>-53.962642308218527</v>
      </c>
      <c r="BH11">
        <f t="shared" si="45"/>
        <v>126.03735769178147</v>
      </c>
      <c r="BI11">
        <f t="shared" si="46"/>
        <v>126.03735769178147</v>
      </c>
      <c r="BJ11">
        <f t="shared" si="31"/>
        <v>0</v>
      </c>
      <c r="BK11">
        <f t="shared" si="47"/>
        <v>0</v>
      </c>
      <c r="BM11">
        <f t="shared" si="48"/>
        <v>23.516914003669108</v>
      </c>
      <c r="BN11">
        <f t="shared" si="32"/>
        <v>-4.7852267230963667E-3</v>
      </c>
      <c r="BQ11" s="56">
        <f t="shared" si="49"/>
        <v>67.421589655387294</v>
      </c>
      <c r="BR11" s="58"/>
      <c r="BS11" s="58"/>
      <c r="BT11" s="58">
        <v>102.32899999999999</v>
      </c>
      <c r="BU11" s="58">
        <v>34.936799999999998</v>
      </c>
      <c r="BV11" s="58">
        <v>-265.91489999999999</v>
      </c>
      <c r="BW11" s="61"/>
      <c r="BY11" s="58"/>
      <c r="BZ11" s="58"/>
      <c r="CA11" s="58"/>
      <c r="CC11" s="58"/>
    </row>
    <row r="12" spans="1:81" x14ac:dyDescent="0.2">
      <c r="A12">
        <v>4</v>
      </c>
      <c r="B12">
        <f t="shared" si="33"/>
        <v>4.0000000000000001E-3</v>
      </c>
      <c r="C12">
        <f t="shared" si="0"/>
        <v>1.0000000000001212</v>
      </c>
      <c r="D12">
        <f t="shared" si="1"/>
        <v>4.9260172751996025E-7</v>
      </c>
      <c r="F12">
        <f t="shared" si="2"/>
        <v>0.99943486830315342</v>
      </c>
      <c r="G12">
        <f t="shared" si="3"/>
        <v>-1.1184989846677992E-4</v>
      </c>
      <c r="H12">
        <f t="shared" si="4"/>
        <v>-1.1184989846677992E-4</v>
      </c>
      <c r="J12">
        <f t="shared" si="5"/>
        <v>15</v>
      </c>
      <c r="M12">
        <f t="shared" si="6"/>
        <v>312.68653195680167</v>
      </c>
      <c r="N12">
        <f t="shared" si="7"/>
        <v>-1.5707963250000001</v>
      </c>
      <c r="O12">
        <f t="shared" si="8"/>
        <v>1.0000003085237932</v>
      </c>
      <c r="P12">
        <f t="shared" si="9"/>
        <v>7.85523664637508E-4</v>
      </c>
      <c r="Q12">
        <f t="shared" si="10"/>
        <v>1.0000002331122033</v>
      </c>
      <c r="R12">
        <f t="shared" si="11"/>
        <v>6.8280620680796138E-4</v>
      </c>
      <c r="S12">
        <f t="shared" si="12"/>
        <v>0.99999999981371746</v>
      </c>
      <c r="T12">
        <f t="shared" si="13"/>
        <v>-1.9301945239202926E-5</v>
      </c>
      <c r="U12">
        <f t="shared" si="14"/>
        <v>0.99999999980876941</v>
      </c>
      <c r="V12">
        <f t="shared" si="15"/>
        <v>-1.9556609778569025E-5</v>
      </c>
      <c r="X12">
        <f t="shared" si="34"/>
        <v>73.419103337359886</v>
      </c>
      <c r="Y12">
        <f t="shared" si="16"/>
        <v>-89.924477629668516</v>
      </c>
      <c r="Z12">
        <f t="shared" si="35"/>
        <v>90.075522370331484</v>
      </c>
      <c r="AC12">
        <v>1</v>
      </c>
      <c r="AD12">
        <f t="shared" si="17"/>
        <v>7.8552382620599998E-4</v>
      </c>
      <c r="AE12">
        <f t="shared" si="18"/>
        <v>-2.3690840436563016E-12</v>
      </c>
      <c r="AF12">
        <f t="shared" si="19"/>
        <v>1.2113981258399999E-7</v>
      </c>
      <c r="AG12">
        <f t="shared" si="36"/>
        <v>6323.0014954897933</v>
      </c>
      <c r="AH12">
        <f t="shared" si="37"/>
        <v>-8254924.5673160376</v>
      </c>
      <c r="AJ12">
        <f t="shared" si="20"/>
        <v>26400</v>
      </c>
      <c r="AK12">
        <f t="shared" si="21"/>
        <v>0.50957135437824008</v>
      </c>
      <c r="AL12">
        <v>1</v>
      </c>
      <c r="AM12">
        <f t="shared" si="22"/>
        <v>6.8280631292160008E-4</v>
      </c>
      <c r="AN12">
        <f t="shared" si="38"/>
        <v>26399.98803961834</v>
      </c>
      <c r="AO12">
        <f t="shared" si="39"/>
        <v>-17.516507140127903</v>
      </c>
      <c r="AQ12">
        <f t="shared" si="23"/>
        <v>9999.3600409573774</v>
      </c>
      <c r="AR12">
        <f t="shared" si="24"/>
        <v>-79.994880327659018</v>
      </c>
      <c r="AT12">
        <f t="shared" si="40"/>
        <v>-597125734.38338447</v>
      </c>
      <c r="AU12">
        <f t="shared" si="41"/>
        <v>-82544468667.285294</v>
      </c>
      <c r="AV12">
        <f t="shared" si="42"/>
        <v>-1.5780301890799242</v>
      </c>
      <c r="AW12">
        <f t="shared" si="25"/>
        <v>264028263.31796175</v>
      </c>
      <c r="AX12">
        <f t="shared" si="26"/>
        <v>-146748222.70550561</v>
      </c>
      <c r="AY12">
        <f t="shared" si="50"/>
        <v>-0.50728907950916013</v>
      </c>
      <c r="BA12">
        <f t="shared" si="27"/>
        <v>273.27034553693215</v>
      </c>
      <c r="BB12">
        <f t="shared" si="43"/>
        <v>48.731850118783235</v>
      </c>
      <c r="BC12">
        <f t="shared" si="44"/>
        <v>-1.070741109570764</v>
      </c>
      <c r="BD12">
        <f t="shared" si="28"/>
        <v>-241.34894659966102</v>
      </c>
      <c r="BF12">
        <f t="shared" si="29"/>
        <v>72.248765240802399</v>
      </c>
      <c r="BG12">
        <f t="shared" si="30"/>
        <v>-61.355326902789436</v>
      </c>
      <c r="BH12">
        <f t="shared" si="45"/>
        <v>118.64467309721056</v>
      </c>
      <c r="BI12">
        <f t="shared" si="46"/>
        <v>118.64467309721056</v>
      </c>
      <c r="BJ12">
        <f t="shared" si="31"/>
        <v>0</v>
      </c>
      <c r="BK12">
        <f t="shared" si="47"/>
        <v>0</v>
      </c>
      <c r="BM12">
        <f t="shared" si="48"/>
        <v>23.516915122019167</v>
      </c>
      <c r="BN12">
        <f t="shared" si="32"/>
        <v>-6.3803031284360781E-3</v>
      </c>
      <c r="BQ12" s="56">
        <f t="shared" si="49"/>
        <v>65.633810919068367</v>
      </c>
      <c r="BR12" s="57"/>
      <c r="BS12" s="57"/>
      <c r="BT12" s="57">
        <v>104.71299999999999</v>
      </c>
      <c r="BU12" s="57">
        <v>34.190800000000003</v>
      </c>
      <c r="BV12" s="57">
        <v>-264.93219999999997</v>
      </c>
      <c r="BW12" s="61"/>
      <c r="BY12" s="57"/>
      <c r="BZ12" s="57"/>
      <c r="CA12" s="57"/>
      <c r="CC12" s="57"/>
    </row>
    <row r="13" spans="1:81" x14ac:dyDescent="0.2">
      <c r="A13">
        <v>5</v>
      </c>
      <c r="B13">
        <f t="shared" si="33"/>
        <v>5.0000000000000001E-3</v>
      </c>
      <c r="C13">
        <f t="shared" si="0"/>
        <v>1.0000000000001896</v>
      </c>
      <c r="D13">
        <f t="shared" si="1"/>
        <v>6.1575215939992225E-7</v>
      </c>
      <c r="F13">
        <f t="shared" si="2"/>
        <v>0.99943503375146592</v>
      </c>
      <c r="G13">
        <f t="shared" si="3"/>
        <v>-1.3981239639225505E-4</v>
      </c>
      <c r="H13">
        <f t="shared" si="4"/>
        <v>-1.3981239639225505E-4</v>
      </c>
      <c r="J13">
        <f t="shared" si="5"/>
        <v>15</v>
      </c>
      <c r="M13">
        <f t="shared" si="6"/>
        <v>250.14922556544133</v>
      </c>
      <c r="N13">
        <f t="shared" si="7"/>
        <v>-1.5707963250000001</v>
      </c>
      <c r="O13">
        <f t="shared" si="8"/>
        <v>1.000000482068385</v>
      </c>
      <c r="P13">
        <f t="shared" si="9"/>
        <v>9.8190446719410461E-4</v>
      </c>
      <c r="Q13">
        <f t="shared" si="10"/>
        <v>1.0000003642377937</v>
      </c>
      <c r="R13">
        <f t="shared" si="11"/>
        <v>8.5350768389883208E-4</v>
      </c>
      <c r="S13">
        <f t="shared" si="12"/>
        <v>0.9999999997089335</v>
      </c>
      <c r="T13">
        <f t="shared" si="13"/>
        <v>-2.412743154731821E-5</v>
      </c>
      <c r="U13">
        <f t="shared" si="14"/>
        <v>0.99999999970120235</v>
      </c>
      <c r="V13">
        <f t="shared" si="15"/>
        <v>-2.4445762221458243E-5</v>
      </c>
      <c r="X13">
        <f t="shared" si="34"/>
        <v>71.480907159563799</v>
      </c>
      <c r="Y13">
        <f t="shared" si="16"/>
        <v>-89.9055970492048</v>
      </c>
      <c r="Z13">
        <f t="shared" si="35"/>
        <v>90.0944029507952</v>
      </c>
      <c r="AC13">
        <v>1</v>
      </c>
      <c r="AD13">
        <f t="shared" si="17"/>
        <v>9.819047827574999E-4</v>
      </c>
      <c r="AE13">
        <f t="shared" si="18"/>
        <v>-3.7016938182129705E-12</v>
      </c>
      <c r="AF13">
        <f t="shared" si="19"/>
        <v>1.5142476572999998E-7</v>
      </c>
      <c r="AG13">
        <f t="shared" si="36"/>
        <v>6323.0014941294994</v>
      </c>
      <c r="AH13">
        <f t="shared" si="37"/>
        <v>-6603939.7094982434</v>
      </c>
      <c r="AJ13">
        <f t="shared" si="20"/>
        <v>26400</v>
      </c>
      <c r="AK13">
        <f t="shared" si="21"/>
        <v>0.63696419297280005</v>
      </c>
      <c r="AL13">
        <v>1</v>
      </c>
      <c r="AM13">
        <f t="shared" si="22"/>
        <v>8.5350789115200005E-4</v>
      </c>
      <c r="AN13">
        <f t="shared" si="38"/>
        <v>26399.981311908567</v>
      </c>
      <c r="AO13">
        <f t="shared" si="39"/>
        <v>-21.89562818300649</v>
      </c>
      <c r="AQ13">
        <f t="shared" si="23"/>
        <v>9999.0000999900003</v>
      </c>
      <c r="AR13">
        <f t="shared" si="24"/>
        <v>-99.990000999900005</v>
      </c>
      <c r="AT13">
        <f t="shared" si="40"/>
        <v>-597104245.5839709</v>
      </c>
      <c r="AU13">
        <f t="shared" si="41"/>
        <v>-66033426052.526588</v>
      </c>
      <c r="AV13">
        <f t="shared" si="42"/>
        <v>-1.5798385347765891</v>
      </c>
      <c r="AW13">
        <f t="shared" si="25"/>
        <v>264017905.48696628</v>
      </c>
      <c r="AX13">
        <f t="shared" si="26"/>
        <v>-118427644.75242662</v>
      </c>
      <c r="AY13">
        <f t="shared" si="50"/>
        <v>-0.42165506029166122</v>
      </c>
      <c r="BA13">
        <f t="shared" si="27"/>
        <v>228.21258138972792</v>
      </c>
      <c r="BB13">
        <f t="shared" si="43"/>
        <v>47.166791669086024</v>
      </c>
      <c r="BC13">
        <f t="shared" si="44"/>
        <v>-1.158183474484928</v>
      </c>
      <c r="BD13">
        <f t="shared" si="28"/>
        <v>-246.3590250656103</v>
      </c>
      <c r="BF13">
        <f t="shared" si="29"/>
        <v>70.683708228984045</v>
      </c>
      <c r="BG13">
        <f t="shared" si="30"/>
        <v>-66.367000445856306</v>
      </c>
      <c r="BH13">
        <f t="shared" si="45"/>
        <v>113.63299955414369</v>
      </c>
      <c r="BI13">
        <f t="shared" si="46"/>
        <v>113.63299955414369</v>
      </c>
      <c r="BJ13">
        <f t="shared" si="31"/>
        <v>0</v>
      </c>
      <c r="BK13">
        <f t="shared" si="47"/>
        <v>0</v>
      </c>
      <c r="BM13">
        <f t="shared" si="48"/>
        <v>23.516916559898014</v>
      </c>
      <c r="BN13">
        <f t="shared" si="32"/>
        <v>-7.9753802460398298E-3</v>
      </c>
      <c r="BQ13" s="56">
        <f t="shared" si="49"/>
        <v>64.068752469371162</v>
      </c>
      <c r="BR13" s="58"/>
      <c r="BS13" s="58"/>
      <c r="BT13" s="58">
        <v>107.152</v>
      </c>
      <c r="BU13" s="58">
        <v>34.477699999999999</v>
      </c>
      <c r="BV13" s="58">
        <v>-262.3057</v>
      </c>
      <c r="BW13" s="61"/>
      <c r="BY13" s="58"/>
      <c r="BZ13" s="58"/>
      <c r="CA13" s="58"/>
      <c r="CC13" s="58"/>
    </row>
    <row r="14" spans="1:81" x14ac:dyDescent="0.2">
      <c r="A14">
        <v>6</v>
      </c>
      <c r="B14">
        <f t="shared" si="33"/>
        <v>6.0000000000000001E-3</v>
      </c>
      <c r="C14">
        <f t="shared" si="0"/>
        <v>1.0000000000002731</v>
      </c>
      <c r="D14">
        <f t="shared" si="1"/>
        <v>7.3890259127986562E-7</v>
      </c>
      <c r="F14">
        <f t="shared" si="2"/>
        <v>0.9994352359661427</v>
      </c>
      <c r="G14">
        <f t="shared" si="3"/>
        <v>-1.6777490985692942E-4</v>
      </c>
      <c r="H14">
        <f t="shared" si="4"/>
        <v>-1.6777490985692942E-4</v>
      </c>
      <c r="J14">
        <f t="shared" si="5"/>
        <v>15</v>
      </c>
      <c r="M14">
        <f t="shared" si="6"/>
        <v>208.45768797120112</v>
      </c>
      <c r="N14">
        <f t="shared" si="7"/>
        <v>-1.5707963250000001</v>
      </c>
      <c r="O14">
        <f t="shared" si="8"/>
        <v>1.0000006941784008</v>
      </c>
      <c r="P14">
        <f t="shared" si="9"/>
        <v>1.1782851940155916E-3</v>
      </c>
      <c r="Q14">
        <f t="shared" si="10"/>
        <v>1.0000005245023811</v>
      </c>
      <c r="R14">
        <f t="shared" si="11"/>
        <v>1.0242091112489945E-3</v>
      </c>
      <c r="S14">
        <f t="shared" si="12"/>
        <v>0.99999999958086438</v>
      </c>
      <c r="T14">
        <f t="shared" si="13"/>
        <v>-2.895291785430987E-5</v>
      </c>
      <c r="U14">
        <f t="shared" si="14"/>
        <v>0.99999999956973151</v>
      </c>
      <c r="V14">
        <f t="shared" si="15"/>
        <v>-2.9334914663178768E-5</v>
      </c>
      <c r="X14">
        <f t="shared" si="34"/>
        <v>69.897287228167755</v>
      </c>
      <c r="Y14">
        <f t="shared" si="16"/>
        <v>-89.886716476820553</v>
      </c>
      <c r="Z14">
        <f t="shared" si="35"/>
        <v>90.113283523179447</v>
      </c>
      <c r="AC14">
        <v>1</v>
      </c>
      <c r="AD14">
        <f t="shared" si="17"/>
        <v>1.1782857393089999E-3</v>
      </c>
      <c r="AE14">
        <f t="shared" si="18"/>
        <v>-5.3304390982266782E-12</v>
      </c>
      <c r="AF14">
        <f t="shared" si="19"/>
        <v>1.81709718876E-7</v>
      </c>
      <c r="AG14">
        <f t="shared" si="36"/>
        <v>6323.001492466914</v>
      </c>
      <c r="AH14">
        <f t="shared" si="37"/>
        <v>-5503283.1479244176</v>
      </c>
      <c r="AJ14">
        <f t="shared" si="20"/>
        <v>26400</v>
      </c>
      <c r="AK14">
        <f t="shared" si="21"/>
        <v>0.76435703156736001</v>
      </c>
      <c r="AL14">
        <v>1</v>
      </c>
      <c r="AM14">
        <f t="shared" si="22"/>
        <v>1.0242094693824002E-3</v>
      </c>
      <c r="AN14">
        <f t="shared" si="38"/>
        <v>26399.973089156952</v>
      </c>
      <c r="AO14">
        <f t="shared" si="39"/>
        <v>-26.274745397787729</v>
      </c>
      <c r="AQ14">
        <f t="shared" si="23"/>
        <v>9998.5602073301452</v>
      </c>
      <c r="AR14">
        <f t="shared" si="24"/>
        <v>-119.98272248796174</v>
      </c>
      <c r="AT14">
        <f t="shared" si="40"/>
        <v>-597077983.59662306</v>
      </c>
      <c r="AU14">
        <f t="shared" si="41"/>
        <v>-55025666543.441025</v>
      </c>
      <c r="AV14">
        <f t="shared" si="42"/>
        <v>-1.5816468005653053</v>
      </c>
      <c r="AW14">
        <f t="shared" si="25"/>
        <v>264005246.92897761</v>
      </c>
      <c r="AX14">
        <f t="shared" si="26"/>
        <v>-99737742.905351564</v>
      </c>
      <c r="AY14">
        <f t="shared" si="50"/>
        <v>-0.36121180165871775</v>
      </c>
      <c r="BA14">
        <f t="shared" si="27"/>
        <v>194.98797809080065</v>
      </c>
      <c r="BB14">
        <f t="shared" si="43"/>
        <v>45.800156718555513</v>
      </c>
      <c r="BC14">
        <f t="shared" si="44"/>
        <v>-1.2204349989065875</v>
      </c>
      <c r="BD14">
        <f t="shared" si="28"/>
        <v>-249.92577468730255</v>
      </c>
      <c r="BF14">
        <f t="shared" si="29"/>
        <v>69.317075035861308</v>
      </c>
      <c r="BG14">
        <f t="shared" si="30"/>
        <v>-69.935345145556511</v>
      </c>
      <c r="BH14">
        <f t="shared" si="45"/>
        <v>110.06465485444349</v>
      </c>
      <c r="BI14">
        <f t="shared" si="46"/>
        <v>110.06465485444349</v>
      </c>
      <c r="BJ14">
        <f t="shared" si="31"/>
        <v>0</v>
      </c>
      <c r="BK14">
        <f t="shared" si="47"/>
        <v>0</v>
      </c>
      <c r="BM14">
        <f t="shared" si="48"/>
        <v>23.516918317305805</v>
      </c>
      <c r="BN14">
        <f t="shared" si="32"/>
        <v>-9.5704582539741165E-3</v>
      </c>
      <c r="BQ14" s="56">
        <f t="shared" si="49"/>
        <v>62.702117518840652</v>
      </c>
      <c r="BR14" s="58"/>
      <c r="BS14" s="58"/>
      <c r="BT14" s="58">
        <v>109.648</v>
      </c>
      <c r="BU14" s="58">
        <v>34.114400000000003</v>
      </c>
      <c r="BV14" s="58">
        <v>-262.76620000000003</v>
      </c>
      <c r="BW14" s="61"/>
      <c r="BY14" s="58"/>
      <c r="BZ14" s="58"/>
      <c r="CA14" s="58"/>
      <c r="CC14" s="58"/>
    </row>
    <row r="15" spans="1:81" x14ac:dyDescent="0.2">
      <c r="A15">
        <v>7</v>
      </c>
      <c r="B15">
        <f t="shared" si="33"/>
        <v>7.0000000000000001E-3</v>
      </c>
      <c r="C15">
        <f t="shared" si="0"/>
        <v>1.0000000000003717</v>
      </c>
      <c r="D15">
        <f t="shared" si="1"/>
        <v>8.6205302315978655E-7</v>
      </c>
      <c r="F15">
        <f t="shared" si="2"/>
        <v>0.99943547494722751</v>
      </c>
      <c r="G15">
        <f t="shared" si="3"/>
        <v>-1.9573744196865544E-4</v>
      </c>
      <c r="H15">
        <f t="shared" si="4"/>
        <v>-1.9573744196865544E-4</v>
      </c>
      <c r="J15">
        <f t="shared" si="5"/>
        <v>15</v>
      </c>
      <c r="M15">
        <f t="shared" si="6"/>
        <v>178.67801826102951</v>
      </c>
      <c r="N15">
        <f t="shared" si="7"/>
        <v>-1.5707963250000001</v>
      </c>
      <c r="O15">
        <f t="shared" si="8"/>
        <v>1.0000009448538161</v>
      </c>
      <c r="P15">
        <f t="shared" si="9"/>
        <v>1.3746658299550239E-3</v>
      </c>
      <c r="Q15">
        <f t="shared" si="10"/>
        <v>1.000000713905951</v>
      </c>
      <c r="R15">
        <f t="shared" si="11"/>
        <v>1.1949104789103458E-3</v>
      </c>
      <c r="S15">
        <f t="shared" si="12"/>
        <v>0.99999999942950968</v>
      </c>
      <c r="T15">
        <f t="shared" si="13"/>
        <v>-3.3778404159953172E-5</v>
      </c>
      <c r="U15">
        <f t="shared" si="14"/>
        <v>0.99999999941435669</v>
      </c>
      <c r="V15">
        <f t="shared" si="15"/>
        <v>-3.4224067103496855E-5</v>
      </c>
      <c r="X15">
        <f t="shared" si="34"/>
        <v>68.558357332302876</v>
      </c>
      <c r="Y15">
        <f t="shared" si="16"/>
        <v>-89.867835914131589</v>
      </c>
      <c r="Z15">
        <f t="shared" si="35"/>
        <v>90.132164085868411</v>
      </c>
      <c r="AC15">
        <v>1</v>
      </c>
      <c r="AD15">
        <f t="shared" si="17"/>
        <v>1.3746666958604999E-3</v>
      </c>
      <c r="AE15">
        <f t="shared" si="18"/>
        <v>-7.2553198836974226E-12</v>
      </c>
      <c r="AF15">
        <f t="shared" si="19"/>
        <v>2.11994672022E-7</v>
      </c>
      <c r="AG15">
        <f t="shared" si="36"/>
        <v>6323.0014905020453</v>
      </c>
      <c r="AH15">
        <f t="shared" si="37"/>
        <v>-4717099.8984900061</v>
      </c>
      <c r="AJ15">
        <f t="shared" si="20"/>
        <v>26400</v>
      </c>
      <c r="AK15">
        <f t="shared" si="21"/>
        <v>0.89174987016192009</v>
      </c>
      <c r="AL15">
        <v>1</v>
      </c>
      <c r="AM15">
        <f t="shared" si="22"/>
        <v>1.1949110476128001E-3</v>
      </c>
      <c r="AN15">
        <f t="shared" si="38"/>
        <v>26399.963371366401</v>
      </c>
      <c r="AO15">
        <f t="shared" si="39"/>
        <v>-30.653858018857061</v>
      </c>
      <c r="AQ15">
        <f t="shared" si="23"/>
        <v>9998.0403840847193</v>
      </c>
      <c r="AR15">
        <f t="shared" si="24"/>
        <v>-139.97256537718607</v>
      </c>
      <c r="AT15">
        <f t="shared" si="40"/>
        <v>-597046949.68144286</v>
      </c>
      <c r="AU15">
        <f t="shared" si="41"/>
        <v>-47162640327.604523</v>
      </c>
      <c r="AV15">
        <f t="shared" si="42"/>
        <v>-1.5834549704729279</v>
      </c>
      <c r="AW15">
        <f t="shared" si="25"/>
        <v>263990288.25174323</v>
      </c>
      <c r="AX15">
        <f t="shared" si="26"/>
        <v>-86551041.138953879</v>
      </c>
      <c r="AY15">
        <f t="shared" si="50"/>
        <v>-0.31681370584464391</v>
      </c>
      <c r="BA15">
        <f t="shared" si="27"/>
        <v>169.77550062875923</v>
      </c>
      <c r="BB15">
        <f t="shared" si="43"/>
        <v>44.597500395496859</v>
      </c>
      <c r="BC15">
        <f t="shared" si="44"/>
        <v>-1.2666412646282841</v>
      </c>
      <c r="BD15">
        <f t="shared" si="28"/>
        <v>-252.57319870324091</v>
      </c>
      <c r="BF15">
        <f t="shared" si="29"/>
        <v>68.114420789739569</v>
      </c>
      <c r="BG15">
        <f t="shared" si="30"/>
        <v>-72.584364240571205</v>
      </c>
      <c r="BH15">
        <f t="shared" si="45"/>
        <v>107.4156357594288</v>
      </c>
      <c r="BI15">
        <f t="shared" si="46"/>
        <v>107.4156357594288</v>
      </c>
      <c r="BJ15">
        <f t="shared" si="31"/>
        <v>0</v>
      </c>
      <c r="BK15">
        <f t="shared" si="47"/>
        <v>0</v>
      </c>
      <c r="BM15">
        <f t="shared" si="48"/>
        <v>23.516920394242717</v>
      </c>
      <c r="BN15">
        <f t="shared" si="32"/>
        <v>-1.1165537330305767E-2</v>
      </c>
      <c r="BQ15" s="56">
        <f t="shared" si="49"/>
        <v>61.499461195781997</v>
      </c>
      <c r="BR15" s="58"/>
      <c r="BS15" s="58"/>
      <c r="BT15" s="58">
        <v>112.202</v>
      </c>
      <c r="BU15" s="58">
        <v>34.297699999999999</v>
      </c>
      <c r="BV15" s="58">
        <v>-267.01279999999997</v>
      </c>
      <c r="BW15" s="61"/>
      <c r="BY15" s="58"/>
      <c r="BZ15" s="58"/>
      <c r="CA15" s="58"/>
      <c r="CC15" s="58"/>
    </row>
    <row r="16" spans="1:81" x14ac:dyDescent="0.2">
      <c r="A16">
        <v>8</v>
      </c>
      <c r="B16">
        <f t="shared" si="33"/>
        <v>8.0000000000000002E-3</v>
      </c>
      <c r="C16">
        <f t="shared" si="0"/>
        <v>1.0000000000004854</v>
      </c>
      <c r="D16">
        <f t="shared" si="1"/>
        <v>9.8520345503968142E-7</v>
      </c>
      <c r="F16">
        <f t="shared" si="2"/>
        <v>0.9994357506947722</v>
      </c>
      <c r="G16">
        <f t="shared" si="3"/>
        <v>-2.2369999583529216E-4</v>
      </c>
      <c r="H16">
        <f t="shared" si="4"/>
        <v>-2.2369999583529216E-4</v>
      </c>
      <c r="J16">
        <f t="shared" si="5"/>
        <v>15</v>
      </c>
      <c r="M16">
        <f t="shared" si="6"/>
        <v>156.34326597840084</v>
      </c>
      <c r="N16">
        <f t="shared" si="7"/>
        <v>-1.5707963250000001</v>
      </c>
      <c r="O16">
        <f t="shared" si="8"/>
        <v>1.0000012340946016</v>
      </c>
      <c r="P16">
        <f t="shared" si="9"/>
        <v>1.5710463598654989E-3</v>
      </c>
      <c r="Q16">
        <f t="shared" si="10"/>
        <v>1.0000009324484873</v>
      </c>
      <c r="R16">
        <f t="shared" si="11"/>
        <v>1.3656117769348028E-3</v>
      </c>
      <c r="S16">
        <f t="shared" si="12"/>
        <v>0.99999999925486982</v>
      </c>
      <c r="T16">
        <f t="shared" si="13"/>
        <v>-3.8603890464023389E-5</v>
      </c>
      <c r="U16">
        <f t="shared" si="14"/>
        <v>0.9999999992350781</v>
      </c>
      <c r="V16">
        <f t="shared" si="15"/>
        <v>-3.9113219542178772E-5</v>
      </c>
      <c r="X16">
        <f t="shared" si="34"/>
        <v>67.398525196686904</v>
      </c>
      <c r="Y16">
        <f t="shared" si="16"/>
        <v>-89.848955362753827</v>
      </c>
      <c r="Z16">
        <f t="shared" si="35"/>
        <v>90.151044637246173</v>
      </c>
      <c r="AC16">
        <v>1</v>
      </c>
      <c r="AD16">
        <f t="shared" si="17"/>
        <v>1.571047652412E-3</v>
      </c>
      <c r="AE16">
        <f t="shared" si="18"/>
        <v>-9.4763361746252062E-12</v>
      </c>
      <c r="AF16">
        <f t="shared" si="19"/>
        <v>2.4227962516799997E-7</v>
      </c>
      <c r="AG16">
        <f t="shared" si="36"/>
        <v>6323.0014882348887</v>
      </c>
      <c r="AH16">
        <f t="shared" si="37"/>
        <v>-4127462.4691427276</v>
      </c>
      <c r="AJ16">
        <f t="shared" si="20"/>
        <v>26400</v>
      </c>
      <c r="AK16">
        <f t="shared" si="21"/>
        <v>1.0191427087564802</v>
      </c>
      <c r="AL16">
        <v>1</v>
      </c>
      <c r="AM16">
        <f t="shared" si="22"/>
        <v>1.3656126258432002E-3</v>
      </c>
      <c r="AN16">
        <f t="shared" si="38"/>
        <v>26399.952158540287</v>
      </c>
      <c r="AO16">
        <f t="shared" si="39"/>
        <v>-35.032965280602582</v>
      </c>
      <c r="AQ16">
        <f t="shared" si="23"/>
        <v>9997.4406551922712</v>
      </c>
      <c r="AR16">
        <f t="shared" si="24"/>
        <v>-159.95905048307634</v>
      </c>
      <c r="AT16">
        <f t="shared" si="40"/>
        <v>-597011145.32728374</v>
      </c>
      <c r="AU16">
        <f t="shared" si="41"/>
        <v>-41265072513.102043</v>
      </c>
      <c r="AV16">
        <f t="shared" si="42"/>
        <v>-1.5852630285309166</v>
      </c>
      <c r="AW16">
        <f t="shared" si="25"/>
        <v>263973030.17333731</v>
      </c>
      <c r="AX16">
        <f t="shared" si="26"/>
        <v>-76803794.54544884</v>
      </c>
      <c r="AY16">
        <f t="shared" si="50"/>
        <v>-0.28313644078204364</v>
      </c>
      <c r="BA16">
        <f t="shared" si="27"/>
        <v>150.11460218795202</v>
      </c>
      <c r="BB16">
        <f t="shared" si="43"/>
        <v>43.528458793726664</v>
      </c>
      <c r="BC16">
        <f t="shared" si="44"/>
        <v>-1.302126587748873</v>
      </c>
      <c r="BD16">
        <f t="shared" si="28"/>
        <v>-254.60635795503185</v>
      </c>
      <c r="BF16">
        <f t="shared" si="29"/>
        <v>67.045381584435646</v>
      </c>
      <c r="BG16">
        <f t="shared" si="30"/>
        <v>-74.619118572684968</v>
      </c>
      <c r="BH16">
        <f t="shared" si="45"/>
        <v>105.38088142731503</v>
      </c>
      <c r="BI16">
        <f t="shared" si="46"/>
        <v>105.38088142731503</v>
      </c>
      <c r="BJ16">
        <f t="shared" si="31"/>
        <v>0</v>
      </c>
      <c r="BK16">
        <f t="shared" si="47"/>
        <v>0</v>
      </c>
      <c r="BM16">
        <f t="shared" si="48"/>
        <v>23.516922790708982</v>
      </c>
      <c r="BN16">
        <f t="shared" si="32"/>
        <v>-1.2760617653101984E-2</v>
      </c>
      <c r="BQ16" s="56">
        <f t="shared" si="49"/>
        <v>60.430419594011802</v>
      </c>
      <c r="BR16" s="59"/>
      <c r="BS16" s="59"/>
      <c r="BT16" s="59">
        <v>114.815</v>
      </c>
      <c r="BU16" s="59">
        <v>33.346499999999999</v>
      </c>
      <c r="BV16" s="59">
        <v>-266.20479999999998</v>
      </c>
      <c r="BW16" s="61"/>
      <c r="BY16" s="59"/>
      <c r="BZ16" s="59"/>
      <c r="CA16" s="59"/>
      <c r="CC16" s="59"/>
    </row>
    <row r="17" spans="1:81" x14ac:dyDescent="0.2">
      <c r="A17">
        <v>9</v>
      </c>
      <c r="B17">
        <f t="shared" si="33"/>
        <v>8.9999999999999993E-3</v>
      </c>
      <c r="C17">
        <f t="shared" si="0"/>
        <v>1.0000000000006142</v>
      </c>
      <c r="D17">
        <f t="shared" si="1"/>
        <v>1.1083538869195462E-6</v>
      </c>
      <c r="F17">
        <f t="shared" si="2"/>
        <v>0.99943606320883616</v>
      </c>
      <c r="G17">
        <f t="shared" si="3"/>
        <v>-2.5166257456470673E-4</v>
      </c>
      <c r="H17">
        <f t="shared" si="4"/>
        <v>-2.5166257456470673E-4</v>
      </c>
      <c r="J17">
        <f t="shared" si="5"/>
        <v>15</v>
      </c>
      <c r="M17">
        <f t="shared" si="6"/>
        <v>138.97179198080076</v>
      </c>
      <c r="N17">
        <f t="shared" si="7"/>
        <v>-1.5707963250000001</v>
      </c>
      <c r="O17">
        <f t="shared" si="8"/>
        <v>1.0000015619007241</v>
      </c>
      <c r="P17">
        <f t="shared" si="9"/>
        <v>1.7674267686001628E-3</v>
      </c>
      <c r="Q17">
        <f t="shared" si="10"/>
        <v>1.0000011801299704</v>
      </c>
      <c r="R17">
        <f t="shared" si="11"/>
        <v>1.5363129953743077E-3</v>
      </c>
      <c r="S17">
        <f t="shared" si="12"/>
        <v>0.99999999905694459</v>
      </c>
      <c r="T17">
        <f t="shared" si="13"/>
        <v>-4.3429376766295802E-5</v>
      </c>
      <c r="U17">
        <f t="shared" si="14"/>
        <v>0.99999999903189574</v>
      </c>
      <c r="V17">
        <f t="shared" si="15"/>
        <v>-4.4002371978990785E-5</v>
      </c>
      <c r="X17">
        <f t="shared" si="34"/>
        <v>66.375482458866742</v>
      </c>
      <c r="Y17">
        <f t="shared" si="16"/>
        <v>-89.830074824303139</v>
      </c>
      <c r="Z17">
        <f t="shared" si="35"/>
        <v>90.169925175696861</v>
      </c>
      <c r="AC17">
        <v>1</v>
      </c>
      <c r="AD17">
        <f t="shared" si="17"/>
        <v>1.7674286089635E-3</v>
      </c>
      <c r="AE17">
        <f t="shared" si="18"/>
        <v>-1.1993487971010027E-11</v>
      </c>
      <c r="AF17">
        <f t="shared" si="19"/>
        <v>2.7256457831399997E-7</v>
      </c>
      <c r="AG17">
        <f t="shared" si="36"/>
        <v>6323.0014856654452</v>
      </c>
      <c r="AH17">
        <f t="shared" si="37"/>
        <v>-3668855.5865202039</v>
      </c>
      <c r="AJ17">
        <f t="shared" si="20"/>
        <v>26400</v>
      </c>
      <c r="AK17">
        <f t="shared" si="21"/>
        <v>1.1465355473510401</v>
      </c>
      <c r="AL17">
        <v>1</v>
      </c>
      <c r="AM17">
        <f t="shared" si="22"/>
        <v>1.5363142040736002E-3</v>
      </c>
      <c r="AN17">
        <f t="shared" si="38"/>
        <v>26399.939450682552</v>
      </c>
      <c r="AO17">
        <f t="shared" si="39"/>
        <v>-39.412066417415566</v>
      </c>
      <c r="AQ17">
        <f t="shared" si="23"/>
        <v>9996.7610494199889</v>
      </c>
      <c r="AR17">
        <f t="shared" si="24"/>
        <v>-179.94169888955977</v>
      </c>
      <c r="AT17">
        <f t="shared" si="40"/>
        <v>-596970572.25157261</v>
      </c>
      <c r="AU17">
        <f t="shared" si="41"/>
        <v>-36677810394.901512</v>
      </c>
      <c r="AV17">
        <f t="shared" si="42"/>
        <v>-1.5870709587761014</v>
      </c>
      <c r="AW17">
        <f t="shared" si="25"/>
        <v>263953473.52207559</v>
      </c>
      <c r="AX17">
        <f t="shared" si="26"/>
        <v>-69349472.051854163</v>
      </c>
      <c r="AY17">
        <f t="shared" si="50"/>
        <v>-0.25692695019515172</v>
      </c>
      <c r="BA17">
        <f t="shared" si="27"/>
        <v>134.41223236494642</v>
      </c>
      <c r="BB17">
        <f t="shared" si="43"/>
        <v>42.56877588132879</v>
      </c>
      <c r="BC17">
        <f t="shared" si="44"/>
        <v>-1.3301440085809497</v>
      </c>
      <c r="BD17">
        <f t="shared" si="28"/>
        <v>-256.21163792338609</v>
      </c>
      <c r="BF17">
        <f t="shared" si="29"/>
        <v>66.085701388033641</v>
      </c>
      <c r="BG17">
        <f t="shared" si="30"/>
        <v>-76.225993622786504</v>
      </c>
      <c r="BH17">
        <f t="shared" si="45"/>
        <v>103.7740063772135</v>
      </c>
      <c r="BI17">
        <f t="shared" si="46"/>
        <v>103.7740063772135</v>
      </c>
      <c r="BJ17">
        <f t="shared" si="31"/>
        <v>0</v>
      </c>
      <c r="BK17">
        <f t="shared" si="47"/>
        <v>0</v>
      </c>
      <c r="BM17">
        <f t="shared" si="48"/>
        <v>23.516925506704844</v>
      </c>
      <c r="BN17">
        <f t="shared" si="32"/>
        <v>-1.4355699400430444E-2</v>
      </c>
      <c r="BQ17" s="56">
        <f t="shared" si="49"/>
        <v>59.470736681613928</v>
      </c>
      <c r="BR17" s="59"/>
      <c r="BS17" s="59"/>
      <c r="BT17" s="59">
        <v>117.49</v>
      </c>
      <c r="BU17" s="59">
        <v>33.0246</v>
      </c>
      <c r="BV17" s="59">
        <v>-264.9049</v>
      </c>
      <c r="BW17" s="61"/>
      <c r="BY17" s="59"/>
      <c r="BZ17" s="59"/>
      <c r="CA17" s="59"/>
      <c r="CC17" s="59"/>
    </row>
    <row r="18" spans="1:81" x14ac:dyDescent="0.2">
      <c r="A18">
        <v>10</v>
      </c>
      <c r="B18">
        <f t="shared" si="33"/>
        <v>0.01</v>
      </c>
      <c r="C18">
        <f t="shared" si="0"/>
        <v>1.0000000000007583</v>
      </c>
      <c r="D18">
        <f t="shared" si="1"/>
        <v>1.2315043187993776E-6</v>
      </c>
      <c r="F18">
        <f t="shared" si="2"/>
        <v>0.99943641248948689</v>
      </c>
      <c r="G18">
        <f t="shared" si="3"/>
        <v>-2.796251812647753E-4</v>
      </c>
      <c r="H18">
        <f t="shared" si="4"/>
        <v>-2.796251812647753E-4</v>
      </c>
      <c r="J18">
        <f t="shared" si="5"/>
        <v>15</v>
      </c>
      <c r="M18">
        <f t="shared" si="6"/>
        <v>125.07461278272066</v>
      </c>
      <c r="N18">
        <f t="shared" si="7"/>
        <v>-1.5707963250000001</v>
      </c>
      <c r="O18">
        <f t="shared" si="8"/>
        <v>1.0000019282721457</v>
      </c>
      <c r="P18">
        <f t="shared" si="9"/>
        <v>1.9638070410122181E-3</v>
      </c>
      <c r="Q18">
        <f t="shared" si="10"/>
        <v>1.0000014569503792</v>
      </c>
      <c r="R18">
        <f t="shared" si="11"/>
        <v>1.7070141242808302E-3</v>
      </c>
      <c r="S18">
        <f t="shared" si="12"/>
        <v>0.99999999883573421</v>
      </c>
      <c r="T18">
        <f t="shared" si="13"/>
        <v>-4.8254863066545676E-5</v>
      </c>
      <c r="U18">
        <f t="shared" si="14"/>
        <v>0.99999999880480939</v>
      </c>
      <c r="V18">
        <f t="shared" si="15"/>
        <v>-4.8891524413699142E-5</v>
      </c>
      <c r="X18">
        <f t="shared" si="34"/>
        <v>65.46034126596966</v>
      </c>
      <c r="Y18">
        <f t="shared" si="16"/>
        <v>-89.811194300395357</v>
      </c>
      <c r="Z18">
        <f t="shared" si="35"/>
        <v>90.188805699604643</v>
      </c>
      <c r="AC18">
        <v>1</v>
      </c>
      <c r="AD18">
        <f t="shared" si="17"/>
        <v>1.9638095655149998E-3</v>
      </c>
      <c r="AE18">
        <f t="shared" si="18"/>
        <v>-1.4806775272851882E-11</v>
      </c>
      <c r="AF18">
        <f t="shared" si="19"/>
        <v>3.0284953145999996E-7</v>
      </c>
      <c r="AG18">
        <f t="shared" si="36"/>
        <v>6323.0014827937111</v>
      </c>
      <c r="AH18">
        <f t="shared" si="37"/>
        <v>-3301970.0866050082</v>
      </c>
      <c r="AJ18">
        <f t="shared" si="20"/>
        <v>26400</v>
      </c>
      <c r="AK18">
        <f t="shared" si="21"/>
        <v>1.2739283859456001</v>
      </c>
      <c r="AL18">
        <v>1</v>
      </c>
      <c r="AM18">
        <f t="shared" si="22"/>
        <v>1.7070157823040001E-3</v>
      </c>
      <c r="AN18">
        <f t="shared" si="38"/>
        <v>26399.925247797622</v>
      </c>
      <c r="AO18">
        <f t="shared" si="39"/>
        <v>-43.791160663690782</v>
      </c>
      <c r="AQ18">
        <f t="shared" si="23"/>
        <v>9996.0015993602556</v>
      </c>
      <c r="AR18">
        <f t="shared" si="24"/>
        <v>-199.92003198720514</v>
      </c>
      <c r="AT18">
        <f t="shared" si="40"/>
        <v>-596925232.40010452</v>
      </c>
      <c r="AU18">
        <f t="shared" si="41"/>
        <v>-33007762361.402081</v>
      </c>
      <c r="AV18">
        <f t="shared" si="42"/>
        <v>-1.5888787452514486</v>
      </c>
      <c r="AW18">
        <f t="shared" si="25"/>
        <v>263931619.23641506</v>
      </c>
      <c r="AX18">
        <f t="shared" si="26"/>
        <v>-63500149.507553458</v>
      </c>
      <c r="AY18">
        <f t="shared" si="50"/>
        <v>-0.23610578577227381</v>
      </c>
      <c r="BA18">
        <f t="shared" si="27"/>
        <v>121.61199716409247</v>
      </c>
      <c r="BB18">
        <f t="shared" si="43"/>
        <v>41.699528414055742</v>
      </c>
      <c r="BC18">
        <f t="shared" si="44"/>
        <v>-1.3527729594791746</v>
      </c>
      <c r="BD18">
        <f t="shared" si="28"/>
        <v>-257.50818130614465</v>
      </c>
      <c r="BF18">
        <f t="shared" si="29"/>
        <v>65.216456956286336</v>
      </c>
      <c r="BG18">
        <f t="shared" si="30"/>
        <v>-77.524132088895001</v>
      </c>
      <c r="BH18">
        <f t="shared" si="45"/>
        <v>102.475867911105</v>
      </c>
      <c r="BI18">
        <f t="shared" si="46"/>
        <v>102.475867911105</v>
      </c>
      <c r="BJ18">
        <f t="shared" si="31"/>
        <v>0</v>
      </c>
      <c r="BK18">
        <f t="shared" si="47"/>
        <v>0</v>
      </c>
      <c r="BM18">
        <f t="shared" si="48"/>
        <v>23.516928542230595</v>
      </c>
      <c r="BN18">
        <f t="shared" si="32"/>
        <v>-1.5950782750359334E-2</v>
      </c>
      <c r="BQ18" s="56">
        <f t="shared" si="49"/>
        <v>58.60148921434088</v>
      </c>
      <c r="BR18" s="59"/>
      <c r="BS18" s="59"/>
      <c r="BT18" s="59">
        <v>120.226</v>
      </c>
      <c r="BU18" s="59">
        <v>33.735999999999997</v>
      </c>
      <c r="BV18" s="59">
        <v>-269.98079999999999</v>
      </c>
      <c r="BW18" s="61"/>
      <c r="BY18" s="59"/>
      <c r="BZ18" s="59"/>
      <c r="CA18" s="59"/>
      <c r="CC18" s="59"/>
    </row>
    <row r="19" spans="1:81" x14ac:dyDescent="0.2">
      <c r="A19">
        <f>A10*10</f>
        <v>20</v>
      </c>
      <c r="B19">
        <f t="shared" si="33"/>
        <v>0.02</v>
      </c>
      <c r="C19">
        <f t="shared" si="0"/>
        <v>1.0000000000030331</v>
      </c>
      <c r="D19">
        <f t="shared" si="1"/>
        <v>2.4630086375950197E-6</v>
      </c>
      <c r="F19">
        <f t="shared" si="2"/>
        <v>0.99944192747879401</v>
      </c>
      <c r="G19">
        <f t="shared" si="3"/>
        <v>-5.5925347039295636E-4</v>
      </c>
      <c r="H19">
        <f t="shared" si="4"/>
        <v>-5.5925347039295636E-4</v>
      </c>
      <c r="J19">
        <f t="shared" si="5"/>
        <v>15</v>
      </c>
      <c r="M19">
        <f t="shared" si="6"/>
        <v>62.537306391360332</v>
      </c>
      <c r="N19">
        <f t="shared" si="7"/>
        <v>-1.5707963250000001</v>
      </c>
      <c r="O19">
        <f t="shared" si="8"/>
        <v>1.0000077130662735</v>
      </c>
      <c r="P19">
        <f t="shared" si="9"/>
        <v>3.9275989351479374E-3</v>
      </c>
      <c r="Q19">
        <f t="shared" si="10"/>
        <v>1.0000058277887804</v>
      </c>
      <c r="R19">
        <f t="shared" si="11"/>
        <v>3.4140183004922114E-3</v>
      </c>
      <c r="S19">
        <f t="shared" si="12"/>
        <v>0.99999999534293638</v>
      </c>
      <c r="T19">
        <f t="shared" si="13"/>
        <v>-9.650972590836538E-5</v>
      </c>
      <c r="U19">
        <f t="shared" si="14"/>
        <v>0.99999999521923777</v>
      </c>
      <c r="V19">
        <f t="shared" si="15"/>
        <v>-9.7783048593659528E-5</v>
      </c>
      <c r="X19">
        <f t="shared" si="34"/>
        <v>59.439877431019482</v>
      </c>
      <c r="Y19">
        <f t="shared" si="16"/>
        <v>-89.622390216666417</v>
      </c>
      <c r="Z19">
        <f t="shared" si="35"/>
        <v>90.377609783333583</v>
      </c>
      <c r="AC19">
        <v>1</v>
      </c>
      <c r="AD19">
        <f t="shared" si="17"/>
        <v>3.9276191310299996E-3</v>
      </c>
      <c r="AE19">
        <f t="shared" si="18"/>
        <v>-5.9227101091407528E-11</v>
      </c>
      <c r="AF19">
        <f t="shared" si="19"/>
        <v>6.0569906291999993E-7</v>
      </c>
      <c r="AG19">
        <f t="shared" si="36"/>
        <v>6323.0014374505599</v>
      </c>
      <c r="AH19">
        <f t="shared" si="37"/>
        <v>-1650985.5070142718</v>
      </c>
      <c r="AJ19">
        <f t="shared" si="20"/>
        <v>26400</v>
      </c>
      <c r="AK19">
        <f t="shared" si="21"/>
        <v>2.5478567718912002</v>
      </c>
      <c r="AL19">
        <v>1</v>
      </c>
      <c r="AM19">
        <f t="shared" si="22"/>
        <v>3.4140315646080002E-3</v>
      </c>
      <c r="AN19">
        <f t="shared" si="38"/>
        <v>26399.700993804305</v>
      </c>
      <c r="AO19">
        <f t="shared" si="39"/>
        <v>-87.581555717169891</v>
      </c>
      <c r="AQ19">
        <f t="shared" si="23"/>
        <v>9984.0255591054301</v>
      </c>
      <c r="AR19">
        <f t="shared" si="24"/>
        <v>-399.36102236421721</v>
      </c>
      <c r="AT19">
        <f t="shared" si="40"/>
        <v>-596210252.02795839</v>
      </c>
      <c r="AU19">
        <f t="shared" si="41"/>
        <v>-16486006660.061598</v>
      </c>
      <c r="AV19">
        <f t="shared" si="42"/>
        <v>-1.6069451980316323</v>
      </c>
      <c r="AW19">
        <f t="shared" si="25"/>
        <v>263586991.43528381</v>
      </c>
      <c r="AX19">
        <f t="shared" si="26"/>
        <v>-40309799.601216674</v>
      </c>
      <c r="AY19">
        <f t="shared" si="50"/>
        <v>-0.15175216201909558</v>
      </c>
      <c r="BA19">
        <f t="shared" si="27"/>
        <v>61.866476245104074</v>
      </c>
      <c r="BB19">
        <f t="shared" si="43"/>
        <v>35.829107608621001</v>
      </c>
      <c r="BC19">
        <f t="shared" si="44"/>
        <v>-1.4551930360125367</v>
      </c>
      <c r="BD19">
        <f t="shared" si="28"/>
        <v>-263.37641943561863</v>
      </c>
      <c r="BF19">
        <f t="shared" si="29"/>
        <v>59.34608408034012</v>
      </c>
      <c r="BG19">
        <f t="shared" si="30"/>
        <v>-83.408321179186785</v>
      </c>
      <c r="BH19">
        <f t="shared" si="45"/>
        <v>96.591678820813215</v>
      </c>
      <c r="BI19">
        <f t="shared" si="46"/>
        <v>96.591678820813215</v>
      </c>
      <c r="BJ19">
        <f t="shared" si="31"/>
        <v>0</v>
      </c>
      <c r="BK19">
        <f t="shared" si="47"/>
        <v>0</v>
      </c>
      <c r="BM19">
        <f t="shared" si="48"/>
        <v>23.516976471719119</v>
      </c>
      <c r="BN19">
        <f t="shared" si="32"/>
        <v>-3.1901743568175531E-2</v>
      </c>
      <c r="BQ19" s="56">
        <f t="shared" si="49"/>
        <v>52.73106840890614</v>
      </c>
      <c r="BR19" s="59"/>
      <c r="BS19" s="59"/>
      <c r="BT19" s="59">
        <v>123.027</v>
      </c>
      <c r="BU19" s="59">
        <v>32.764899999999997</v>
      </c>
      <c r="BV19" s="59">
        <v>-265.73410000000001</v>
      </c>
      <c r="BW19" s="61"/>
      <c r="BY19" s="59"/>
      <c r="BZ19" s="59"/>
      <c r="CA19" s="59"/>
      <c r="CC19" s="59"/>
    </row>
    <row r="20" spans="1:81" x14ac:dyDescent="0.2">
      <c r="A20">
        <f t="shared" ref="A20:A36" si="51">A11*10</f>
        <v>30</v>
      </c>
      <c r="B20">
        <f t="shared" si="33"/>
        <v>0.03</v>
      </c>
      <c r="C20">
        <f t="shared" si="0"/>
        <v>1.0000000000068248</v>
      </c>
      <c r="D20">
        <f t="shared" si="1"/>
        <v>3.6945129563831909E-6</v>
      </c>
      <c r="F20">
        <f t="shared" si="2"/>
        <v>0.99945111925998931</v>
      </c>
      <c r="G20">
        <f t="shared" si="3"/>
        <v>-8.388879753614656E-4</v>
      </c>
      <c r="H20">
        <f t="shared" si="4"/>
        <v>-8.388879753614656E-4</v>
      </c>
      <c r="J20">
        <f t="shared" si="5"/>
        <v>15</v>
      </c>
      <c r="M20">
        <f t="shared" si="6"/>
        <v>41.691537594240224</v>
      </c>
      <c r="N20">
        <f t="shared" si="7"/>
        <v>-1.5707963250000001</v>
      </c>
      <c r="O20">
        <f t="shared" si="8"/>
        <v>1.0000173543154571</v>
      </c>
      <c r="P20">
        <f t="shared" si="9"/>
        <v>5.8913605362316181E-3</v>
      </c>
      <c r="Q20">
        <f t="shared" si="10"/>
        <v>1.0000131124769962</v>
      </c>
      <c r="R20">
        <f t="shared" si="11"/>
        <v>5.1210025809125398E-3</v>
      </c>
      <c r="S20">
        <f t="shared" si="12"/>
        <v>0.99999998952160707</v>
      </c>
      <c r="T20">
        <f t="shared" si="13"/>
        <v>-1.4476458830073319E-4</v>
      </c>
      <c r="U20">
        <f t="shared" si="14"/>
        <v>0.99999998924328504</v>
      </c>
      <c r="V20">
        <f t="shared" si="15"/>
        <v>-1.466745723061424E-4</v>
      </c>
      <c r="X20">
        <f t="shared" si="34"/>
        <v>55.918279045654785</v>
      </c>
      <c r="Y20">
        <f t="shared" si="16"/>
        <v>-89.433589364635239</v>
      </c>
      <c r="Z20">
        <f t="shared" si="35"/>
        <v>90.566410635364761</v>
      </c>
      <c r="AC20">
        <v>1</v>
      </c>
      <c r="AD20">
        <f t="shared" si="17"/>
        <v>5.8914286965450003E-3</v>
      </c>
      <c r="AE20">
        <f t="shared" si="18"/>
        <v>-1.3326097745566697E-10</v>
      </c>
      <c r="AF20">
        <f t="shared" si="19"/>
        <v>9.0854859438E-7</v>
      </c>
      <c r="AG20">
        <f t="shared" si="36"/>
        <v>6323.0013618786434</v>
      </c>
      <c r="AH20">
        <f t="shared" si="37"/>
        <v>-1100657.5199114687</v>
      </c>
      <c r="AJ20">
        <f t="shared" si="20"/>
        <v>26400</v>
      </c>
      <c r="AK20">
        <f t="shared" si="21"/>
        <v>3.8217851578368003</v>
      </c>
      <c r="AL20">
        <v>1</v>
      </c>
      <c r="AM20">
        <f t="shared" si="22"/>
        <v>5.121047346912001E-3</v>
      </c>
      <c r="AN20">
        <f t="shared" si="38"/>
        <v>26399.32724586127</v>
      </c>
      <c r="AO20">
        <f t="shared" si="39"/>
        <v>-131.37041959484276</v>
      </c>
      <c r="AQ20">
        <f t="shared" si="23"/>
        <v>9964.1291351135915</v>
      </c>
      <c r="AR20">
        <f t="shared" si="24"/>
        <v>-597.8477481068154</v>
      </c>
      <c r="AT20">
        <f t="shared" si="40"/>
        <v>-595022417.62464595</v>
      </c>
      <c r="AU20">
        <f t="shared" si="41"/>
        <v>-10970873854.057209</v>
      </c>
      <c r="AV20">
        <f t="shared" si="42"/>
        <v>-1.6249797959521788</v>
      </c>
      <c r="AW20">
        <f t="shared" si="25"/>
        <v>263014444.29066148</v>
      </c>
      <c r="AX20">
        <f t="shared" si="26"/>
        <v>-36353464.504370525</v>
      </c>
      <c r="AY20">
        <f t="shared" si="50"/>
        <v>-0.13734827138838171</v>
      </c>
      <c r="BA20">
        <f t="shared" si="27"/>
        <v>41.379964726631123</v>
      </c>
      <c r="BB20">
        <f t="shared" si="43"/>
        <v>32.335802322516983</v>
      </c>
      <c r="BC20">
        <f t="shared" si="44"/>
        <v>-1.487631524563797</v>
      </c>
      <c r="BD20">
        <f t="shared" si="28"/>
        <v>-265.235007925513</v>
      </c>
      <c r="BF20">
        <f t="shared" si="29"/>
        <v>55.852858677279457</v>
      </c>
      <c r="BG20">
        <f t="shared" si="30"/>
        <v>-85.282860986040419</v>
      </c>
      <c r="BH20">
        <f t="shared" si="45"/>
        <v>94.717139013959581</v>
      </c>
      <c r="BI20">
        <f t="shared" si="46"/>
        <v>94.717139013959581</v>
      </c>
      <c r="BJ20">
        <f t="shared" si="31"/>
        <v>0</v>
      </c>
      <c r="BK20">
        <f t="shared" si="47"/>
        <v>0</v>
      </c>
      <c r="BM20">
        <f t="shared" si="48"/>
        <v>23.517056354762467</v>
      </c>
      <c r="BN20">
        <f t="shared" si="32"/>
        <v>-4.7853060527409508E-2</v>
      </c>
      <c r="BQ20" s="56">
        <f t="shared" si="49"/>
        <v>49.237763122802122</v>
      </c>
      <c r="BR20" s="59"/>
      <c r="BS20" s="59"/>
      <c r="BT20" s="59">
        <v>125.893</v>
      </c>
      <c r="BU20" s="59">
        <v>32.247199999999999</v>
      </c>
      <c r="BV20" s="59">
        <v>-266.37110000000001</v>
      </c>
      <c r="BW20" s="61"/>
      <c r="BY20" s="59"/>
      <c r="BZ20" s="59"/>
      <c r="CA20" s="59"/>
      <c r="CC20" s="59"/>
    </row>
    <row r="21" spans="1:81" x14ac:dyDescent="0.2">
      <c r="A21">
        <f t="shared" si="51"/>
        <v>40</v>
      </c>
      <c r="B21">
        <f t="shared" si="33"/>
        <v>0.04</v>
      </c>
      <c r="C21">
        <f t="shared" si="0"/>
        <v>1.000000000012133</v>
      </c>
      <c r="D21">
        <f t="shared" si="1"/>
        <v>4.9260172751601562E-6</v>
      </c>
      <c r="F21">
        <f t="shared" si="2"/>
        <v>0.99946398803160563</v>
      </c>
      <c r="G21">
        <f t="shared" si="3"/>
        <v>-1.1185318043742663E-3</v>
      </c>
      <c r="H21">
        <f t="shared" si="4"/>
        <v>-1.1185318043742663E-3</v>
      </c>
      <c r="J21">
        <f t="shared" si="5"/>
        <v>15</v>
      </c>
      <c r="M21">
        <f t="shared" si="6"/>
        <v>31.268653195680166</v>
      </c>
      <c r="N21">
        <f t="shared" si="7"/>
        <v>-1.5707963250000001</v>
      </c>
      <c r="O21">
        <f t="shared" si="8"/>
        <v>1.0000308519081567</v>
      </c>
      <c r="P21">
        <f t="shared" si="9"/>
        <v>7.8550766994895504E-3</v>
      </c>
      <c r="Q21">
        <f t="shared" si="10"/>
        <v>1.0000233109513481</v>
      </c>
      <c r="R21">
        <f t="shared" si="11"/>
        <v>6.8279570185158737E-3</v>
      </c>
      <c r="S21">
        <f t="shared" si="12"/>
        <v>0.99999998137174606</v>
      </c>
      <c r="T21">
        <f t="shared" si="13"/>
        <v>-1.9301945001892306E-4</v>
      </c>
      <c r="U21">
        <f t="shared" si="14"/>
        <v>0.99999998087695119</v>
      </c>
      <c r="V21">
        <f t="shared" si="15"/>
        <v>-1.9556609531740904E-4</v>
      </c>
      <c r="X21">
        <f t="shared" si="34"/>
        <v>53.419821824457181</v>
      </c>
      <c r="Y21">
        <f t="shared" si="16"/>
        <v>-89.244793360016729</v>
      </c>
      <c r="Z21">
        <f t="shared" si="35"/>
        <v>90.755206639983271</v>
      </c>
      <c r="AC21">
        <v>1</v>
      </c>
      <c r="AD21">
        <f t="shared" si="17"/>
        <v>7.8552382620599992E-3</v>
      </c>
      <c r="AE21">
        <f t="shared" si="18"/>
        <v>-2.3690840436563011E-10</v>
      </c>
      <c r="AF21">
        <f t="shared" si="19"/>
        <v>1.2113981258399999E-6</v>
      </c>
      <c r="AG21">
        <f t="shared" si="36"/>
        <v>6323.0012560779642</v>
      </c>
      <c r="AH21">
        <f t="shared" si="37"/>
        <v>-825493.68093063857</v>
      </c>
      <c r="AJ21">
        <f t="shared" si="20"/>
        <v>26400</v>
      </c>
      <c r="AK21">
        <f t="shared" si="21"/>
        <v>5.0957135437824004</v>
      </c>
      <c r="AL21">
        <v>1</v>
      </c>
      <c r="AM21">
        <f t="shared" si="22"/>
        <v>6.8280631292160004E-3</v>
      </c>
      <c r="AN21">
        <f t="shared" si="38"/>
        <v>26398.804017036462</v>
      </c>
      <c r="AO21">
        <f t="shared" si="39"/>
        <v>-175.15698682034355</v>
      </c>
      <c r="AQ21">
        <f t="shared" si="23"/>
        <v>9936.4069952305254</v>
      </c>
      <c r="AR21">
        <f t="shared" si="24"/>
        <v>-794.91255961844195</v>
      </c>
      <c r="AT21">
        <f t="shared" si="40"/>
        <v>-593367380.94567883</v>
      </c>
      <c r="AU21">
        <f t="shared" si="41"/>
        <v>-8207467418.8307323</v>
      </c>
      <c r="AV21">
        <f t="shared" si="42"/>
        <v>-1.6429668019029617</v>
      </c>
      <c r="AW21">
        <f t="shared" si="25"/>
        <v>262216703.64537525</v>
      </c>
      <c r="AX21">
        <f t="shared" si="26"/>
        <v>-37171561.7053442</v>
      </c>
      <c r="AY21">
        <f t="shared" si="50"/>
        <v>-0.14082064977592038</v>
      </c>
      <c r="BA21">
        <f t="shared" si="27"/>
        <v>31.071369013789411</v>
      </c>
      <c r="BB21">
        <f t="shared" si="43"/>
        <v>29.847207776419772</v>
      </c>
      <c r="BC21">
        <f t="shared" si="44"/>
        <v>-1.5021461521270414</v>
      </c>
      <c r="BD21">
        <f t="shared" si="28"/>
        <v>-266.06663482704147</v>
      </c>
      <c r="BF21">
        <f t="shared" si="29"/>
        <v>53.364375968624174</v>
      </c>
      <c r="BG21">
        <f t="shared" si="30"/>
        <v>-86.130439738756465</v>
      </c>
      <c r="BH21">
        <f t="shared" si="45"/>
        <v>93.869560261243535</v>
      </c>
      <c r="BI21">
        <f t="shared" si="46"/>
        <v>93.869560261243535</v>
      </c>
      <c r="BJ21">
        <f t="shared" si="31"/>
        <v>0</v>
      </c>
      <c r="BK21">
        <f t="shared" si="47"/>
        <v>0</v>
      </c>
      <c r="BM21">
        <f t="shared" si="48"/>
        <v>23.517168192204402</v>
      </c>
      <c r="BN21">
        <f t="shared" si="32"/>
        <v>-6.380491171503061E-2</v>
      </c>
      <c r="BQ21" s="56">
        <f t="shared" si="49"/>
        <v>46.749168576704903</v>
      </c>
      <c r="BR21" s="59"/>
      <c r="BS21" s="59"/>
      <c r="BT21" s="59">
        <v>128.82499999999999</v>
      </c>
      <c r="BU21" s="59">
        <v>32.3142</v>
      </c>
      <c r="BV21" s="59">
        <v>-268.05959999999999</v>
      </c>
      <c r="BW21" s="61"/>
      <c r="BY21" s="59"/>
      <c r="BZ21" s="59"/>
      <c r="CA21" s="59"/>
      <c r="CC21" s="59"/>
    </row>
    <row r="22" spans="1:81" x14ac:dyDescent="0.2">
      <c r="A22">
        <f t="shared" si="51"/>
        <v>50</v>
      </c>
      <c r="B22">
        <f t="shared" si="33"/>
        <v>0.05</v>
      </c>
      <c r="C22">
        <f t="shared" si="0"/>
        <v>1.0000000000189575</v>
      </c>
      <c r="D22">
        <f t="shared" si="1"/>
        <v>6.1575215939221798E-6</v>
      </c>
      <c r="F22">
        <f t="shared" si="2"/>
        <v>0.99948053407160342</v>
      </c>
      <c r="G22">
        <f t="shared" si="3"/>
        <v>-1.3981880659759058E-3</v>
      </c>
      <c r="H22">
        <f t="shared" si="4"/>
        <v>-1.3981880659759058E-3</v>
      </c>
      <c r="J22">
        <f t="shared" si="5"/>
        <v>15</v>
      </c>
      <c r="M22">
        <f t="shared" si="6"/>
        <v>25.014922556544132</v>
      </c>
      <c r="N22">
        <f t="shared" si="7"/>
        <v>-1.5707963250000001</v>
      </c>
      <c r="O22">
        <f t="shared" si="8"/>
        <v>1.0000482056882258</v>
      </c>
      <c r="P22">
        <f t="shared" si="9"/>
        <v>9.8187322822505703E-3</v>
      </c>
      <c r="Q22">
        <f t="shared" si="10"/>
        <v>1.000036423122691</v>
      </c>
      <c r="R22">
        <f t="shared" si="11"/>
        <v>8.5348716673196816E-3</v>
      </c>
      <c r="S22">
        <f t="shared" si="12"/>
        <v>0.99999997089335357</v>
      </c>
      <c r="T22">
        <f t="shared" si="13"/>
        <v>-2.4127431083820918E-4</v>
      </c>
      <c r="U22">
        <f t="shared" si="14"/>
        <v>0.99999997012023689</v>
      </c>
      <c r="V22">
        <f t="shared" si="15"/>
        <v>-2.4445761739372074E-4</v>
      </c>
      <c r="X22">
        <f t="shared" si="34"/>
        <v>51.482029787404201</v>
      </c>
      <c r="Y22">
        <f t="shared" si="16"/>
        <v>-89.056003818365127</v>
      </c>
      <c r="Z22">
        <f t="shared" si="35"/>
        <v>90.943996181634873</v>
      </c>
      <c r="AC22">
        <v>1</v>
      </c>
      <c r="AD22">
        <f t="shared" si="17"/>
        <v>9.8190478275750007E-3</v>
      </c>
      <c r="AE22">
        <f t="shared" si="18"/>
        <v>-3.7016938182129703E-10</v>
      </c>
      <c r="AF22">
        <f t="shared" si="19"/>
        <v>1.5142476573E-6</v>
      </c>
      <c r="AG22">
        <f t="shared" si="36"/>
        <v>6323.0011200485242</v>
      </c>
      <c r="AH22">
        <f t="shared" si="37"/>
        <v>-660395.50119858433</v>
      </c>
      <c r="AJ22">
        <f t="shared" si="20"/>
        <v>26400</v>
      </c>
      <c r="AK22">
        <f t="shared" si="21"/>
        <v>6.369641929728</v>
      </c>
      <c r="AL22">
        <v>1</v>
      </c>
      <c r="AM22">
        <f t="shared" si="22"/>
        <v>8.5350789115200016E-3</v>
      </c>
      <c r="AN22">
        <f t="shared" si="38"/>
        <v>26398.131325623413</v>
      </c>
      <c r="AO22">
        <f t="shared" si="39"/>
        <v>-218.94049205113595</v>
      </c>
      <c r="AQ22">
        <f t="shared" si="23"/>
        <v>9900.9900990099013</v>
      </c>
      <c r="AR22">
        <f t="shared" si="24"/>
        <v>-990.09900990099004</v>
      </c>
      <c r="AT22">
        <f t="shared" ref="AT22:AT85" si="52">-AR22*AH22+AG22*AQ22</f>
        <v>-591252960.39415741</v>
      </c>
      <c r="AU22">
        <f t="shared" ref="AU22:AU85" si="53">AQ22*AH22+AG22*AR22</f>
        <v>-6544829715.9464273</v>
      </c>
      <c r="AV22">
        <f t="shared" si="42"/>
        <v>-1.6608907046212016</v>
      </c>
      <c r="AW22">
        <f t="shared" si="25"/>
        <v>261197540.31662309</v>
      </c>
      <c r="AX22">
        <f t="shared" si="26"/>
        <v>-39861725.479789585</v>
      </c>
      <c r="AY22">
        <f t="shared" si="50"/>
        <v>-0.15144291236023583</v>
      </c>
      <c r="BA22">
        <f t="shared" si="27"/>
        <v>24.871090347919612</v>
      </c>
      <c r="BB22">
        <f t="shared" si="43"/>
        <v>27.913896502909672</v>
      </c>
      <c r="BC22">
        <f t="shared" si="44"/>
        <v>-1.5094477922609657</v>
      </c>
      <c r="BD22">
        <f t="shared" si="28"/>
        <v>-266.48498799071666</v>
      </c>
      <c r="BF22">
        <f t="shared" si="29"/>
        <v>51.431208488135873</v>
      </c>
      <c r="BG22">
        <f t="shared" si="30"/>
        <v>-86.564745465954203</v>
      </c>
      <c r="BH22">
        <f t="shared" si="45"/>
        <v>93.435254534045797</v>
      </c>
      <c r="BI22">
        <f t="shared" si="46"/>
        <v>93.435254534045797</v>
      </c>
      <c r="BJ22">
        <f t="shared" si="31"/>
        <v>0</v>
      </c>
      <c r="BK22">
        <f t="shared" si="47"/>
        <v>0</v>
      </c>
      <c r="BM22">
        <f t="shared" si="48"/>
        <v>23.517311985226197</v>
      </c>
      <c r="BN22">
        <f t="shared" si="32"/>
        <v>-7.9757475237522288E-2</v>
      </c>
      <c r="BQ22" s="56">
        <f t="shared" si="49"/>
        <v>44.815857303194811</v>
      </c>
      <c r="BR22" s="59"/>
      <c r="BS22" s="59"/>
      <c r="BT22" s="59">
        <v>131.82599999999999</v>
      </c>
      <c r="BU22" s="59">
        <v>32.155799999999999</v>
      </c>
      <c r="BV22" s="59">
        <v>-263.3605</v>
      </c>
      <c r="BW22" s="61"/>
      <c r="BY22" s="59"/>
      <c r="BZ22" s="59"/>
      <c r="CA22" s="59"/>
      <c r="CC22" s="59"/>
    </row>
    <row r="23" spans="1:81" x14ac:dyDescent="0.2">
      <c r="A23">
        <f t="shared" si="51"/>
        <v>60</v>
      </c>
      <c r="B23">
        <f t="shared" si="33"/>
        <v>0.06</v>
      </c>
      <c r="C23">
        <f t="shared" si="0"/>
        <v>1.0000000000272988</v>
      </c>
      <c r="D23">
        <f t="shared" si="1"/>
        <v>7.3890259126655255E-6</v>
      </c>
      <c r="F23">
        <f t="shared" si="2"/>
        <v>0.99950075773738567</v>
      </c>
      <c r="G23">
        <f t="shared" si="3"/>
        <v>-1.6778598691650831E-3</v>
      </c>
      <c r="H23">
        <f t="shared" si="4"/>
        <v>-1.6778598691650831E-3</v>
      </c>
      <c r="J23">
        <f t="shared" si="5"/>
        <v>15</v>
      </c>
      <c r="M23">
        <f t="shared" si="6"/>
        <v>20.845768797120112</v>
      </c>
      <c r="N23">
        <f t="shared" si="7"/>
        <v>-1.5707963250000001</v>
      </c>
      <c r="O23">
        <f t="shared" si="8"/>
        <v>1.0000694154549201</v>
      </c>
      <c r="P23">
        <f t="shared" si="9"/>
        <v>1.1782312144646539E-2</v>
      </c>
      <c r="Q23">
        <f t="shared" si="10"/>
        <v>1.0000524488764162</v>
      </c>
      <c r="R23">
        <f t="shared" si="11"/>
        <v>1.0241736582732516E-2</v>
      </c>
      <c r="S23">
        <f t="shared" si="12"/>
        <v>0.99999995808643005</v>
      </c>
      <c r="T23">
        <f t="shared" si="13"/>
        <v>-2.8952917053386563E-4</v>
      </c>
      <c r="U23">
        <f t="shared" si="14"/>
        <v>0.99999995697314181</v>
      </c>
      <c r="V23">
        <f t="shared" si="15"/>
        <v>-2.9334913830133874E-4</v>
      </c>
      <c r="X23">
        <f t="shared" si="34"/>
        <v>49.898903797740559</v>
      </c>
      <c r="Y23">
        <f t="shared" si="16"/>
        <v>-88.867222355020317</v>
      </c>
      <c r="Z23">
        <f t="shared" si="35"/>
        <v>91.132777644979683</v>
      </c>
      <c r="AC23">
        <v>1</v>
      </c>
      <c r="AD23">
        <f t="shared" si="17"/>
        <v>1.1782857393090001E-2</v>
      </c>
      <c r="AE23">
        <f t="shared" si="18"/>
        <v>-5.3304390982266788E-10</v>
      </c>
      <c r="AF23">
        <f t="shared" si="19"/>
        <v>1.81709718876E-6</v>
      </c>
      <c r="AG23">
        <f t="shared" si="36"/>
        <v>6323.0009537903279</v>
      </c>
      <c r="AH23">
        <f t="shared" si="37"/>
        <v>-550330.15109090542</v>
      </c>
      <c r="AJ23">
        <f t="shared" si="20"/>
        <v>26400</v>
      </c>
      <c r="AK23">
        <f t="shared" si="21"/>
        <v>7.6435703156736006</v>
      </c>
      <c r="AL23">
        <v>1</v>
      </c>
      <c r="AM23">
        <f t="shared" si="22"/>
        <v>1.0242094693824002E-2</v>
      </c>
      <c r="AN23">
        <f t="shared" si="38"/>
        <v>26397.309195139624</v>
      </c>
      <c r="AO23">
        <f t="shared" si="39"/>
        <v>-262.72017012309743</v>
      </c>
      <c r="AQ23">
        <f t="shared" si="23"/>
        <v>9858.0441640378558</v>
      </c>
      <c r="AR23">
        <f t="shared" si="24"/>
        <v>-1182.9652996845425</v>
      </c>
      <c r="AT23">
        <f t="shared" si="52"/>
        <v>-588689049.458974</v>
      </c>
      <c r="AU23">
        <f t="shared" si="53"/>
        <v>-5432658824.973978</v>
      </c>
      <c r="AV23">
        <f t="shared" si="42"/>
        <v>-1.6787362898068898</v>
      </c>
      <c r="AW23">
        <f t="shared" si="25"/>
        <v>259961725.93550253</v>
      </c>
      <c r="AX23">
        <f t="shared" si="26"/>
        <v>-43448160.90503744</v>
      </c>
      <c r="AY23">
        <f t="shared" si="50"/>
        <v>-0.16560228959372122</v>
      </c>
      <c r="BA23">
        <f t="shared" si="27"/>
        <v>20.732680137684618</v>
      </c>
      <c r="BB23">
        <f t="shared" si="43"/>
        <v>26.333108949518426</v>
      </c>
      <c r="BC23">
        <f t="shared" si="44"/>
        <v>-1.5131340002131686</v>
      </c>
      <c r="BD23">
        <f t="shared" si="28"/>
        <v>-266.69619214902684</v>
      </c>
      <c r="BF23">
        <f t="shared" si="29"/>
        <v>49.850596684865145</v>
      </c>
      <c r="BG23">
        <f t="shared" si="30"/>
        <v>-86.791903078254194</v>
      </c>
      <c r="BH23">
        <f t="shared" si="45"/>
        <v>93.208096921745806</v>
      </c>
      <c r="BI23">
        <f t="shared" si="46"/>
        <v>93.208096921745806</v>
      </c>
      <c r="BJ23">
        <f t="shared" si="31"/>
        <v>0</v>
      </c>
      <c r="BK23">
        <f t="shared" si="47"/>
        <v>0</v>
      </c>
      <c r="BM23">
        <f t="shared" si="48"/>
        <v>23.517487735346727</v>
      </c>
      <c r="BN23">
        <f t="shared" si="32"/>
        <v>-9.5710929227388913E-2</v>
      </c>
      <c r="BQ23" s="56">
        <f t="shared" si="49"/>
        <v>43.235069749803557</v>
      </c>
      <c r="BR23" s="58"/>
      <c r="BS23" s="58"/>
      <c r="BT23" s="58">
        <v>134.89599999999999</v>
      </c>
      <c r="BU23" s="58">
        <v>32.875300000000003</v>
      </c>
      <c r="BV23" s="58">
        <v>-269.46539999999999</v>
      </c>
      <c r="BW23" s="61"/>
      <c r="BY23" s="58"/>
      <c r="BZ23" s="58"/>
      <c r="CA23" s="58"/>
      <c r="CC23" s="58"/>
    </row>
    <row r="24" spans="1:81" x14ac:dyDescent="0.2">
      <c r="A24">
        <f t="shared" si="51"/>
        <v>70</v>
      </c>
      <c r="B24">
        <f t="shared" si="33"/>
        <v>7.0000000000000007E-2</v>
      </c>
      <c r="C24">
        <f t="shared" si="0"/>
        <v>1.0000000000371567</v>
      </c>
      <c r="D24">
        <f t="shared" si="1"/>
        <v>8.6205302313864604E-6</v>
      </c>
      <c r="F24">
        <f t="shared" si="2"/>
        <v>0.99952465946581637</v>
      </c>
      <c r="G24">
        <f t="shared" si="3"/>
        <v>-1.9575503235082503E-3</v>
      </c>
      <c r="H24">
        <f t="shared" si="4"/>
        <v>-1.9575503235082503E-3</v>
      </c>
      <c r="J24">
        <f t="shared" si="5"/>
        <v>15</v>
      </c>
      <c r="M24">
        <f t="shared" si="6"/>
        <v>17.867801826102951</v>
      </c>
      <c r="N24">
        <f t="shared" si="7"/>
        <v>-1.5707963250000001</v>
      </c>
      <c r="O24">
        <f t="shared" si="8"/>
        <v>1.0000944809629091</v>
      </c>
      <c r="P24">
        <f t="shared" si="9"/>
        <v>1.3745801150312468E-2</v>
      </c>
      <c r="Q24">
        <f t="shared" si="10"/>
        <v>1.000071388072457</v>
      </c>
      <c r="R24">
        <f t="shared" si="11"/>
        <v>1.1948541821901543E-2</v>
      </c>
      <c r="S24">
        <f t="shared" si="12"/>
        <v>0.9999999429509755</v>
      </c>
      <c r="T24">
        <f t="shared" si="13"/>
        <v>-3.3778402888116644E-4</v>
      </c>
      <c r="U24">
        <f t="shared" si="14"/>
        <v>0.99999994143566673</v>
      </c>
      <c r="V24">
        <f t="shared" si="15"/>
        <v>-3.4224065780652448E-4</v>
      </c>
      <c r="X24">
        <f t="shared" si="34"/>
        <v>48.560557639759942</v>
      </c>
      <c r="Y24">
        <f t="shared" si="16"/>
        <v>-88.678450585054392</v>
      </c>
      <c r="Z24">
        <f t="shared" si="35"/>
        <v>91.321549414945608</v>
      </c>
      <c r="AC24">
        <v>1</v>
      </c>
      <c r="AD24">
        <f t="shared" si="17"/>
        <v>1.3746666958605E-2</v>
      </c>
      <c r="AE24">
        <f t="shared" si="18"/>
        <v>-7.2553198836974235E-10</v>
      </c>
      <c r="AF24">
        <f t="shared" si="19"/>
        <v>2.1199467202199997E-6</v>
      </c>
      <c r="AG24">
        <f t="shared" si="36"/>
        <v>6323.0007573033809</v>
      </c>
      <c r="AH24">
        <f t="shared" si="37"/>
        <v>-471712.13219714095</v>
      </c>
      <c r="AJ24">
        <f t="shared" si="20"/>
        <v>26400</v>
      </c>
      <c r="AK24">
        <f t="shared" si="21"/>
        <v>8.9174987016192002</v>
      </c>
      <c r="AL24">
        <v>1</v>
      </c>
      <c r="AM24">
        <f t="shared" si="22"/>
        <v>1.1949110476128002E-2</v>
      </c>
      <c r="AN24">
        <f t="shared" si="38"/>
        <v>26396.33765432451</v>
      </c>
      <c r="AO24">
        <f t="shared" si="39"/>
        <v>-306.4952560950818</v>
      </c>
      <c r="AQ24">
        <f t="shared" si="23"/>
        <v>9807.7677520596299</v>
      </c>
      <c r="AR24">
        <f t="shared" si="24"/>
        <v>-1373.0874852883483</v>
      </c>
      <c r="AT24">
        <f t="shared" si="52"/>
        <v>-585687502.45484841</v>
      </c>
      <c r="AU24">
        <f t="shared" si="53"/>
        <v>-4635125071.6277304</v>
      </c>
      <c r="AV24">
        <f t="shared" si="42"/>
        <v>-1.6964887077844619</v>
      </c>
      <c r="AW24">
        <f t="shared" si="25"/>
        <v>258514977.83916438</v>
      </c>
      <c r="AX24">
        <f t="shared" si="26"/>
        <v>-47505915.486223847</v>
      </c>
      <c r="AY24">
        <f t="shared" si="50"/>
        <v>-0.18173703748715578</v>
      </c>
      <c r="BA24">
        <f t="shared" si="27"/>
        <v>17.774753591806611</v>
      </c>
      <c r="BB24">
        <f t="shared" si="43"/>
        <v>24.996071777954011</v>
      </c>
      <c r="BC24">
        <f t="shared" si="44"/>
        <v>-1.5147516702973061</v>
      </c>
      <c r="BD24">
        <f t="shared" si="28"/>
        <v>-266.7888778175984</v>
      </c>
      <c r="BF24">
        <f t="shared" si="29"/>
        <v>48.513767222376487</v>
      </c>
      <c r="BG24">
        <f t="shared" si="30"/>
        <v>-86.900543269448022</v>
      </c>
      <c r="BH24">
        <f t="shared" si="45"/>
        <v>93.099456730551978</v>
      </c>
      <c r="BI24">
        <f t="shared" si="46"/>
        <v>93.099456730551978</v>
      </c>
      <c r="BJ24">
        <f t="shared" si="31"/>
        <v>0</v>
      </c>
      <c r="BK24">
        <f t="shared" si="47"/>
        <v>0</v>
      </c>
      <c r="BM24">
        <f t="shared" si="48"/>
        <v>23.517695444422468</v>
      </c>
      <c r="BN24">
        <f t="shared" si="32"/>
        <v>-0.11166545184966468</v>
      </c>
      <c r="BQ24" s="56">
        <f t="shared" si="49"/>
        <v>41.898032578239146</v>
      </c>
      <c r="BR24" s="58"/>
      <c r="BS24" s="58"/>
      <c r="BT24" s="58">
        <v>138.03800000000001</v>
      </c>
      <c r="BU24" s="58">
        <v>32.538699999999999</v>
      </c>
      <c r="BV24" s="58">
        <v>-267.95069999999998</v>
      </c>
      <c r="BW24" s="61"/>
      <c r="BY24" s="58"/>
      <c r="BZ24" s="58"/>
      <c r="CA24" s="58"/>
      <c r="CC24" s="58"/>
    </row>
    <row r="25" spans="1:81" x14ac:dyDescent="0.2">
      <c r="A25">
        <f t="shared" si="51"/>
        <v>80</v>
      </c>
      <c r="B25">
        <f t="shared" si="33"/>
        <v>0.08</v>
      </c>
      <c r="C25">
        <f t="shared" si="0"/>
        <v>1.0000000000485314</v>
      </c>
      <c r="D25">
        <f t="shared" si="1"/>
        <v>9.8520345500812458E-6</v>
      </c>
      <c r="F25">
        <f t="shared" si="2"/>
        <v>0.99955223977324381</v>
      </c>
      <c r="G25">
        <f t="shared" si="3"/>
        <v>-2.2372625392532591E-3</v>
      </c>
      <c r="H25">
        <f t="shared" si="4"/>
        <v>-2.2372625392532591E-3</v>
      </c>
      <c r="J25">
        <f t="shared" si="5"/>
        <v>15</v>
      </c>
      <c r="M25">
        <f t="shared" si="6"/>
        <v>15.634326597840083</v>
      </c>
      <c r="N25">
        <f t="shared" si="7"/>
        <v>-1.5707963250000001</v>
      </c>
      <c r="O25">
        <f t="shared" si="8"/>
        <v>1.0001234019222902</v>
      </c>
      <c r="P25">
        <f t="shared" si="9"/>
        <v>1.5709184167086283E-2</v>
      </c>
      <c r="Q25">
        <f t="shared" si="10"/>
        <v>1.0000932405452934</v>
      </c>
      <c r="R25">
        <f t="shared" si="11"/>
        <v>1.365527744405994E-2</v>
      </c>
      <c r="S25">
        <f t="shared" si="12"/>
        <v>0.99999992548699046</v>
      </c>
      <c r="T25">
        <f t="shared" si="13"/>
        <v>-3.8603888565538584E-4</v>
      </c>
      <c r="U25">
        <f t="shared" si="14"/>
        <v>0.99999992350781153</v>
      </c>
      <c r="V25">
        <f t="shared" si="15"/>
        <v>-3.9113217567553931E-4</v>
      </c>
      <c r="X25">
        <f t="shared" si="34"/>
        <v>47.401399032464305</v>
      </c>
      <c r="Y25">
        <f t="shared" si="16"/>
        <v>-88.489690123218168</v>
      </c>
      <c r="Z25">
        <f t="shared" si="35"/>
        <v>91.510309876781832</v>
      </c>
      <c r="AC25">
        <v>1</v>
      </c>
      <c r="AD25">
        <f t="shared" si="17"/>
        <v>1.5710476524119998E-2</v>
      </c>
      <c r="AE25">
        <f t="shared" si="18"/>
        <v>-9.4763361746252045E-10</v>
      </c>
      <c r="AF25">
        <f t="shared" si="19"/>
        <v>2.4227962516799997E-6</v>
      </c>
      <c r="AG25">
        <f t="shared" si="36"/>
        <v>6323.0005305876866</v>
      </c>
      <c r="AH25">
        <f t="shared" si="37"/>
        <v>-412748.69531205867</v>
      </c>
      <c r="AJ25">
        <f t="shared" si="20"/>
        <v>26400</v>
      </c>
      <c r="AK25">
        <f t="shared" si="21"/>
        <v>10.191427087564801</v>
      </c>
      <c r="AL25">
        <v>1</v>
      </c>
      <c r="AM25">
        <f t="shared" si="22"/>
        <v>1.3656126258432001E-2</v>
      </c>
      <c r="AN25">
        <f t="shared" si="38"/>
        <v>26395.216737136925</v>
      </c>
      <c r="AO25">
        <f t="shared" si="39"/>
        <v>-350.26498529345463</v>
      </c>
      <c r="AQ25">
        <f t="shared" si="23"/>
        <v>9750.3900156006239</v>
      </c>
      <c r="AR25">
        <f t="shared" si="24"/>
        <v>-1560.0624024960998</v>
      </c>
      <c r="AT25">
        <f t="shared" si="52"/>
        <v>-582261999.9935813</v>
      </c>
      <c r="AU25">
        <f t="shared" si="53"/>
        <v>-4034325033.1216135</v>
      </c>
      <c r="AV25">
        <f t="shared" si="42"/>
        <v>-1.7141335369898871</v>
      </c>
      <c r="AW25">
        <f t="shared" si="25"/>
        <v>256863894.18728274</v>
      </c>
      <c r="AX25">
        <f t="shared" si="26"/>
        <v>-51817008.160822831</v>
      </c>
      <c r="AY25">
        <f t="shared" si="50"/>
        <v>-0.19905792339250378</v>
      </c>
      <c r="BA25">
        <f t="shared" si="27"/>
        <v>15.555461838259681</v>
      </c>
      <c r="BB25">
        <f t="shared" si="43"/>
        <v>23.837658194886323</v>
      </c>
      <c r="BC25">
        <f t="shared" si="44"/>
        <v>-1.5150756135973833</v>
      </c>
      <c r="BD25">
        <f t="shared" si="28"/>
        <v>-266.80743840151553</v>
      </c>
      <c r="BF25">
        <f t="shared" si="29"/>
        <v>47.355593309533944</v>
      </c>
      <c r="BG25">
        <f t="shared" si="30"/>
        <v>-86.935059622823957</v>
      </c>
      <c r="BH25">
        <f t="shared" si="45"/>
        <v>93.064940377176043</v>
      </c>
      <c r="BI25">
        <f t="shared" si="46"/>
        <v>93.064940377176043</v>
      </c>
      <c r="BJ25">
        <f t="shared" si="31"/>
        <v>0</v>
      </c>
      <c r="BK25">
        <f t="shared" si="47"/>
        <v>0</v>
      </c>
      <c r="BM25">
        <f t="shared" si="48"/>
        <v>23.517935114647621</v>
      </c>
      <c r="BN25">
        <f t="shared" si="32"/>
        <v>-0.12762122130842518</v>
      </c>
      <c r="BQ25" s="56">
        <f t="shared" si="49"/>
        <v>40.739618995171455</v>
      </c>
      <c r="BR25" s="58"/>
      <c r="BS25" s="58"/>
      <c r="BT25" s="58">
        <v>141.25399999999999</v>
      </c>
      <c r="BU25" s="58">
        <v>32.377000000000002</v>
      </c>
      <c r="BV25" s="58">
        <v>-263.11430000000001</v>
      </c>
      <c r="BW25" s="61"/>
      <c r="BY25" s="58"/>
      <c r="BZ25" s="58"/>
      <c r="CA25" s="58"/>
      <c r="CC25" s="58"/>
    </row>
    <row r="26" spans="1:81" x14ac:dyDescent="0.2">
      <c r="A26">
        <f t="shared" si="51"/>
        <v>90</v>
      </c>
      <c r="B26">
        <f t="shared" si="33"/>
        <v>0.09</v>
      </c>
      <c r="C26">
        <f t="shared" si="0"/>
        <v>1.0000000000614224</v>
      </c>
      <c r="D26">
        <f t="shared" si="1"/>
        <v>1.1083538868746149E-5</v>
      </c>
      <c r="F26">
        <f t="shared" si="2"/>
        <v>0.99958349925552847</v>
      </c>
      <c r="G26">
        <f t="shared" si="3"/>
        <v>-2.5169996274430561E-3</v>
      </c>
      <c r="H26">
        <f t="shared" si="4"/>
        <v>-2.5169996274430561E-3</v>
      </c>
      <c r="J26">
        <f t="shared" si="5"/>
        <v>15</v>
      </c>
      <c r="M26">
        <f t="shared" si="6"/>
        <v>13.897179198080075</v>
      </c>
      <c r="N26">
        <f t="shared" si="7"/>
        <v>-1.5707963250000001</v>
      </c>
      <c r="O26">
        <f t="shared" si="8"/>
        <v>1.0001561779986055</v>
      </c>
      <c r="P26">
        <f t="shared" si="9"/>
        <v>1.7672446067708063E-2</v>
      </c>
      <c r="Q26">
        <f t="shared" si="10"/>
        <v>1.0001180061039616</v>
      </c>
      <c r="R26">
        <f t="shared" si="11"/>
        <v>1.5361933510874099E-2</v>
      </c>
      <c r="S26">
        <f t="shared" si="12"/>
        <v>0.99999990569447483</v>
      </c>
      <c r="T26">
        <f t="shared" si="13"/>
        <v>-4.3429374063179806E-4</v>
      </c>
      <c r="U26">
        <f t="shared" si="14"/>
        <v>0.99999990318957699</v>
      </c>
      <c r="V26">
        <f t="shared" si="15"/>
        <v>-4.4002369167464459E-4</v>
      </c>
      <c r="X26">
        <f t="shared" si="34"/>
        <v>46.379119606807222</v>
      </c>
      <c r="Y26">
        <f t="shared" si="16"/>
        <v>-88.300942583887746</v>
      </c>
      <c r="Z26">
        <f t="shared" si="35"/>
        <v>91.699057416112254</v>
      </c>
      <c r="AC26">
        <v>1</v>
      </c>
      <c r="AD26">
        <f t="shared" si="17"/>
        <v>1.7674286089635002E-2</v>
      </c>
      <c r="AE26">
        <f t="shared" si="18"/>
        <v>-1.1993487971010023E-9</v>
      </c>
      <c r="AF26">
        <f t="shared" si="19"/>
        <v>2.7256457831400001E-6</v>
      </c>
      <c r="AG26">
        <f t="shared" si="36"/>
        <v>6323.0002736432525</v>
      </c>
      <c r="AH26">
        <f t="shared" si="37"/>
        <v>-366888.31309941632</v>
      </c>
      <c r="AJ26">
        <f t="shared" si="20"/>
        <v>26400</v>
      </c>
      <c r="AK26">
        <f t="shared" si="21"/>
        <v>11.465355473510401</v>
      </c>
      <c r="AL26">
        <v>1</v>
      </c>
      <c r="AM26">
        <f t="shared" si="22"/>
        <v>1.5363142040736003E-2</v>
      </c>
      <c r="AN26">
        <f t="shared" si="38"/>
        <v>26393.946482752151</v>
      </c>
      <c r="AO26">
        <f t="shared" si="39"/>
        <v>-394.02859335659537</v>
      </c>
      <c r="AQ26">
        <f t="shared" si="23"/>
        <v>9686.1681518791174</v>
      </c>
      <c r="AR26">
        <f t="shared" si="24"/>
        <v>-1743.510267338241</v>
      </c>
      <c r="AT26">
        <f t="shared" si="52"/>
        <v>-578427896.98035336</v>
      </c>
      <c r="AU26">
        <f t="shared" si="53"/>
        <v>-3564766109.5376997</v>
      </c>
      <c r="AV26">
        <f t="shared" si="42"/>
        <v>-1.7316568426500607</v>
      </c>
      <c r="AW26">
        <f t="shared" si="25"/>
        <v>255015880.65031469</v>
      </c>
      <c r="AX26">
        <f t="shared" si="26"/>
        <v>-56255852.456845604</v>
      </c>
      <c r="AY26">
        <f t="shared" si="50"/>
        <v>-0.21712009988937583</v>
      </c>
      <c r="BA26">
        <f t="shared" si="27"/>
        <v>13.828947225604582</v>
      </c>
      <c r="BB26">
        <f t="shared" si="43"/>
        <v>22.815782385246738</v>
      </c>
      <c r="BC26">
        <f t="shared" si="44"/>
        <v>-1.5145367427606848</v>
      </c>
      <c r="BD26">
        <f t="shared" si="28"/>
        <v>-266.77656337683476</v>
      </c>
      <c r="BF26">
        <f t="shared" si="29"/>
        <v>46.333989133800856</v>
      </c>
      <c r="BG26">
        <f t="shared" si="30"/>
        <v>-86.920141792688057</v>
      </c>
      <c r="BH26">
        <f t="shared" si="45"/>
        <v>93.079858207311943</v>
      </c>
      <c r="BI26">
        <f t="shared" si="46"/>
        <v>93.079858207311943</v>
      </c>
      <c r="BJ26">
        <f t="shared" si="31"/>
        <v>0</v>
      </c>
      <c r="BK26">
        <f t="shared" si="47"/>
        <v>0</v>
      </c>
      <c r="BM26">
        <f t="shared" si="48"/>
        <v>23.518206748554125</v>
      </c>
      <c r="BN26">
        <f t="shared" si="32"/>
        <v>-0.14357841585330158</v>
      </c>
      <c r="BQ26" s="56">
        <f t="shared" si="49"/>
        <v>39.717743185531873</v>
      </c>
      <c r="BR26" s="58"/>
      <c r="BS26" s="58"/>
      <c r="BT26" s="58">
        <v>144.54400000000001</v>
      </c>
      <c r="BU26" s="58">
        <v>31.499099999999999</v>
      </c>
      <c r="BV26" s="58">
        <v>-266.2885</v>
      </c>
      <c r="BW26" s="61"/>
      <c r="BY26" s="58"/>
      <c r="BZ26" s="58"/>
      <c r="CA26" s="58"/>
      <c r="CC26" s="58"/>
    </row>
    <row r="27" spans="1:81" x14ac:dyDescent="0.2">
      <c r="A27">
        <f t="shared" si="51"/>
        <v>100</v>
      </c>
      <c r="B27">
        <f t="shared" si="33"/>
        <v>0.1</v>
      </c>
      <c r="C27">
        <f t="shared" si="0"/>
        <v>1.00000000007583</v>
      </c>
      <c r="D27">
        <f t="shared" si="1"/>
        <v>1.2315043187377434E-5</v>
      </c>
      <c r="F27">
        <f t="shared" si="2"/>
        <v>0.99961843858807309</v>
      </c>
      <c r="G27">
        <f t="shared" si="3"/>
        <v>-2.7967647000294409E-3</v>
      </c>
      <c r="H27">
        <f t="shared" si="4"/>
        <v>-2.7967647000294409E-3</v>
      </c>
      <c r="J27">
        <f t="shared" si="5"/>
        <v>15</v>
      </c>
      <c r="M27">
        <f t="shared" si="6"/>
        <v>12.507461278272066</v>
      </c>
      <c r="N27">
        <f t="shared" si="7"/>
        <v>-1.5707963250000001</v>
      </c>
      <c r="O27">
        <f t="shared" si="8"/>
        <v>1.0001928088128613</v>
      </c>
      <c r="P27">
        <f t="shared" si="9"/>
        <v>1.9635571730518744E-2</v>
      </c>
      <c r="Q27">
        <f t="shared" si="10"/>
        <v>1.0001456845320602</v>
      </c>
      <c r="R27">
        <f t="shared" si="11"/>
        <v>1.706850008679062E-2</v>
      </c>
      <c r="S27">
        <f t="shared" si="12"/>
        <v>0.99999988357342962</v>
      </c>
      <c r="T27">
        <f t="shared" si="13"/>
        <v>-4.8254859358567732E-4</v>
      </c>
      <c r="U27">
        <f t="shared" si="14"/>
        <v>0.99999988048096322</v>
      </c>
      <c r="V27">
        <f t="shared" si="15"/>
        <v>-4.8891520557010188E-4</v>
      </c>
      <c r="X27">
        <f t="shared" si="34"/>
        <v>45.464831502445627</v>
      </c>
      <c r="Y27">
        <f t="shared" si="16"/>
        <v>-88.112209581011058</v>
      </c>
      <c r="Z27">
        <f t="shared" si="35"/>
        <v>91.887790418988942</v>
      </c>
      <c r="AC27">
        <v>1</v>
      </c>
      <c r="AD27">
        <f t="shared" si="17"/>
        <v>1.9638095655150001E-2</v>
      </c>
      <c r="AE27">
        <f t="shared" si="18"/>
        <v>-1.4806775272851881E-9</v>
      </c>
      <c r="AF27">
        <f t="shared" si="19"/>
        <v>3.0284953146000001E-6</v>
      </c>
      <c r="AG27">
        <f t="shared" si="36"/>
        <v>6322.9999864700876</v>
      </c>
      <c r="AH27">
        <f t="shared" si="37"/>
        <v>-330200.06915746705</v>
      </c>
      <c r="AJ27">
        <f t="shared" si="20"/>
        <v>26400</v>
      </c>
      <c r="AK27">
        <f t="shared" si="21"/>
        <v>12.739283859456</v>
      </c>
      <c r="AL27">
        <v>1</v>
      </c>
      <c r="AM27">
        <f t="shared" si="22"/>
        <v>1.7070157823040003E-2</v>
      </c>
      <c r="AN27">
        <f t="shared" si="38"/>
        <v>26392.526935558504</v>
      </c>
      <c r="AO27">
        <f t="shared" si="39"/>
        <v>-437.78531627936201</v>
      </c>
      <c r="AQ27">
        <f t="shared" si="23"/>
        <v>9615.3846153846152</v>
      </c>
      <c r="AR27">
        <f t="shared" si="24"/>
        <v>-1923.0769230769231</v>
      </c>
      <c r="AT27">
        <f t="shared" si="52"/>
        <v>-574202056.20214736</v>
      </c>
      <c r="AU27">
        <f t="shared" si="53"/>
        <v>-3187160280.3342409</v>
      </c>
      <c r="AV27">
        <f t="shared" si="42"/>
        <v>-1.7490452301198287</v>
      </c>
      <c r="AW27">
        <f t="shared" si="25"/>
        <v>252979070.14880711</v>
      </c>
      <c r="AX27">
        <f t="shared" si="26"/>
        <v>-60743460.500870422</v>
      </c>
      <c r="AY27">
        <f t="shared" si="50"/>
        <v>-0.23565143882791653</v>
      </c>
      <c r="BA27">
        <f t="shared" si="27"/>
        <v>12.447544520074027</v>
      </c>
      <c r="BB27">
        <f t="shared" si="43"/>
        <v>21.901673765088375</v>
      </c>
      <c r="BC27">
        <f t="shared" si="44"/>
        <v>-1.5133937912919122</v>
      </c>
      <c r="BD27">
        <f t="shared" si="28"/>
        <v>-266.71107708141096</v>
      </c>
      <c r="BF27">
        <f t="shared" si="29"/>
        <v>45.420184114100152</v>
      </c>
      <c r="BG27">
        <f t="shared" si="30"/>
        <v>-86.870614295196972</v>
      </c>
      <c r="BH27">
        <f t="shared" si="45"/>
        <v>93.129385704803028</v>
      </c>
      <c r="BI27">
        <f t="shared" si="46"/>
        <v>93.129385704803028</v>
      </c>
      <c r="BJ27">
        <f t="shared" si="31"/>
        <v>0</v>
      </c>
      <c r="BK27">
        <f t="shared" si="47"/>
        <v>0</v>
      </c>
      <c r="BM27">
        <f t="shared" si="48"/>
        <v>23.518510349011773</v>
      </c>
      <c r="BN27">
        <f t="shared" si="32"/>
        <v>-0.15953721378599844</v>
      </c>
      <c r="BQ27" s="56">
        <f t="shared" si="49"/>
        <v>38.803634565373514</v>
      </c>
      <c r="BR27" s="58"/>
      <c r="BS27" s="58"/>
      <c r="BT27" s="58">
        <v>147.911</v>
      </c>
      <c r="BU27" s="58">
        <v>31.4819</v>
      </c>
      <c r="BV27" s="58">
        <v>-266.34629999999999</v>
      </c>
      <c r="BW27" s="61"/>
      <c r="BY27" s="58"/>
      <c r="BZ27" s="58"/>
      <c r="CA27" s="58"/>
      <c r="CC27" s="58"/>
    </row>
    <row r="28" spans="1:81" x14ac:dyDescent="0.2">
      <c r="A28">
        <f t="shared" si="51"/>
        <v>200</v>
      </c>
      <c r="B28">
        <f t="shared" si="33"/>
        <v>0.2</v>
      </c>
      <c r="C28">
        <f t="shared" si="0"/>
        <v>1.0000000003033205</v>
      </c>
      <c r="D28">
        <f t="shared" si="1"/>
        <v>2.4630086371019464E-5</v>
      </c>
      <c r="F28">
        <f t="shared" si="2"/>
        <v>1.0001704292237799</v>
      </c>
      <c r="G28">
        <f t="shared" si="3"/>
        <v>-5.5966400750716364E-3</v>
      </c>
      <c r="H28">
        <f t="shared" si="4"/>
        <v>-5.5966400750716364E-3</v>
      </c>
      <c r="J28">
        <f t="shared" si="5"/>
        <v>15</v>
      </c>
      <c r="M28">
        <f t="shared" si="6"/>
        <v>6.253730639136033</v>
      </c>
      <c r="N28">
        <f t="shared" si="7"/>
        <v>-1.5707963250000001</v>
      </c>
      <c r="O28">
        <f t="shared" si="8"/>
        <v>1.0007710123718829</v>
      </c>
      <c r="P28">
        <f t="shared" si="9"/>
        <v>3.9256013913644139E-2</v>
      </c>
      <c r="Q28">
        <f t="shared" si="10"/>
        <v>1.0005826108585008</v>
      </c>
      <c r="R28">
        <f t="shared" si="11"/>
        <v>3.4127060705962511E-2</v>
      </c>
      <c r="S28">
        <f t="shared" si="12"/>
        <v>0.99999953429396271</v>
      </c>
      <c r="T28">
        <f t="shared" si="13"/>
        <v>-9.6509696244554387E-4</v>
      </c>
      <c r="U28">
        <f t="shared" si="14"/>
        <v>0.99999952192411012</v>
      </c>
      <c r="V28">
        <f t="shared" si="15"/>
        <v>-9.7783017740161321E-4</v>
      </c>
      <c r="X28">
        <f t="shared" si="34"/>
        <v>39.457833984800288</v>
      </c>
      <c r="Y28">
        <f t="shared" si="16"/>
        <v>-86.22603371306252</v>
      </c>
      <c r="Z28">
        <f t="shared" si="35"/>
        <v>93.77396628693748</v>
      </c>
      <c r="AC28">
        <v>1</v>
      </c>
      <c r="AD28">
        <f t="shared" si="17"/>
        <v>3.9276191310300003E-2</v>
      </c>
      <c r="AE28">
        <f t="shared" si="18"/>
        <v>-5.9227101091407525E-9</v>
      </c>
      <c r="AF28">
        <f t="shared" si="19"/>
        <v>6.0569906292000001E-6</v>
      </c>
      <c r="AG28">
        <f t="shared" si="36"/>
        <v>6322.9954521604041</v>
      </c>
      <c r="AH28">
        <f t="shared" si="37"/>
        <v>-165104.67169092654</v>
      </c>
      <c r="AJ28">
        <f t="shared" si="20"/>
        <v>26400</v>
      </c>
      <c r="AK28">
        <f t="shared" si="21"/>
        <v>25.478567718912</v>
      </c>
      <c r="AL28">
        <v>1</v>
      </c>
      <c r="AM28">
        <f t="shared" si="22"/>
        <v>3.4140315646080006E-2</v>
      </c>
      <c r="AN28">
        <f t="shared" si="38"/>
        <v>26370.133842753065</v>
      </c>
      <c r="AO28">
        <f t="shared" si="39"/>
        <v>-874.80612530205428</v>
      </c>
      <c r="AQ28">
        <f t="shared" si="23"/>
        <v>8620.689655172413</v>
      </c>
      <c r="AR28">
        <f t="shared" si="24"/>
        <v>-3448.2758620689651</v>
      </c>
      <c r="AT28">
        <f t="shared" si="52"/>
        <v>-514817872.62250179</v>
      </c>
      <c r="AU28">
        <f t="shared" si="53"/>
        <v>-1445119567.8602645</v>
      </c>
      <c r="AV28">
        <f t="shared" si="42"/>
        <v>-1.9130245201710188</v>
      </c>
      <c r="AW28">
        <f t="shared" si="25"/>
        <v>224358800.09356493</v>
      </c>
      <c r="AX28">
        <f t="shared" si="26"/>
        <v>-101363509.90554827</v>
      </c>
      <c r="AY28">
        <f t="shared" si="50"/>
        <v>-0.42434315094509295</v>
      </c>
      <c r="BA28">
        <f t="shared" si="27"/>
        <v>6.2311949646537199</v>
      </c>
      <c r="BB28">
        <f t="shared" si="43"/>
        <v>15.891426797679511</v>
      </c>
      <c r="BC28">
        <f t="shared" si="44"/>
        <v>-1.4886813692259258</v>
      </c>
      <c r="BD28">
        <f t="shared" si="28"/>
        <v>-265.29515959386606</v>
      </c>
      <c r="BF28">
        <f t="shared" si="29"/>
        <v>39.414732184725231</v>
      </c>
      <c r="BG28">
        <f t="shared" si="30"/>
        <v>-85.614412249988149</v>
      </c>
      <c r="BH28">
        <f t="shared" si="45"/>
        <v>94.385587750011851</v>
      </c>
      <c r="BI28">
        <f t="shared" si="46"/>
        <v>94.385587750011851</v>
      </c>
      <c r="BJ28">
        <f t="shared" si="31"/>
        <v>0</v>
      </c>
      <c r="BK28">
        <f t="shared" si="47"/>
        <v>0</v>
      </c>
      <c r="BM28">
        <f t="shared" si="48"/>
        <v>23.523305387045717</v>
      </c>
      <c r="BN28">
        <f t="shared" si="32"/>
        <v>-0.31925265612208226</v>
      </c>
      <c r="BQ28" s="56">
        <f t="shared" si="49"/>
        <v>32.793387597964653</v>
      </c>
      <c r="BR28" s="58"/>
      <c r="BS28" s="58"/>
      <c r="BT28" s="58">
        <v>151.35599999999999</v>
      </c>
      <c r="BU28" s="58">
        <v>31.0519</v>
      </c>
      <c r="BV28" s="58">
        <v>-267.0283</v>
      </c>
      <c r="BW28" s="61"/>
      <c r="BY28" s="58"/>
      <c r="BZ28" s="58"/>
      <c r="CA28" s="58"/>
      <c r="CC28" s="58"/>
    </row>
    <row r="29" spans="1:81" x14ac:dyDescent="0.2">
      <c r="A29">
        <f t="shared" si="51"/>
        <v>300</v>
      </c>
      <c r="B29">
        <f t="shared" si="33"/>
        <v>0.3</v>
      </c>
      <c r="C29">
        <f t="shared" si="0"/>
        <v>1.0000000006824712</v>
      </c>
      <c r="D29">
        <f t="shared" si="1"/>
        <v>3.6945129547190676E-5</v>
      </c>
      <c r="F29">
        <f t="shared" si="2"/>
        <v>1.0010917403508521</v>
      </c>
      <c r="G29">
        <f t="shared" si="3"/>
        <v>-8.4027481801480057E-3</v>
      </c>
      <c r="H29">
        <f t="shared" si="4"/>
        <v>-8.4027481801480057E-3</v>
      </c>
      <c r="J29">
        <f t="shared" si="5"/>
        <v>15</v>
      </c>
      <c r="M29">
        <f t="shared" si="6"/>
        <v>4.169153759424022</v>
      </c>
      <c r="N29">
        <f t="shared" si="7"/>
        <v>-1.5707963250000001</v>
      </c>
      <c r="O29">
        <f t="shared" si="8"/>
        <v>1.0017339433245973</v>
      </c>
      <c r="P29">
        <f t="shared" si="9"/>
        <v>5.8846266830892557E-2</v>
      </c>
      <c r="Q29">
        <f t="shared" si="10"/>
        <v>1.0013103977253663</v>
      </c>
      <c r="R29">
        <f t="shared" si="11"/>
        <v>5.1165777074329837E-2</v>
      </c>
      <c r="S29">
        <f t="shared" si="12"/>
        <v>0.99999895216233092</v>
      </c>
      <c r="T29">
        <f t="shared" si="13"/>
        <v>-1.4476448818544166E-3</v>
      </c>
      <c r="U29">
        <f t="shared" si="14"/>
        <v>0.99999892433021209</v>
      </c>
      <c r="V29">
        <f t="shared" si="15"/>
        <v>-1.4667446817566139E-3</v>
      </c>
      <c r="X29">
        <f t="shared" si="34"/>
        <v>35.958664869486242</v>
      </c>
      <c r="Y29">
        <f t="shared" si="16"/>
        <v>-84.34308161104785</v>
      </c>
      <c r="Z29">
        <f t="shared" si="35"/>
        <v>95.65691838895215</v>
      </c>
      <c r="AC29">
        <v>1</v>
      </c>
      <c r="AD29">
        <f t="shared" si="17"/>
        <v>5.8914286965450001E-2</v>
      </c>
      <c r="AE29">
        <f t="shared" si="18"/>
        <v>-1.3326097745566694E-8</v>
      </c>
      <c r="AF29">
        <f t="shared" si="19"/>
        <v>9.0854859437999989E-6</v>
      </c>
      <c r="AG29">
        <f t="shared" si="36"/>
        <v>6322.9878949920503</v>
      </c>
      <c r="AH29">
        <f t="shared" si="37"/>
        <v>-110074.93346431265</v>
      </c>
      <c r="AJ29">
        <f t="shared" si="20"/>
        <v>26400</v>
      </c>
      <c r="AK29">
        <f t="shared" si="21"/>
        <v>38.217851578368006</v>
      </c>
      <c r="AL29">
        <v>1</v>
      </c>
      <c r="AM29">
        <f t="shared" si="22"/>
        <v>5.1210473469120006E-2</v>
      </c>
      <c r="AN29">
        <f t="shared" si="38"/>
        <v>26332.898795574522</v>
      </c>
      <c r="AO29">
        <f t="shared" si="39"/>
        <v>-1310.3023635574232</v>
      </c>
      <c r="AQ29">
        <f t="shared" si="23"/>
        <v>7352.9411764705892</v>
      </c>
      <c r="AR29">
        <f t="shared" si="24"/>
        <v>-4411.7647058823532</v>
      </c>
      <c r="AT29">
        <f t="shared" si="52"/>
        <v>-439132148.40879071</v>
      </c>
      <c r="AU29">
        <f t="shared" si="53"/>
        <v>-837270045.59785211</v>
      </c>
      <c r="AV29">
        <f t="shared" si="42"/>
        <v>-2.0538363049163446</v>
      </c>
      <c r="AW29">
        <f t="shared" si="25"/>
        <v>187890085.48669997</v>
      </c>
      <c r="AX29">
        <f t="shared" si="26"/>
        <v>-127737313.14136165</v>
      </c>
      <c r="AY29">
        <f t="shared" si="50"/>
        <v>-0.59707494802475514</v>
      </c>
      <c r="BA29">
        <f t="shared" si="27"/>
        <v>4.1612843035607661</v>
      </c>
      <c r="BB29">
        <f t="shared" si="43"/>
        <v>12.384547765749243</v>
      </c>
      <c r="BC29">
        <f t="shared" si="44"/>
        <v>-1.4567613568915894</v>
      </c>
      <c r="BD29">
        <f t="shared" si="28"/>
        <v>-263.46627760301328</v>
      </c>
      <c r="BF29">
        <f t="shared" si="29"/>
        <v>35.915850516413187</v>
      </c>
      <c r="BG29">
        <f t="shared" si="30"/>
        <v>-83.945602810598061</v>
      </c>
      <c r="BH29">
        <f t="shared" si="45"/>
        <v>96.054397189401939</v>
      </c>
      <c r="BI29">
        <f t="shared" si="46"/>
        <v>96.054397189401939</v>
      </c>
      <c r="BJ29">
        <f t="shared" si="31"/>
        <v>0</v>
      </c>
      <c r="BK29">
        <f t="shared" si="47"/>
        <v>0</v>
      </c>
      <c r="BM29">
        <f t="shared" si="48"/>
        <v>23.531302750663947</v>
      </c>
      <c r="BN29">
        <f t="shared" si="32"/>
        <v>-0.47932520758480468</v>
      </c>
      <c r="BQ29" s="56">
        <f t="shared" si="49"/>
        <v>29.286508566034382</v>
      </c>
      <c r="BR29" s="58"/>
      <c r="BS29" s="58"/>
      <c r="BT29" s="58">
        <v>154.88200000000001</v>
      </c>
      <c r="BU29" s="58">
        <v>31.248699999999999</v>
      </c>
      <c r="BV29" s="58">
        <v>-260.69729999999998</v>
      </c>
      <c r="BW29" s="61"/>
      <c r="BY29" s="58"/>
      <c r="BZ29" s="58"/>
      <c r="CA29" s="58"/>
      <c r="CC29" s="58"/>
    </row>
    <row r="30" spans="1:81" x14ac:dyDescent="0.2">
      <c r="A30">
        <f t="shared" si="51"/>
        <v>400</v>
      </c>
      <c r="B30">
        <f t="shared" si="33"/>
        <v>0.4</v>
      </c>
      <c r="C30">
        <f t="shared" si="0"/>
        <v>1.0000000012132824</v>
      </c>
      <c r="D30">
        <f t="shared" si="1"/>
        <v>4.9260172712155679E-5</v>
      </c>
      <c r="F30">
        <f t="shared" si="2"/>
        <v>1.0023843694399321</v>
      </c>
      <c r="G30">
        <f t="shared" si="3"/>
        <v>-1.1218233916551626E-2</v>
      </c>
      <c r="H30">
        <f t="shared" si="4"/>
        <v>-1.1218233916551626E-2</v>
      </c>
      <c r="J30">
        <f t="shared" si="5"/>
        <v>15</v>
      </c>
      <c r="M30">
        <f t="shared" si="6"/>
        <v>3.1268653195680165</v>
      </c>
      <c r="N30">
        <f t="shared" si="7"/>
        <v>-1.5707963250000001</v>
      </c>
      <c r="O30">
        <f t="shared" si="8"/>
        <v>1.0030804936870088</v>
      </c>
      <c r="P30">
        <f t="shared" si="9"/>
        <v>7.8391409617836444E-2</v>
      </c>
      <c r="Q30">
        <f t="shared" si="10"/>
        <v>1.002328411554644</v>
      </c>
      <c r="R30">
        <f t="shared" si="11"/>
        <v>6.8174813475544604E-2</v>
      </c>
      <c r="S30">
        <f t="shared" si="12"/>
        <v>0.99999813717975461</v>
      </c>
      <c r="T30">
        <f t="shared" si="13"/>
        <v>-1.9301921270883692E-3</v>
      </c>
      <c r="U30">
        <f t="shared" si="14"/>
        <v>0.99999808770055476</v>
      </c>
      <c r="V30">
        <f t="shared" si="15"/>
        <v>-1.9556584848985249E-3</v>
      </c>
      <c r="X30">
        <f t="shared" si="34"/>
        <v>33.491578151301205</v>
      </c>
      <c r="Y30">
        <f t="shared" si="16"/>
        <v>-82.464951885865958</v>
      </c>
      <c r="Z30">
        <f t="shared" si="35"/>
        <v>97.535048114134042</v>
      </c>
      <c r="AC30">
        <v>1</v>
      </c>
      <c r="AD30">
        <f t="shared" si="17"/>
        <v>7.8552382620600006E-2</v>
      </c>
      <c r="AE30">
        <f t="shared" si="18"/>
        <v>-2.369084043656301E-8</v>
      </c>
      <c r="AF30">
        <f t="shared" si="19"/>
        <v>1.21139812584E-5</v>
      </c>
      <c r="AG30">
        <f t="shared" si="36"/>
        <v>6322.9773149867024</v>
      </c>
      <c r="AH30">
        <f t="shared" si="37"/>
        <v>-82561.610036596001</v>
      </c>
      <c r="AJ30">
        <f t="shared" si="20"/>
        <v>26400</v>
      </c>
      <c r="AK30">
        <f t="shared" si="21"/>
        <v>50.957135437824</v>
      </c>
      <c r="AL30">
        <v>1</v>
      </c>
      <c r="AM30">
        <f t="shared" si="22"/>
        <v>6.8280631292160013E-2</v>
      </c>
      <c r="AN30">
        <f t="shared" si="38"/>
        <v>26280.951162482623</v>
      </c>
      <c r="AO30">
        <f t="shared" si="39"/>
        <v>-1743.5228008949161</v>
      </c>
      <c r="AQ30">
        <f t="shared" si="23"/>
        <v>6097.5609756097556</v>
      </c>
      <c r="AR30">
        <f t="shared" si="24"/>
        <v>-4878.0487804878048</v>
      </c>
      <c r="AT30">
        <f t="shared" si="52"/>
        <v>-364184821.42859817</v>
      </c>
      <c r="AU30">
        <f t="shared" si="53"/>
        <v>-534268243.22308141</v>
      </c>
      <c r="AV30">
        <f t="shared" si="42"/>
        <v>-2.1691015178855113</v>
      </c>
      <c r="AW30">
        <f t="shared" si="25"/>
        <v>151791207.99635375</v>
      </c>
      <c r="AX30">
        <f t="shared" si="26"/>
        <v>-140278317.17710927</v>
      </c>
      <c r="AY30">
        <f t="shared" si="50"/>
        <v>-0.74600023771706991</v>
      </c>
      <c r="BA30">
        <f t="shared" si="27"/>
        <v>3.1283673445391234</v>
      </c>
      <c r="BB30">
        <f t="shared" si="43"/>
        <v>9.9063548771378809</v>
      </c>
      <c r="BC30">
        <f t="shared" si="44"/>
        <v>-1.4231012801684413</v>
      </c>
      <c r="BD30">
        <f t="shared" si="28"/>
        <v>-261.53769726648659</v>
      </c>
      <c r="BF30">
        <f t="shared" si="29"/>
        <v>33.448865787192737</v>
      </c>
      <c r="BG30">
        <f t="shared" si="30"/>
        <v>-82.177632324232263</v>
      </c>
      <c r="BH30">
        <f t="shared" si="45"/>
        <v>97.822367675767737</v>
      </c>
      <c r="BI30">
        <f t="shared" si="46"/>
        <v>97.822367675767737</v>
      </c>
      <c r="BJ30">
        <f t="shared" si="31"/>
        <v>0</v>
      </c>
      <c r="BK30">
        <f t="shared" si="47"/>
        <v>0</v>
      </c>
      <c r="BM30">
        <f t="shared" si="48"/>
        <v>23.542510910054855</v>
      </c>
      <c r="BN30">
        <f t="shared" si="32"/>
        <v>-0.63993505774566428</v>
      </c>
      <c r="BQ30" s="56">
        <f t="shared" si="49"/>
        <v>26.808315677423021</v>
      </c>
      <c r="BR30" s="58"/>
      <c r="BS30" s="58"/>
      <c r="BT30" s="58">
        <v>158.489</v>
      </c>
      <c r="BU30" s="58">
        <v>31.003699999999998</v>
      </c>
      <c r="BV30" s="58">
        <v>-259.86900000000003</v>
      </c>
      <c r="BW30" s="61"/>
      <c r="BY30" s="58"/>
      <c r="BZ30" s="58"/>
      <c r="CA30" s="58"/>
      <c r="CC30" s="58"/>
    </row>
    <row r="31" spans="1:81" x14ac:dyDescent="0.2">
      <c r="A31">
        <f t="shared" si="51"/>
        <v>500</v>
      </c>
      <c r="B31">
        <f t="shared" si="33"/>
        <v>0.5</v>
      </c>
      <c r="C31">
        <f t="shared" si="0"/>
        <v>1.0000000018957536</v>
      </c>
      <c r="D31">
        <f t="shared" si="1"/>
        <v>6.1575215862179049E-5</v>
      </c>
      <c r="F31">
        <f t="shared" si="2"/>
        <v>1.0040511277615696</v>
      </c>
      <c r="G31">
        <f t="shared" si="3"/>
        <v>-1.4046276671723961E-2</v>
      </c>
      <c r="H31">
        <f t="shared" si="4"/>
        <v>-1.4046276671723961E-2</v>
      </c>
      <c r="J31">
        <f t="shared" si="5"/>
        <v>15</v>
      </c>
      <c r="M31">
        <f t="shared" si="6"/>
        <v>2.5014922556544135</v>
      </c>
      <c r="N31">
        <f t="shared" si="7"/>
        <v>-1.5707963250000001</v>
      </c>
      <c r="O31">
        <f t="shared" si="8"/>
        <v>1.0048091211887065</v>
      </c>
      <c r="P31">
        <f t="shared" si="9"/>
        <v>9.7876727698938792E-2</v>
      </c>
      <c r="Q31">
        <f t="shared" si="10"/>
        <v>1.0036357691924831</v>
      </c>
      <c r="R31">
        <f t="shared" si="11"/>
        <v>8.5144437043343332E-2</v>
      </c>
      <c r="S31">
        <f t="shared" si="12"/>
        <v>0.99999708934794151</v>
      </c>
      <c r="T31">
        <f t="shared" si="13"/>
        <v>-2.4127384734253577E-3</v>
      </c>
      <c r="U31">
        <f t="shared" si="14"/>
        <v>0.99999701203693792</v>
      </c>
      <c r="V31">
        <f t="shared" si="15"/>
        <v>-2.4445713530927781E-3</v>
      </c>
      <c r="X31">
        <f t="shared" si="34"/>
        <v>31.594067777190137</v>
      </c>
      <c r="Y31">
        <f t="shared" si="16"/>
        <v>-80.59322741196813</v>
      </c>
      <c r="Z31">
        <f t="shared" si="35"/>
        <v>99.40677258803187</v>
      </c>
      <c r="AC31">
        <v>1</v>
      </c>
      <c r="AD31">
        <f t="shared" si="17"/>
        <v>9.8190478275750004E-2</v>
      </c>
      <c r="AE31">
        <f t="shared" si="18"/>
        <v>-3.7016938182129706E-8</v>
      </c>
      <c r="AF31">
        <f t="shared" si="19"/>
        <v>1.5142476573E-5</v>
      </c>
      <c r="AG31">
        <f t="shared" si="36"/>
        <v>6322.9637121747101</v>
      </c>
      <c r="AH31">
        <f t="shared" si="37"/>
        <v>-66054.852516023864</v>
      </c>
      <c r="AJ31">
        <f t="shared" si="20"/>
        <v>26400</v>
      </c>
      <c r="AK31">
        <f t="shared" si="21"/>
        <v>63.696419297280009</v>
      </c>
      <c r="AL31">
        <v>1</v>
      </c>
      <c r="AM31">
        <f t="shared" si="22"/>
        <v>8.5350789115200013E-2</v>
      </c>
      <c r="AN31">
        <f t="shared" si="38"/>
        <v>26214.470486958944</v>
      </c>
      <c r="AO31">
        <f t="shared" si="39"/>
        <v>-2173.7293230017881</v>
      </c>
      <c r="AQ31">
        <f t="shared" si="23"/>
        <v>5000</v>
      </c>
      <c r="AR31">
        <f t="shared" si="24"/>
        <v>-5000</v>
      </c>
      <c r="AT31">
        <f t="shared" si="52"/>
        <v>-298659444.01924574</v>
      </c>
      <c r="AU31">
        <f t="shared" si="53"/>
        <v>-361889081.14099288</v>
      </c>
      <c r="AV31">
        <f t="shared" si="42"/>
        <v>-2.2607623338464986</v>
      </c>
      <c r="AW31">
        <f t="shared" si="25"/>
        <v>120250098.11384884</v>
      </c>
      <c r="AX31">
        <f t="shared" si="26"/>
        <v>-143100063.50253716</v>
      </c>
      <c r="AY31">
        <f t="shared" si="50"/>
        <v>-0.87194787914259064</v>
      </c>
      <c r="BA31">
        <f t="shared" si="27"/>
        <v>2.5102855053823845</v>
      </c>
      <c r="BB31">
        <f t="shared" si="43"/>
        <v>7.9944623687499137</v>
      </c>
      <c r="BC31">
        <f t="shared" si="44"/>
        <v>-1.3888144547039079</v>
      </c>
      <c r="BD31">
        <f t="shared" si="28"/>
        <v>-259.57320687222239</v>
      </c>
      <c r="BF31">
        <f t="shared" si="29"/>
        <v>31.551404132059041</v>
      </c>
      <c r="BG31">
        <f t="shared" si="30"/>
        <v>-80.374471244309319</v>
      </c>
      <c r="BH31">
        <f t="shared" si="45"/>
        <v>99.625528755690681</v>
      </c>
      <c r="BI31">
        <f t="shared" si="46"/>
        <v>99.625528755690681</v>
      </c>
      <c r="BJ31">
        <f t="shared" si="31"/>
        <v>0</v>
      </c>
      <c r="BK31">
        <f t="shared" si="47"/>
        <v>0</v>
      </c>
      <c r="BM31">
        <f t="shared" si="48"/>
        <v>23.556941763309126</v>
      </c>
      <c r="BN31">
        <f t="shared" si="32"/>
        <v>-0.80126437208691603</v>
      </c>
      <c r="BQ31" s="56">
        <f t="shared" si="49"/>
        <v>24.896423169035053</v>
      </c>
      <c r="BR31" s="58"/>
      <c r="BS31" s="58"/>
      <c r="BT31" s="58">
        <v>162.18100000000001</v>
      </c>
      <c r="BU31" s="58">
        <v>30.429300000000001</v>
      </c>
      <c r="BV31" s="58">
        <v>-262.39859999999999</v>
      </c>
      <c r="BW31" s="61"/>
      <c r="BY31" s="58"/>
      <c r="BZ31" s="58"/>
      <c r="CA31" s="58"/>
      <c r="CC31" s="58"/>
    </row>
    <row r="32" spans="1:81" x14ac:dyDescent="0.2">
      <c r="A32">
        <f t="shared" si="51"/>
        <v>600</v>
      </c>
      <c r="B32">
        <f t="shared" si="33"/>
        <v>0.6</v>
      </c>
      <c r="C32">
        <f t="shared" si="0"/>
        <v>1.0000000027298852</v>
      </c>
      <c r="D32">
        <f t="shared" si="1"/>
        <v>7.3890258993525396E-5</v>
      </c>
      <c r="F32">
        <f t="shared" si="2"/>
        <v>1.006095655369438</v>
      </c>
      <c r="G32">
        <f t="shared" si="3"/>
        <v>-1.6890102222336393E-2</v>
      </c>
      <c r="H32">
        <f t="shared" si="4"/>
        <v>-1.6890102222336393E-2</v>
      </c>
      <c r="J32">
        <f t="shared" si="5"/>
        <v>15</v>
      </c>
      <c r="M32">
        <f t="shared" si="6"/>
        <v>2.084576879712011</v>
      </c>
      <c r="N32">
        <f t="shared" si="7"/>
        <v>-1.5707963250000001</v>
      </c>
      <c r="O32">
        <f t="shared" si="8"/>
        <v>1.0069178580373821</v>
      </c>
      <c r="P32">
        <f t="shared" si="9"/>
        <v>0.11728777787936633</v>
      </c>
      <c r="Q32">
        <f t="shared" si="10"/>
        <v>1.0052313417177787</v>
      </c>
      <c r="R32">
        <f t="shared" si="11"/>
        <v>0.1020650506581728</v>
      </c>
      <c r="S32">
        <f t="shared" si="12"/>
        <v>0.99999580866908722</v>
      </c>
      <c r="T32">
        <f t="shared" si="13"/>
        <v>-2.8952836961458508E-3</v>
      </c>
      <c r="U32">
        <f t="shared" si="14"/>
        <v>0.99999569734167548</v>
      </c>
      <c r="V32">
        <f t="shared" si="15"/>
        <v>-2.9334830526074876E-3</v>
      </c>
      <c r="X32">
        <f t="shared" si="34"/>
        <v>30.060096513850112</v>
      </c>
      <c r="Y32">
        <f t="shared" si="16"/>
        <v>-78.729470395030447</v>
      </c>
      <c r="Z32">
        <f t="shared" si="35"/>
        <v>101.27052960496955</v>
      </c>
      <c r="AC32">
        <v>1</v>
      </c>
      <c r="AD32">
        <f t="shared" si="17"/>
        <v>0.1178285739309</v>
      </c>
      <c r="AE32">
        <f t="shared" si="18"/>
        <v>-5.3304390982266777E-8</v>
      </c>
      <c r="AF32">
        <f t="shared" si="19"/>
        <v>1.8170971887599998E-5</v>
      </c>
      <c r="AG32">
        <f t="shared" si="36"/>
        <v>6322.9470865950907</v>
      </c>
      <c r="AH32">
        <f t="shared" si="37"/>
        <v>-55051.377935722921</v>
      </c>
      <c r="AJ32">
        <f t="shared" si="20"/>
        <v>26400</v>
      </c>
      <c r="AK32">
        <f t="shared" si="21"/>
        <v>76.435703156736011</v>
      </c>
      <c r="AL32">
        <v>1</v>
      </c>
      <c r="AM32">
        <f t="shared" si="22"/>
        <v>0.10242094693824001</v>
      </c>
      <c r="AN32">
        <f t="shared" si="38"/>
        <v>26133.68494561885</v>
      </c>
      <c r="AO32">
        <f t="shared" si="39"/>
        <v>-2600.201055959174</v>
      </c>
      <c r="AQ32">
        <f t="shared" si="23"/>
        <v>4098.3606557377052</v>
      </c>
      <c r="AR32">
        <f t="shared" si="24"/>
        <v>-4918.0327868852464</v>
      </c>
      <c r="AT32">
        <f t="shared" si="52"/>
        <v>-244830764.08308369</v>
      </c>
      <c r="AU32">
        <f t="shared" si="53"/>
        <v>-256716862.45752883</v>
      </c>
      <c r="AV32">
        <f t="shared" si="42"/>
        <v>-2.3325000825663311</v>
      </c>
      <c r="AW32">
        <f t="shared" si="25"/>
        <v>94363659.541930676</v>
      </c>
      <c r="AX32">
        <f t="shared" si="26"/>
        <v>-140149992.87622887</v>
      </c>
      <c r="AY32">
        <f t="shared" si="50"/>
        <v>-0.97821217801308891</v>
      </c>
      <c r="BA32">
        <f t="shared" si="27"/>
        <v>2.0996287604488177</v>
      </c>
      <c r="BB32">
        <f t="shared" si="43"/>
        <v>6.4428502609530325</v>
      </c>
      <c r="BC32">
        <f t="shared" si="44"/>
        <v>-1.3542879045532423</v>
      </c>
      <c r="BD32">
        <f t="shared" si="28"/>
        <v>-257.59498126518201</v>
      </c>
      <c r="BF32">
        <f t="shared" si="29"/>
        <v>30.01746093751628</v>
      </c>
      <c r="BG32">
        <f t="shared" si="30"/>
        <v>-78.558479239179945</v>
      </c>
      <c r="BH32">
        <f t="shared" si="45"/>
        <v>101.44152076082005</v>
      </c>
      <c r="BI32">
        <f t="shared" si="46"/>
        <v>101.44152076082005</v>
      </c>
      <c r="BJ32">
        <f t="shared" si="31"/>
        <v>0</v>
      </c>
      <c r="BK32">
        <f t="shared" si="47"/>
        <v>0</v>
      </c>
      <c r="BM32">
        <f t="shared" si="48"/>
        <v>23.574610676563246</v>
      </c>
      <c r="BN32">
        <f t="shared" si="32"/>
        <v>-0.96349797399790715</v>
      </c>
      <c r="BQ32" s="56">
        <f t="shared" si="49"/>
        <v>23.344811061238172</v>
      </c>
      <c r="BR32" s="58"/>
      <c r="BS32" s="58"/>
      <c r="BT32" s="58">
        <v>165.959</v>
      </c>
      <c r="BU32" s="58">
        <v>29.9194</v>
      </c>
      <c r="BV32" s="58">
        <v>-264.8295</v>
      </c>
      <c r="BW32" s="61"/>
      <c r="BY32" s="58"/>
      <c r="BZ32" s="58"/>
      <c r="CA32" s="58"/>
      <c r="CC32" s="58"/>
    </row>
    <row r="33" spans="1:81" x14ac:dyDescent="0.2">
      <c r="A33">
        <f t="shared" si="51"/>
        <v>700</v>
      </c>
      <c r="B33">
        <f t="shared" si="33"/>
        <v>0.7</v>
      </c>
      <c r="C33">
        <f t="shared" si="0"/>
        <v>1.0000000037156771</v>
      </c>
      <c r="D33">
        <f t="shared" si="1"/>
        <v>8.6205302102459306E-5</v>
      </c>
      <c r="F33">
        <f t="shared" si="2"/>
        <v>1.0085224406124691</v>
      </c>
      <c r="G33">
        <f t="shared" si="3"/>
        <v>-1.9752994993568675E-2</v>
      </c>
      <c r="H33">
        <f t="shared" si="4"/>
        <v>-1.9752994993568675E-2</v>
      </c>
      <c r="J33">
        <f t="shared" si="5"/>
        <v>15</v>
      </c>
      <c r="M33">
        <f t="shared" si="6"/>
        <v>1.7867801826102951</v>
      </c>
      <c r="N33">
        <f t="shared" si="7"/>
        <v>-1.5707963250000001</v>
      </c>
      <c r="O33">
        <f t="shared" si="8"/>
        <v>1.0094043219875177</v>
      </c>
      <c r="P33">
        <f t="shared" si="9"/>
        <v>0.13661045039038558</v>
      </c>
      <c r="Q33">
        <f t="shared" si="10"/>
        <v>1.0071137592730384</v>
      </c>
      <c r="R33">
        <f t="shared" si="11"/>
        <v>0.11892722468392067</v>
      </c>
      <c r="S33">
        <f t="shared" si="12"/>
        <v>0.99999429514587601</v>
      </c>
      <c r="T33">
        <f t="shared" si="13"/>
        <v>-3.3778275705334576E-3</v>
      </c>
      <c r="U33">
        <f t="shared" si="14"/>
        <v>0.99999414361759609</v>
      </c>
      <c r="V33">
        <f t="shared" si="15"/>
        <v>-3.4223933497141198E-3</v>
      </c>
      <c r="X33">
        <f t="shared" si="34"/>
        <v>28.779732442565546</v>
      </c>
      <c r="Y33">
        <f t="shared" si="16"/>
        <v>-76.875217701038792</v>
      </c>
      <c r="Z33">
        <f t="shared" si="35"/>
        <v>103.12478229896121</v>
      </c>
      <c r="AC33">
        <v>1</v>
      </c>
      <c r="AD33">
        <f t="shared" si="17"/>
        <v>0.13746666958605</v>
      </c>
      <c r="AE33">
        <f t="shared" si="18"/>
        <v>-7.2553198836974237E-8</v>
      </c>
      <c r="AF33">
        <f t="shared" si="19"/>
        <v>2.1199467202200001E-5</v>
      </c>
      <c r="AG33">
        <f t="shared" si="36"/>
        <v>6322.9274382955318</v>
      </c>
      <c r="AH33">
        <f t="shared" si="37"/>
        <v>-47192.636450214122</v>
      </c>
      <c r="AJ33">
        <f t="shared" si="20"/>
        <v>26400</v>
      </c>
      <c r="AK33">
        <f t="shared" si="21"/>
        <v>89.174987016192006</v>
      </c>
      <c r="AL33">
        <v>1</v>
      </c>
      <c r="AM33">
        <f t="shared" si="22"/>
        <v>0.11949110476128003</v>
      </c>
      <c r="AN33">
        <f t="shared" si="38"/>
        <v>26038.869408433809</v>
      </c>
      <c r="AO33">
        <f t="shared" si="39"/>
        <v>-3022.2382853322615</v>
      </c>
      <c r="AQ33">
        <f t="shared" si="23"/>
        <v>3378.3783783783783</v>
      </c>
      <c r="AR33">
        <f t="shared" si="24"/>
        <v>-4729.72972972973</v>
      </c>
      <c r="AT33">
        <f t="shared" si="52"/>
        <v>-201847174.29731163</v>
      </c>
      <c r="AU33">
        <f t="shared" si="53"/>
        <v>-189340320.48590496</v>
      </c>
      <c r="AV33">
        <f t="shared" si="42"/>
        <v>-2.3881551105663004</v>
      </c>
      <c r="AW33">
        <f t="shared" si="25"/>
        <v>73720903.990991294</v>
      </c>
      <c r="AX33">
        <f t="shared" si="26"/>
        <v>-134197264.30367017</v>
      </c>
      <c r="AY33">
        <f t="shared" si="50"/>
        <v>-1.0684543719229891</v>
      </c>
      <c r="BA33">
        <f t="shared" si="27"/>
        <v>1.8075026650103274</v>
      </c>
      <c r="BB33">
        <f t="shared" si="43"/>
        <v>5.1415789259529587</v>
      </c>
      <c r="BC33">
        <f t="shared" si="44"/>
        <v>-1.3197007386433113</v>
      </c>
      <c r="BD33">
        <f t="shared" si="28"/>
        <v>-255.61328263095982</v>
      </c>
      <c r="BF33">
        <f t="shared" si="29"/>
        <v>28.737115462021489</v>
      </c>
      <c r="BG33">
        <f t="shared" si="30"/>
        <v>-76.740106678139796</v>
      </c>
      <c r="BH33">
        <f t="shared" si="45"/>
        <v>103.2598933218602</v>
      </c>
      <c r="BI33">
        <f t="shared" si="46"/>
        <v>103.2598933218602</v>
      </c>
      <c r="BJ33">
        <f t="shared" si="31"/>
        <v>0</v>
      </c>
      <c r="BK33">
        <f t="shared" si="47"/>
        <v>0</v>
      </c>
      <c r="BM33">
        <f t="shared" si="48"/>
        <v>23.595536536068536</v>
      </c>
      <c r="BN33">
        <f t="shared" si="32"/>
        <v>-1.1268240471799926</v>
      </c>
      <c r="BQ33" s="56">
        <f t="shared" si="49"/>
        <v>22.043539726238098</v>
      </c>
      <c r="BR33" s="58"/>
      <c r="BS33" s="58"/>
      <c r="BT33" s="58">
        <v>169.82400000000001</v>
      </c>
      <c r="BU33" s="58">
        <v>29.808900000000001</v>
      </c>
      <c r="BV33" s="58">
        <v>-267.72770000000003</v>
      </c>
      <c r="BW33" s="61"/>
      <c r="BY33" s="58"/>
      <c r="BZ33" s="58"/>
      <c r="CA33" s="58"/>
      <c r="CC33" s="58"/>
    </row>
    <row r="34" spans="1:81" x14ac:dyDescent="0.2">
      <c r="A34">
        <f t="shared" si="51"/>
        <v>800</v>
      </c>
      <c r="B34">
        <f t="shared" si="33"/>
        <v>0.8</v>
      </c>
      <c r="C34">
        <f t="shared" si="0"/>
        <v>1.0000000048531292</v>
      </c>
      <c r="D34">
        <f t="shared" si="1"/>
        <v>9.8520345185245376E-5</v>
      </c>
      <c r="F34">
        <f t="shared" si="2"/>
        <v>1.0113368443670536</v>
      </c>
      <c r="G34">
        <f t="shared" si="3"/>
        <v>-2.2638310772213562E-2</v>
      </c>
      <c r="H34">
        <f t="shared" si="4"/>
        <v>-2.2638310772213562E-2</v>
      </c>
      <c r="J34">
        <f t="shared" si="5"/>
        <v>15</v>
      </c>
      <c r="M34">
        <f t="shared" si="6"/>
        <v>1.5634326597840082</v>
      </c>
      <c r="N34">
        <f t="shared" si="7"/>
        <v>-1.5707963250000001</v>
      </c>
      <c r="O34">
        <f t="shared" si="8"/>
        <v>1.0122657295698065</v>
      </c>
      <c r="P34">
        <f t="shared" si="9"/>
        <v>0.15583102724807749</v>
      </c>
      <c r="Q34">
        <f t="shared" si="10"/>
        <v>1.0092814168697568</v>
      </c>
      <c r="R34">
        <f t="shared" si="11"/>
        <v>0.1357217272898234</v>
      </c>
      <c r="S34">
        <f t="shared" si="12"/>
        <v>0.99999254878147947</v>
      </c>
      <c r="T34">
        <f t="shared" si="13"/>
        <v>-3.8603698718755524E-3</v>
      </c>
      <c r="U34">
        <f t="shared" si="14"/>
        <v>0.99999235086804217</v>
      </c>
      <c r="V34">
        <f t="shared" si="15"/>
        <v>-3.9113020106881632E-3</v>
      </c>
      <c r="X34">
        <f t="shared" si="34"/>
        <v>27.68733047233825</v>
      </c>
      <c r="Y34">
        <f t="shared" si="16"/>
        <v>-75.031976503670649</v>
      </c>
      <c r="Z34">
        <f t="shared" si="35"/>
        <v>104.96802349632935</v>
      </c>
      <c r="AC34">
        <v>1</v>
      </c>
      <c r="AD34">
        <f t="shared" si="17"/>
        <v>0.15710476524120001</v>
      </c>
      <c r="AE34">
        <f t="shared" si="18"/>
        <v>-9.476336174625204E-8</v>
      </c>
      <c r="AF34">
        <f t="shared" si="19"/>
        <v>2.4227962516800001E-5</v>
      </c>
      <c r="AG34">
        <f t="shared" si="36"/>
        <v>6322.9047673323939</v>
      </c>
      <c r="AH34">
        <f t="shared" si="37"/>
        <v>-41299.353134541328</v>
      </c>
      <c r="AJ34">
        <f t="shared" si="20"/>
        <v>26400</v>
      </c>
      <c r="AK34">
        <f t="shared" si="21"/>
        <v>101.914270875648</v>
      </c>
      <c r="AL34">
        <v>1</v>
      </c>
      <c r="AM34">
        <f t="shared" si="22"/>
        <v>0.13656126258432003</v>
      </c>
      <c r="AN34">
        <f t="shared" si="38"/>
        <v>25930.343131539939</v>
      </c>
      <c r="AO34">
        <f t="shared" si="39"/>
        <v>-3439.1661264120962</v>
      </c>
      <c r="AQ34">
        <f t="shared" si="23"/>
        <v>2808.9887640449433</v>
      </c>
      <c r="AR34">
        <f t="shared" si="24"/>
        <v>-4494.3820224719093</v>
      </c>
      <c r="AT34">
        <f t="shared" si="52"/>
        <v>-167854101.82003853</v>
      </c>
      <c r="AU34">
        <f t="shared" si="53"/>
        <v>-144426968.43335155</v>
      </c>
      <c r="AV34">
        <f t="shared" si="42"/>
        <v>-2.4310736130088415</v>
      </c>
      <c r="AW34">
        <f t="shared" si="25"/>
        <v>57427069.187547356</v>
      </c>
      <c r="AX34">
        <f t="shared" si="26"/>
        <v>-126929092.98157358</v>
      </c>
      <c r="AY34">
        <f t="shared" si="50"/>
        <v>-1.1459199201508525</v>
      </c>
      <c r="BA34">
        <f t="shared" si="27"/>
        <v>1.5894587941315677</v>
      </c>
      <c r="BB34">
        <f t="shared" si="43"/>
        <v>4.0249854708950972</v>
      </c>
      <c r="BC34">
        <f t="shared" si="44"/>
        <v>-1.285153692857989</v>
      </c>
      <c r="BD34">
        <f t="shared" si="28"/>
        <v>-253.63388271055385</v>
      </c>
      <c r="BF34">
        <f t="shared" si="29"/>
        <v>27.644727283429273</v>
      </c>
      <c r="BG34">
        <f t="shared" si="30"/>
        <v>-74.925317574607604</v>
      </c>
      <c r="BH34">
        <f t="shared" si="45"/>
        <v>105.0746824253924</v>
      </c>
      <c r="BI34">
        <f t="shared" si="46"/>
        <v>105.0746824253924</v>
      </c>
      <c r="BJ34">
        <f t="shared" si="31"/>
        <v>0</v>
      </c>
      <c r="BK34">
        <f t="shared" si="47"/>
        <v>0</v>
      </c>
      <c r="BM34">
        <f t="shared" si="48"/>
        <v>23.619741812534176</v>
      </c>
      <c r="BN34">
        <f t="shared" si="32"/>
        <v>-1.2914348640537776</v>
      </c>
      <c r="BQ34" s="56">
        <f t="shared" si="49"/>
        <v>20.926946271180231</v>
      </c>
      <c r="BR34" s="58"/>
      <c r="BS34" s="58"/>
      <c r="BT34" s="58">
        <v>173.78</v>
      </c>
      <c r="BU34" s="58">
        <v>30.070900000000002</v>
      </c>
      <c r="BV34" s="58">
        <v>-269.952</v>
      </c>
      <c r="BW34" s="61"/>
      <c r="BY34" s="58"/>
      <c r="BZ34" s="58"/>
      <c r="CA34" s="58"/>
      <c r="CC34" s="58"/>
    </row>
    <row r="35" spans="1:81" x14ac:dyDescent="0.2">
      <c r="A35">
        <f t="shared" si="51"/>
        <v>900</v>
      </c>
      <c r="B35">
        <f t="shared" si="33"/>
        <v>0.9</v>
      </c>
      <c r="C35">
        <f t="shared" si="0"/>
        <v>1.0000000061422416</v>
      </c>
      <c r="D35">
        <f t="shared" si="1"/>
        <v>1.1083538823814819E-4</v>
      </c>
      <c r="F35">
        <f t="shared" si="2"/>
        <v>1.0145451292287979</v>
      </c>
      <c r="G35">
        <f t="shared" si="3"/>
        <v>-2.5549489977201002E-2</v>
      </c>
      <c r="H35">
        <f t="shared" si="4"/>
        <v>-2.5549489977201002E-2</v>
      </c>
      <c r="J35">
        <f t="shared" si="5"/>
        <v>15</v>
      </c>
      <c r="M35">
        <f t="shared" si="6"/>
        <v>1.3897179198080074</v>
      </c>
      <c r="N35">
        <f t="shared" si="7"/>
        <v>-1.5707963250000001</v>
      </c>
      <c r="O35">
        <f t="shared" si="8"/>
        <v>1.0154989113129698</v>
      </c>
      <c r="P35">
        <f t="shared" si="9"/>
        <v>0.17493623635998068</v>
      </c>
      <c r="Q35">
        <f t="shared" si="10"/>
        <v>1.0117324811116735</v>
      </c>
      <c r="R35">
        <f t="shared" si="11"/>
        <v>0.15243955312466553</v>
      </c>
      <c r="S35">
        <f t="shared" si="12"/>
        <v>0.99999056957955756</v>
      </c>
      <c r="T35">
        <f t="shared" si="13"/>
        <v>-4.3429103754639067E-3</v>
      </c>
      <c r="U35">
        <f t="shared" si="14"/>
        <v>0.99999031909687042</v>
      </c>
      <c r="V35">
        <f t="shared" si="15"/>
        <v>-4.4002088018098E-3</v>
      </c>
      <c r="X35">
        <f t="shared" si="34"/>
        <v>26.740522893308317</v>
      </c>
      <c r="Y35">
        <f t="shared" si="16"/>
        <v>-73.201220301647396</v>
      </c>
      <c r="Z35">
        <f t="shared" si="35"/>
        <v>106.7987796983526</v>
      </c>
      <c r="AC35">
        <v>1</v>
      </c>
      <c r="AD35">
        <f t="shared" si="17"/>
        <v>0.17674286089635</v>
      </c>
      <c r="AE35">
        <f t="shared" si="18"/>
        <v>-1.1993487971010026E-7</v>
      </c>
      <c r="AF35">
        <f t="shared" si="19"/>
        <v>2.72564578314E-5</v>
      </c>
      <c r="AG35">
        <f t="shared" si="36"/>
        <v>6322.8790737707041</v>
      </c>
      <c r="AH35">
        <f t="shared" si="37"/>
        <v>-36716.375250647572</v>
      </c>
      <c r="AJ35">
        <f t="shared" si="20"/>
        <v>26400</v>
      </c>
      <c r="AK35">
        <f t="shared" si="21"/>
        <v>114.653554735104</v>
      </c>
      <c r="AL35">
        <v>1</v>
      </c>
      <c r="AM35">
        <f t="shared" si="22"/>
        <v>0.15363142040736003</v>
      </c>
      <c r="AN35">
        <f t="shared" si="38"/>
        <v>25808.467118271394</v>
      </c>
      <c r="AO35">
        <f t="shared" si="39"/>
        <v>-3850.3379071815762</v>
      </c>
      <c r="AQ35">
        <f t="shared" si="23"/>
        <v>2358.4905660377358</v>
      </c>
      <c r="AR35">
        <f t="shared" si="24"/>
        <v>-4245.2830188679245</v>
      </c>
      <c r="AT35">
        <f t="shared" si="52"/>
        <v>-140958953.72027105</v>
      </c>
      <c r="AU35">
        <f t="shared" si="53"/>
        <v>-113437635.80998781</v>
      </c>
      <c r="AV35">
        <f t="shared" si="42"/>
        <v>-2.4639581216392852</v>
      </c>
      <c r="AW35">
        <f t="shared" si="25"/>
        <v>44569016.787535295</v>
      </c>
      <c r="AX35">
        <f t="shared" si="26"/>
        <v>-119293261.1587235</v>
      </c>
      <c r="AY35">
        <f t="shared" si="50"/>
        <v>-1.2132458621086064</v>
      </c>
      <c r="BA35">
        <f t="shared" si="27"/>
        <v>1.4208031595373771</v>
      </c>
      <c r="BB35">
        <f t="shared" si="43"/>
        <v>3.0506782841201692</v>
      </c>
      <c r="BC35">
        <f t="shared" si="44"/>
        <v>-1.2507122595306788</v>
      </c>
      <c r="BD35">
        <f t="shared" si="28"/>
        <v>-251.66053393826286</v>
      </c>
      <c r="BF35">
        <f t="shared" si="29"/>
        <v>26.697930922297619</v>
      </c>
      <c r="BG35">
        <f t="shared" si="30"/>
        <v>-73.118061484367004</v>
      </c>
      <c r="BH35">
        <f t="shared" si="45"/>
        <v>106.881938515633</v>
      </c>
      <c r="BI35">
        <f t="shared" si="46"/>
        <v>106.881938515633</v>
      </c>
      <c r="BJ35">
        <f t="shared" si="31"/>
        <v>0</v>
      </c>
      <c r="BK35">
        <f t="shared" si="47"/>
        <v>0</v>
      </c>
      <c r="BM35">
        <f t="shared" si="48"/>
        <v>23.647252638177456</v>
      </c>
      <c r="BN35">
        <f t="shared" si="32"/>
        <v>-1.4575275461041435</v>
      </c>
      <c r="BQ35" s="56">
        <f t="shared" si="49"/>
        <v>19.952639084405305</v>
      </c>
      <c r="BR35" s="58"/>
      <c r="BS35" s="58"/>
      <c r="BT35" s="58">
        <v>177.828</v>
      </c>
      <c r="BU35" s="58">
        <v>29.720099999999999</v>
      </c>
      <c r="BV35" s="58">
        <v>-271.56010000000003</v>
      </c>
      <c r="BW35" s="61"/>
      <c r="BY35" s="58"/>
      <c r="BZ35" s="58"/>
      <c r="CA35" s="58"/>
      <c r="CC35" s="58"/>
    </row>
    <row r="36" spans="1:81" x14ac:dyDescent="0.2">
      <c r="A36">
        <f t="shared" si="51"/>
        <v>1000</v>
      </c>
      <c r="B36">
        <f t="shared" si="33"/>
        <v>1</v>
      </c>
      <c r="C36">
        <f t="shared" si="0"/>
        <v>1.0000000075830144</v>
      </c>
      <c r="D36">
        <f t="shared" si="1"/>
        <v>1.2315043125743234E-4</v>
      </c>
      <c r="F36">
        <f t="shared" si="2"/>
        <v>1.0181544939553717</v>
      </c>
      <c r="G36">
        <f t="shared" si="3"/>
        <v>-2.8490071598544515E-2</v>
      </c>
      <c r="H36">
        <f t="shared" si="4"/>
        <v>-2.8490071598544515E-2</v>
      </c>
      <c r="J36">
        <f t="shared" si="5"/>
        <v>15</v>
      </c>
      <c r="M36">
        <f t="shared" si="6"/>
        <v>1.2507461278272067</v>
      </c>
      <c r="N36">
        <f t="shared" si="7"/>
        <v>-1.5707963250000001</v>
      </c>
      <c r="O36">
        <f t="shared" si="8"/>
        <v>1.0191003287685085</v>
      </c>
      <c r="P36">
        <f t="shared" si="9"/>
        <v>0.19391330089848688</v>
      </c>
      <c r="Q36">
        <f t="shared" si="10"/>
        <v>1.0144648977714061</v>
      </c>
      <c r="R36">
        <f t="shared" si="11"/>
        <v>0.16907195013557763</v>
      </c>
      <c r="S36">
        <f t="shared" si="12"/>
        <v>0.9999883575442573</v>
      </c>
      <c r="T36">
        <f t="shared" si="13"/>
        <v>-4.8254488565953133E-3</v>
      </c>
      <c r="U36">
        <f t="shared" si="14"/>
        <v>0.99998804830845134</v>
      </c>
      <c r="V36">
        <f t="shared" si="15"/>
        <v>-4.8891134893645763E-3</v>
      </c>
      <c r="X36">
        <f t="shared" si="34"/>
        <v>25.910356620024707</v>
      </c>
      <c r="Y36">
        <f t="shared" si="16"/>
        <v>-71.384385351886024</v>
      </c>
      <c r="Z36">
        <f t="shared" si="35"/>
        <v>108.61561464811398</v>
      </c>
      <c r="AC36">
        <v>1</v>
      </c>
      <c r="AD36">
        <f t="shared" si="17"/>
        <v>0.19638095655150001</v>
      </c>
      <c r="AE36">
        <f t="shared" si="18"/>
        <v>-1.4806775272851882E-7</v>
      </c>
      <c r="AF36">
        <f t="shared" si="19"/>
        <v>3.0284953146E-5</v>
      </c>
      <c r="AG36">
        <f t="shared" si="36"/>
        <v>6322.8503576841595</v>
      </c>
      <c r="AH36">
        <f t="shared" si="37"/>
        <v>-33050.61115392558</v>
      </c>
      <c r="AJ36">
        <f t="shared" si="20"/>
        <v>26400</v>
      </c>
      <c r="AK36">
        <f t="shared" si="21"/>
        <v>127.39283859456002</v>
      </c>
      <c r="AL36">
        <v>1</v>
      </c>
      <c r="AM36">
        <f t="shared" si="22"/>
        <v>0.17070157823040003</v>
      </c>
      <c r="AN36">
        <f t="shared" si="38"/>
        <v>25673.641188349451</v>
      </c>
      <c r="AO36">
        <f t="shared" si="39"/>
        <v>-4255.1382311776952</v>
      </c>
      <c r="AQ36">
        <f t="shared" si="23"/>
        <v>2000</v>
      </c>
      <c r="AR36">
        <f t="shared" si="24"/>
        <v>-4000</v>
      </c>
      <c r="AT36">
        <f t="shared" si="52"/>
        <v>-119556743.900334</v>
      </c>
      <c r="AU36">
        <f t="shared" si="53"/>
        <v>-91392623.738587797</v>
      </c>
      <c r="AV36">
        <f t="shared" si="42"/>
        <v>-2.4889208571798647</v>
      </c>
      <c r="AW36">
        <f t="shared" si="25"/>
        <v>34372285.738712877</v>
      </c>
      <c r="AX36">
        <f t="shared" si="26"/>
        <v>-111789293.29895614</v>
      </c>
      <c r="AY36">
        <f t="shared" si="50"/>
        <v>-1.2724969605691796</v>
      </c>
      <c r="BA36">
        <f t="shared" si="27"/>
        <v>1.2867191915182565</v>
      </c>
      <c r="BB36">
        <f t="shared" si="43"/>
        <v>2.1896755708700724</v>
      </c>
      <c r="BC36">
        <f t="shared" si="44"/>
        <v>-1.2164238966106851</v>
      </c>
      <c r="BD36">
        <f t="shared" si="28"/>
        <v>-249.6959554542895</v>
      </c>
      <c r="BF36">
        <f t="shared" si="29"/>
        <v>25.867774467873758</v>
      </c>
      <c r="BG36">
        <f t="shared" si="30"/>
        <v>-71.321260316812541</v>
      </c>
      <c r="BH36">
        <f t="shared" si="45"/>
        <v>108.67873968318746</v>
      </c>
      <c r="BI36">
        <f t="shared" si="46"/>
        <v>108.67873968318746</v>
      </c>
      <c r="BJ36">
        <f t="shared" si="31"/>
        <v>0</v>
      </c>
      <c r="BK36">
        <f t="shared" si="47"/>
        <v>0</v>
      </c>
      <c r="BM36">
        <f t="shared" si="48"/>
        <v>23.678098897003682</v>
      </c>
      <c r="BN36">
        <f t="shared" si="32"/>
        <v>-1.62530486252305</v>
      </c>
      <c r="BQ36" s="56">
        <f t="shared" si="49"/>
        <v>19.091636371155211</v>
      </c>
      <c r="BR36" s="58"/>
      <c r="BS36" s="58"/>
      <c r="BT36" s="58">
        <v>181.97</v>
      </c>
      <c r="BU36" s="58">
        <v>30.042100000000001</v>
      </c>
      <c r="BV36" s="58">
        <v>-268.84590000000003</v>
      </c>
      <c r="BW36" s="61"/>
      <c r="BY36" s="58"/>
      <c r="BZ36" s="58"/>
      <c r="CA36" s="58"/>
      <c r="CC36" s="58"/>
    </row>
    <row r="37" spans="1:81" x14ac:dyDescent="0.2">
      <c r="A37">
        <f>A36+500</f>
        <v>1500</v>
      </c>
      <c r="B37">
        <f t="shared" si="33"/>
        <v>1.5</v>
      </c>
      <c r="C37">
        <f t="shared" si="0"/>
        <v>1.0000000170617822</v>
      </c>
      <c r="D37">
        <f t="shared" si="1"/>
        <v>1.8472564571883417E-4</v>
      </c>
      <c r="F37">
        <f t="shared" si="2"/>
        <v>1.0425405714765064</v>
      </c>
      <c r="G37">
        <f t="shared" si="3"/>
        <v>-4.3766718747383367E-2</v>
      </c>
      <c r="H37">
        <f t="shared" si="4"/>
        <v>-4.3766718747383367E-2</v>
      </c>
      <c r="J37">
        <f t="shared" si="5"/>
        <v>15</v>
      </c>
      <c r="M37">
        <f t="shared" si="6"/>
        <v>0.83383075188480449</v>
      </c>
      <c r="N37">
        <f t="shared" si="7"/>
        <v>-1.5707963250000001</v>
      </c>
      <c r="O37">
        <f t="shared" si="8"/>
        <v>1.0424837313916151</v>
      </c>
      <c r="P37">
        <f t="shared" si="9"/>
        <v>0.28646904856297717</v>
      </c>
      <c r="Q37">
        <f t="shared" si="10"/>
        <v>1.0322610206838607</v>
      </c>
      <c r="R37">
        <f t="shared" si="11"/>
        <v>0.25066684696241576</v>
      </c>
      <c r="S37">
        <f t="shared" si="12"/>
        <v>0.9999738050464011</v>
      </c>
      <c r="T37">
        <f t="shared" si="13"/>
        <v>-7.2381030612166586E-3</v>
      </c>
      <c r="U37">
        <f t="shared" si="14"/>
        <v>0.99997310929661665</v>
      </c>
      <c r="V37">
        <f t="shared" si="15"/>
        <v>-7.3335971940895091E-3</v>
      </c>
      <c r="X37">
        <f t="shared" si="34"/>
        <v>22.941957975283312</v>
      </c>
      <c r="Y37">
        <f t="shared" si="16"/>
        <v>-62.556341322508501</v>
      </c>
      <c r="Z37">
        <f t="shared" si="35"/>
        <v>117.4436586774915</v>
      </c>
      <c r="AC37">
        <v>1</v>
      </c>
      <c r="AD37">
        <f t="shared" si="17"/>
        <v>0.29457143482724996</v>
      </c>
      <c r="AE37">
        <f t="shared" si="18"/>
        <v>-3.3315244363916742E-7</v>
      </c>
      <c r="AF37">
        <f t="shared" si="19"/>
        <v>4.5427429718999998E-5</v>
      </c>
      <c r="AG37">
        <f t="shared" si="36"/>
        <v>6322.6614425647722</v>
      </c>
      <c r="AH37">
        <f t="shared" si="37"/>
        <v>-22059.500533237591</v>
      </c>
      <c r="AJ37">
        <f t="shared" si="20"/>
        <v>26400</v>
      </c>
      <c r="AK37">
        <f t="shared" si="21"/>
        <v>191.08925789184002</v>
      </c>
      <c r="AL37">
        <v>1</v>
      </c>
      <c r="AM37">
        <f t="shared" si="22"/>
        <v>0.25605236734560005</v>
      </c>
      <c r="AN37">
        <f t="shared" si="38"/>
        <v>24821.55766785446</v>
      </c>
      <c r="AO37">
        <f t="shared" si="39"/>
        <v>-6164.5293441676258</v>
      </c>
      <c r="AQ37">
        <f t="shared" si="23"/>
        <v>1000</v>
      </c>
      <c r="AR37">
        <f t="shared" si="24"/>
        <v>-3000</v>
      </c>
      <c r="AT37">
        <f t="shared" si="52"/>
        <v>-59855840.157148004</v>
      </c>
      <c r="AU37">
        <f t="shared" si="53"/>
        <v>-41027484.860931903</v>
      </c>
      <c r="AV37">
        <f t="shared" si="42"/>
        <v>-2.5407066478242637</v>
      </c>
      <c r="AW37">
        <f t="shared" si="25"/>
        <v>6372208.7714970745</v>
      </c>
      <c r="AX37">
        <f t="shared" si="26"/>
        <v>-81024006.000487</v>
      </c>
      <c r="AY37">
        <f t="shared" si="50"/>
        <v>-1.4923119384373991</v>
      </c>
      <c r="BA37">
        <f t="shared" si="27"/>
        <v>0.89286699969253247</v>
      </c>
      <c r="BB37">
        <f t="shared" si="43"/>
        <v>-0.98426456470242063</v>
      </c>
      <c r="BC37">
        <f t="shared" si="44"/>
        <v>-1.0483947093868646</v>
      </c>
      <c r="BD37">
        <f t="shared" si="28"/>
        <v>-240.06859218035018</v>
      </c>
      <c r="BF37">
        <f t="shared" si="29"/>
        <v>22.899420063912657</v>
      </c>
      <c r="BG37">
        <f t="shared" si="30"/>
        <v>-62.565656450697141</v>
      </c>
      <c r="BH37">
        <f t="shared" si="45"/>
        <v>117.43434354930287</v>
      </c>
      <c r="BI37">
        <f t="shared" si="46"/>
        <v>117.43434354930287</v>
      </c>
      <c r="BJ37">
        <f t="shared" si="31"/>
        <v>0</v>
      </c>
      <c r="BK37">
        <f t="shared" si="47"/>
        <v>0</v>
      </c>
      <c r="BM37">
        <f t="shared" si="48"/>
        <v>23.883684628615075</v>
      </c>
      <c r="BN37">
        <f t="shared" si="32"/>
        <v>-2.4970642703469577</v>
      </c>
      <c r="BQ37" s="56">
        <f t="shared" si="49"/>
        <v>15.917696235582714</v>
      </c>
      <c r="BR37" s="58"/>
      <c r="BS37" s="58"/>
      <c r="BT37" s="58">
        <v>186.209</v>
      </c>
      <c r="BU37" s="58">
        <v>29.901800000000001</v>
      </c>
      <c r="BV37" s="58">
        <v>-265.37959999999998</v>
      </c>
      <c r="BW37" s="61"/>
      <c r="BY37" s="58"/>
      <c r="BZ37" s="58"/>
      <c r="CA37" s="58"/>
      <c r="CC37" s="58"/>
    </row>
    <row r="38" spans="1:81" x14ac:dyDescent="0.2">
      <c r="A38">
        <f t="shared" ref="A38:A101" si="54">A37+500</f>
        <v>2000</v>
      </c>
      <c r="B38">
        <f t="shared" si="33"/>
        <v>2</v>
      </c>
      <c r="C38">
        <f t="shared" si="0"/>
        <v>1.0000000303320573</v>
      </c>
      <c r="D38">
        <f t="shared" si="1"/>
        <v>2.4630085877945886E-4</v>
      </c>
      <c r="F38">
        <f t="shared" si="2"/>
        <v>1.0786607220008591</v>
      </c>
      <c r="G38">
        <f t="shared" si="3"/>
        <v>-6.0394865048888816E-2</v>
      </c>
      <c r="H38">
        <f t="shared" si="4"/>
        <v>-6.0394865048888816E-2</v>
      </c>
      <c r="J38">
        <f t="shared" si="5"/>
        <v>15</v>
      </c>
      <c r="M38">
        <f t="shared" si="6"/>
        <v>0.62537306391360337</v>
      </c>
      <c r="N38">
        <f t="shared" si="7"/>
        <v>-1.5707963250000001</v>
      </c>
      <c r="O38">
        <f t="shared" si="8"/>
        <v>1.0743658224200585</v>
      </c>
      <c r="P38">
        <f t="shared" si="9"/>
        <v>0.37425111595579591</v>
      </c>
      <c r="Q38">
        <f t="shared" si="10"/>
        <v>1.0566721891113617</v>
      </c>
      <c r="R38">
        <f t="shared" si="11"/>
        <v>0.32899572794853649</v>
      </c>
      <c r="S38">
        <f t="shared" si="12"/>
        <v>0.99995343261672009</v>
      </c>
      <c r="T38">
        <f t="shared" si="13"/>
        <v>-9.6506730029202199E-3</v>
      </c>
      <c r="U38">
        <f t="shared" si="14"/>
        <v>0.99995219580481409</v>
      </c>
      <c r="V38">
        <f t="shared" si="15"/>
        <v>-9.7779932567314994E-3</v>
      </c>
      <c r="X38">
        <f t="shared" si="34"/>
        <v>21.203335674760876</v>
      </c>
      <c r="Y38">
        <f t="shared" si="16"/>
        <v>-54.266363297665961</v>
      </c>
      <c r="Z38">
        <f t="shared" si="35"/>
        <v>125.73363670233404</v>
      </c>
      <c r="AC38">
        <v>1</v>
      </c>
      <c r="AD38">
        <f t="shared" si="17"/>
        <v>0.39276191310300002</v>
      </c>
      <c r="AE38">
        <f t="shared" si="18"/>
        <v>-5.9227101091407529E-7</v>
      </c>
      <c r="AF38">
        <f t="shared" si="19"/>
        <v>6.0569906292E-5</v>
      </c>
      <c r="AG38">
        <f t="shared" si="36"/>
        <v>6322.396980362143</v>
      </c>
      <c r="AH38">
        <f t="shared" si="37"/>
        <v>-16571.671212632082</v>
      </c>
      <c r="AJ38">
        <f t="shared" si="20"/>
        <v>26400</v>
      </c>
      <c r="AK38">
        <f t="shared" si="21"/>
        <v>254.78567718912004</v>
      </c>
      <c r="AL38">
        <v>1</v>
      </c>
      <c r="AM38">
        <f t="shared" si="22"/>
        <v>0.34140315646080005</v>
      </c>
      <c r="AN38">
        <f t="shared" si="38"/>
        <v>23722.036244176521</v>
      </c>
      <c r="AO38">
        <f t="shared" si="39"/>
        <v>-7843.9923742502469</v>
      </c>
      <c r="AQ38">
        <f t="shared" si="23"/>
        <v>588.23529411764707</v>
      </c>
      <c r="AR38">
        <f t="shared" si="24"/>
        <v>-2352.9411764705883</v>
      </c>
      <c r="AT38">
        <f t="shared" si="52"/>
        <v>-35273110.511862464</v>
      </c>
      <c r="AU38">
        <f t="shared" si="53"/>
        <v>-24624270.078870974</v>
      </c>
      <c r="AV38">
        <f t="shared" si="42"/>
        <v>-2.5321408677638644</v>
      </c>
      <c r="AW38">
        <f t="shared" si="25"/>
        <v>-4459774.2025964055</v>
      </c>
      <c r="AX38">
        <f t="shared" si="26"/>
        <v>-60731776.330332182</v>
      </c>
      <c r="AY38">
        <f t="shared" si="50"/>
        <v>-1.6440987032241827</v>
      </c>
      <c r="BA38">
        <f t="shared" si="27"/>
        <v>0.70642530196535624</v>
      </c>
      <c r="BB38">
        <f t="shared" si="43"/>
        <v>-3.0186750813859149</v>
      </c>
      <c r="BC38">
        <f t="shared" si="44"/>
        <v>-0.88804216453968166</v>
      </c>
      <c r="BD38">
        <f t="shared" si="28"/>
        <v>-230.88106811592607</v>
      </c>
      <c r="BF38">
        <f t="shared" si="29"/>
        <v>21.160847658452873</v>
      </c>
      <c r="BG38">
        <f t="shared" si="30"/>
        <v>-54.327326991728981</v>
      </c>
      <c r="BH38">
        <f t="shared" si="45"/>
        <v>125.67267300827102</v>
      </c>
      <c r="BI38">
        <f t="shared" si="46"/>
        <v>125.67267300827102</v>
      </c>
      <c r="BJ38">
        <f t="shared" si="31"/>
        <v>0</v>
      </c>
      <c r="BK38">
        <f t="shared" si="47"/>
        <v>0</v>
      </c>
      <c r="BM38">
        <f t="shared" si="48"/>
        <v>24.179522739838788</v>
      </c>
      <c r="BN38">
        <f t="shared" si="32"/>
        <v>-3.4462588758029096</v>
      </c>
      <c r="BQ38" s="56">
        <f t="shared" si="49"/>
        <v>13.883285718899224</v>
      </c>
      <c r="BR38" s="58"/>
      <c r="BS38" s="58"/>
      <c r="BT38" s="58">
        <v>190.54599999999999</v>
      </c>
      <c r="BU38" s="58">
        <v>29.566700000000001</v>
      </c>
      <c r="BV38" s="58">
        <v>-265.89449999999999</v>
      </c>
      <c r="BW38" s="61"/>
      <c r="BY38" s="58"/>
      <c r="BZ38" s="58"/>
      <c r="CA38" s="58"/>
      <c r="CC38" s="58"/>
    </row>
    <row r="39" spans="1:81" x14ac:dyDescent="0.2">
      <c r="A39">
        <f t="shared" si="54"/>
        <v>2500</v>
      </c>
      <c r="B39">
        <f t="shared" si="33"/>
        <v>2.5</v>
      </c>
      <c r="C39">
        <f t="shared" si="0"/>
        <v>1.0000000473938391</v>
      </c>
      <c r="D39">
        <f t="shared" si="1"/>
        <v>3.0787606997238076E-4</v>
      </c>
      <c r="F39">
        <f t="shared" si="2"/>
        <v>1.1288439846481129</v>
      </c>
      <c r="G39">
        <f t="shared" si="3"/>
        <v>-7.9040072129807001E-2</v>
      </c>
      <c r="H39">
        <f t="shared" si="4"/>
        <v>-7.9040072129807001E-2</v>
      </c>
      <c r="J39">
        <f t="shared" si="5"/>
        <v>15</v>
      </c>
      <c r="M39">
        <f t="shared" si="6"/>
        <v>0.50029845113088267</v>
      </c>
      <c r="N39">
        <f t="shared" si="7"/>
        <v>-1.5707963250000001</v>
      </c>
      <c r="O39">
        <f t="shared" si="8"/>
        <v>1.1140171680007958</v>
      </c>
      <c r="P39">
        <f t="shared" si="9"/>
        <v>0.45638335978702843</v>
      </c>
      <c r="Q39">
        <f t="shared" si="10"/>
        <v>1.0872529282851731</v>
      </c>
      <c r="R39">
        <f t="shared" si="11"/>
        <v>0.40335531664107294</v>
      </c>
      <c r="S39">
        <f t="shared" si="12"/>
        <v>0.99992724132234612</v>
      </c>
      <c r="T39">
        <f t="shared" si="13"/>
        <v>-1.2063130603222037E-2</v>
      </c>
      <c r="U39">
        <f t="shared" si="14"/>
        <v>0.99992530895760801</v>
      </c>
      <c r="V39">
        <f t="shared" si="15"/>
        <v>-1.2222272473038243E-2</v>
      </c>
      <c r="X39">
        <f t="shared" si="34"/>
        <v>20.222255837574771</v>
      </c>
      <c r="Y39">
        <f t="shared" si="16"/>
        <v>-46.643075953032564</v>
      </c>
      <c r="Z39">
        <f t="shared" si="35"/>
        <v>133.35692404696744</v>
      </c>
      <c r="AC39">
        <v>1</v>
      </c>
      <c r="AD39">
        <f t="shared" si="17"/>
        <v>0.49095239137875002</v>
      </c>
      <c r="AE39">
        <f t="shared" si="18"/>
        <v>-9.2542345455324266E-7</v>
      </c>
      <c r="AF39">
        <f t="shared" si="19"/>
        <v>7.5712382864999994E-5</v>
      </c>
      <c r="AG39">
        <f t="shared" si="36"/>
        <v>6322.0569900367</v>
      </c>
      <c r="AH39">
        <f t="shared" si="37"/>
        <v>-13285.152860835169</v>
      </c>
      <c r="AJ39">
        <f t="shared" si="20"/>
        <v>26400</v>
      </c>
      <c r="AK39">
        <f t="shared" si="21"/>
        <v>318.48209648640005</v>
      </c>
      <c r="AL39">
        <v>1</v>
      </c>
      <c r="AM39">
        <f t="shared" si="22"/>
        <v>0.4267539455760001</v>
      </c>
      <c r="AN39">
        <f t="shared" si="38"/>
        <v>22447.752773757613</v>
      </c>
      <c r="AO39">
        <f t="shared" si="39"/>
        <v>-9261.184969029262</v>
      </c>
      <c r="AQ39">
        <f t="shared" si="23"/>
        <v>384.61538461538464</v>
      </c>
      <c r="AR39">
        <f t="shared" si="24"/>
        <v>-1923.0769230769231</v>
      </c>
      <c r="AT39">
        <f t="shared" si="52"/>
        <v>-23116810.505438134</v>
      </c>
      <c r="AU39">
        <f t="shared" si="53"/>
        <v>-17267476.08116103</v>
      </c>
      <c r="AV39">
        <f t="shared" si="42"/>
        <v>-2.5000360064259222</v>
      </c>
      <c r="AW39">
        <f t="shared" si="25"/>
        <v>-9135650.3962259423</v>
      </c>
      <c r="AX39">
        <f t="shared" si="26"/>
        <v>-46976278.119680956</v>
      </c>
      <c r="AY39">
        <f t="shared" si="50"/>
        <v>-1.7628725290685892</v>
      </c>
      <c r="BA39">
        <f t="shared" si="27"/>
        <v>0.60292907742276258</v>
      </c>
      <c r="BB39">
        <f t="shared" si="43"/>
        <v>-4.3946754187373989</v>
      </c>
      <c r="BC39">
        <f t="shared" si="44"/>
        <v>-0.73716347735733301</v>
      </c>
      <c r="BD39">
        <f t="shared" si="28"/>
        <v>-222.23635611202488</v>
      </c>
      <c r="BF39">
        <f t="shared" si="29"/>
        <v>20.179828635412662</v>
      </c>
      <c r="BG39">
        <f t="shared" si="30"/>
        <v>-46.747378663204522</v>
      </c>
      <c r="BH39">
        <f t="shared" si="45"/>
        <v>133.25262133679547</v>
      </c>
      <c r="BI39">
        <f t="shared" si="46"/>
        <v>133.25262133679547</v>
      </c>
      <c r="BJ39">
        <f t="shared" si="31"/>
        <v>0</v>
      </c>
      <c r="BK39">
        <f t="shared" si="47"/>
        <v>0</v>
      </c>
      <c r="BM39">
        <f t="shared" si="48"/>
        <v>24.574504054150058</v>
      </c>
      <c r="BN39">
        <f t="shared" si="32"/>
        <v>-4.5110225511796473</v>
      </c>
      <c r="BQ39" s="56">
        <f t="shared" si="49"/>
        <v>12.507285381547737</v>
      </c>
      <c r="BR39" s="58"/>
      <c r="BS39" s="58"/>
      <c r="BT39" s="58">
        <v>194.98400000000001</v>
      </c>
      <c r="BU39" s="58">
        <v>29.685600000000001</v>
      </c>
      <c r="BV39" s="58">
        <v>-265.6327</v>
      </c>
      <c r="BW39" s="61"/>
      <c r="BY39" s="58"/>
      <c r="BZ39" s="58"/>
      <c r="CA39" s="58"/>
      <c r="CC39" s="58"/>
    </row>
    <row r="40" spans="1:81" x14ac:dyDescent="0.2">
      <c r="A40">
        <f t="shared" si="54"/>
        <v>3000</v>
      </c>
      <c r="B40">
        <f t="shared" si="33"/>
        <v>3</v>
      </c>
      <c r="C40">
        <f t="shared" si="0"/>
        <v>1.0000000682471277</v>
      </c>
      <c r="D40">
        <f t="shared" si="1"/>
        <v>3.6945127883067434E-4</v>
      </c>
      <c r="F40">
        <f t="shared" si="2"/>
        <v>1.1966935316738447</v>
      </c>
      <c r="G40">
        <f t="shared" si="3"/>
        <v>-0.10061397106558892</v>
      </c>
      <c r="H40">
        <f t="shared" si="4"/>
        <v>-0.10061397106558892</v>
      </c>
      <c r="J40">
        <f t="shared" si="5"/>
        <v>15</v>
      </c>
      <c r="M40">
        <f t="shared" si="6"/>
        <v>0.41691537594240224</v>
      </c>
      <c r="N40">
        <f t="shared" si="7"/>
        <v>-1.5707963250000001</v>
      </c>
      <c r="O40">
        <f t="shared" si="8"/>
        <v>1.1606417711183494</v>
      </c>
      <c r="P40">
        <f t="shared" si="9"/>
        <v>0.53239806546113422</v>
      </c>
      <c r="Q40">
        <f t="shared" si="10"/>
        <v>1.123499559097886</v>
      </c>
      <c r="R40">
        <f t="shared" si="11"/>
        <v>0.47328443648316793</v>
      </c>
      <c r="S40">
        <f t="shared" si="12"/>
        <v>0.99989523253503931</v>
      </c>
      <c r="T40">
        <f t="shared" si="13"/>
        <v>-1.4475447791483484E-2</v>
      </c>
      <c r="U40">
        <f t="shared" si="14"/>
        <v>0.9998924502005786</v>
      </c>
      <c r="V40">
        <f t="shared" si="15"/>
        <v>-1.4666405647134057E-2</v>
      </c>
      <c r="X40">
        <f t="shared" si="34"/>
        <v>19.786020688880043</v>
      </c>
      <c r="Y40">
        <f t="shared" si="16"/>
        <v>-39.791930163381707</v>
      </c>
      <c r="Z40">
        <f t="shared" si="35"/>
        <v>140.20806983661828</v>
      </c>
      <c r="AA40">
        <f>20*LOG(7)</f>
        <v>16.901960800285135</v>
      </c>
      <c r="AC40">
        <v>1</v>
      </c>
      <c r="AD40">
        <f t="shared" si="17"/>
        <v>0.58914286965449991</v>
      </c>
      <c r="AE40">
        <f t="shared" si="18"/>
        <v>-1.3326097745566697E-6</v>
      </c>
      <c r="AF40">
        <f t="shared" si="19"/>
        <v>9.0854859437999996E-5</v>
      </c>
      <c r="AG40">
        <f t="shared" si="36"/>
        <v>6321.6414959603153</v>
      </c>
      <c r="AH40">
        <f t="shared" si="37"/>
        <v>-11099.288331813621</v>
      </c>
      <c r="AJ40">
        <f t="shared" si="20"/>
        <v>26400</v>
      </c>
      <c r="AK40">
        <f t="shared" si="21"/>
        <v>382.17851578368004</v>
      </c>
      <c r="AL40">
        <v>1</v>
      </c>
      <c r="AM40">
        <f t="shared" si="22"/>
        <v>0.5121047346912001</v>
      </c>
      <c r="AN40">
        <f t="shared" si="38"/>
        <v>21070.064483297541</v>
      </c>
      <c r="AO40">
        <f t="shared" si="39"/>
        <v>-10407.901266361885</v>
      </c>
      <c r="AQ40">
        <f t="shared" si="23"/>
        <v>270.27027027027026</v>
      </c>
      <c r="AR40">
        <f t="shared" si="24"/>
        <v>-1621.6216216216217</v>
      </c>
      <c r="AT40">
        <f t="shared" si="52"/>
        <v>-16290294.187816599</v>
      </c>
      <c r="AU40">
        <f t="shared" si="53"/>
        <v>-13251118.191236626</v>
      </c>
      <c r="AV40">
        <f t="shared" si="42"/>
        <v>-2.4587123163611664</v>
      </c>
      <c r="AW40">
        <f t="shared" si="25"/>
        <v>-11144625.815196022</v>
      </c>
      <c r="AX40">
        <f t="shared" si="26"/>
        <v>-37189411.701257005</v>
      </c>
      <c r="AY40">
        <f t="shared" si="50"/>
        <v>-1.8619521873382801</v>
      </c>
      <c r="BA40">
        <f t="shared" si="27"/>
        <v>0.54089017458850686</v>
      </c>
      <c r="BB40">
        <f t="shared" si="43"/>
        <v>-5.3378181511827592</v>
      </c>
      <c r="BC40">
        <f t="shared" si="44"/>
        <v>-0.59676012902288633</v>
      </c>
      <c r="BD40">
        <f t="shared" si="28"/>
        <v>-214.19183681376373</v>
      </c>
      <c r="BF40">
        <f t="shared" si="29"/>
        <v>19.743666494766945</v>
      </c>
      <c r="BG40">
        <f t="shared" si="30"/>
        <v>-39.935424723423651</v>
      </c>
      <c r="BH40">
        <f t="shared" si="45"/>
        <v>140.06457527657636</v>
      </c>
      <c r="BI40">
        <f t="shared" si="46"/>
        <v>140.06457527657636</v>
      </c>
      <c r="BJ40">
        <f t="shared" si="31"/>
        <v>0</v>
      </c>
      <c r="BK40">
        <f t="shared" si="47"/>
        <v>0</v>
      </c>
      <c r="BM40">
        <f t="shared" si="48"/>
        <v>25.081484645949704</v>
      </c>
      <c r="BN40">
        <f t="shared" si="32"/>
        <v>-5.7435879096599249</v>
      </c>
      <c r="BQ40" s="56">
        <f t="shared" si="49"/>
        <v>11.564142649102378</v>
      </c>
      <c r="BR40" s="58"/>
      <c r="BS40" s="58"/>
      <c r="BT40" s="58">
        <v>199.52600000000001</v>
      </c>
      <c r="BU40" s="58">
        <v>29.050999999999998</v>
      </c>
      <c r="BV40" s="58">
        <v>-267.80150000000003</v>
      </c>
      <c r="BW40" s="61"/>
      <c r="BY40" s="58"/>
      <c r="BZ40" s="58"/>
      <c r="CA40" s="58"/>
      <c r="CC40" s="58"/>
    </row>
    <row r="41" spans="1:81" x14ac:dyDescent="0.2">
      <c r="A41">
        <f t="shared" si="54"/>
        <v>3500</v>
      </c>
      <c r="B41">
        <f t="shared" si="33"/>
        <v>3.5</v>
      </c>
      <c r="C41">
        <f t="shared" si="0"/>
        <v>1.0000000928919226</v>
      </c>
      <c r="D41">
        <f t="shared" si="1"/>
        <v>4.3102648488741423E-4</v>
      </c>
      <c r="F41">
        <f t="shared" si="2"/>
        <v>1.2877889196308971</v>
      </c>
      <c r="G41">
        <f t="shared" si="3"/>
        <v>-0.12644209176845034</v>
      </c>
      <c r="H41">
        <f t="shared" si="4"/>
        <v>-0.12644209176845034</v>
      </c>
      <c r="J41">
        <f t="shared" si="5"/>
        <v>15</v>
      </c>
      <c r="M41">
        <f t="shared" si="6"/>
        <v>0.35735603652205905</v>
      </c>
      <c r="N41">
        <f t="shared" si="7"/>
        <v>-1.5707963250000001</v>
      </c>
      <c r="O41">
        <f t="shared" si="8"/>
        <v>1.2134360845042504</v>
      </c>
      <c r="P41">
        <f t="shared" si="9"/>
        <v>0.60217417306035781</v>
      </c>
      <c r="Q41">
        <f t="shared" si="10"/>
        <v>1.1648833001321548</v>
      </c>
      <c r="R41">
        <f t="shared" si="11"/>
        <v>0.538546461476762</v>
      </c>
      <c r="S41">
        <f t="shared" si="12"/>
        <v>0.99985740793098898</v>
      </c>
      <c r="T41">
        <f t="shared" si="13"/>
        <v>-1.688759650687004E-2</v>
      </c>
      <c r="U41">
        <f t="shared" si="14"/>
        <v>0.99985362130010713</v>
      </c>
      <c r="V41">
        <f t="shared" si="15"/>
        <v>-1.7110363593611205E-2</v>
      </c>
      <c r="X41">
        <f t="shared" si="34"/>
        <v>19.784218469257372</v>
      </c>
      <c r="Y41">
        <f t="shared" si="16"/>
        <v>-33.80936381183804</v>
      </c>
      <c r="Z41">
        <f t="shared" si="35"/>
        <v>146.19063618816196</v>
      </c>
      <c r="AC41">
        <v>1</v>
      </c>
      <c r="AD41">
        <f t="shared" si="17"/>
        <v>0.68733334793025003</v>
      </c>
      <c r="AE41">
        <f t="shared" si="18"/>
        <v>-1.8138299709243558E-6</v>
      </c>
      <c r="AF41">
        <f t="shared" si="19"/>
        <v>1.05997336011E-4</v>
      </c>
      <c r="AG41">
        <f t="shared" si="36"/>
        <v>6321.1505279119338</v>
      </c>
      <c r="AH41">
        <f t="shared" si="37"/>
        <v>-9542.367104143872</v>
      </c>
      <c r="AJ41">
        <f t="shared" si="20"/>
        <v>26400</v>
      </c>
      <c r="AK41">
        <f t="shared" si="21"/>
        <v>445.87493508096003</v>
      </c>
      <c r="AL41">
        <v>1</v>
      </c>
      <c r="AM41">
        <f t="shared" si="22"/>
        <v>0.5974555238064001</v>
      </c>
      <c r="AN41">
        <f t="shared" si="38"/>
        <v>19651.666948087473</v>
      </c>
      <c r="AO41">
        <f t="shared" si="39"/>
        <v>-11295.122035057564</v>
      </c>
      <c r="AQ41">
        <f t="shared" si="23"/>
        <v>200</v>
      </c>
      <c r="AR41">
        <f t="shared" si="24"/>
        <v>-1400</v>
      </c>
      <c r="AT41">
        <f t="shared" si="52"/>
        <v>-12095083.840219034</v>
      </c>
      <c r="AU41">
        <f t="shared" si="53"/>
        <v>-10758084.159905482</v>
      </c>
      <c r="AV41">
        <f t="shared" si="42"/>
        <v>-2.4146317895188827</v>
      </c>
      <c r="AW41">
        <f t="shared" si="25"/>
        <v>-11846590.302012952</v>
      </c>
      <c r="AX41">
        <f t="shared" si="26"/>
        <v>-29954021.615249272</v>
      </c>
      <c r="AY41">
        <f t="shared" si="50"/>
        <v>-1.9474108815096229</v>
      </c>
      <c r="BA41">
        <f t="shared" si="27"/>
        <v>0.50252944181201209</v>
      </c>
      <c r="BB41">
        <f t="shared" si="43"/>
        <v>-5.9767697809583717</v>
      </c>
      <c r="BC41">
        <f t="shared" si="44"/>
        <v>-0.46722090800925975</v>
      </c>
      <c r="BD41">
        <f t="shared" si="28"/>
        <v>-206.76978615978959</v>
      </c>
      <c r="BF41">
        <f t="shared" si="29"/>
        <v>19.741949887480235</v>
      </c>
      <c r="BG41">
        <f t="shared" si="30"/>
        <v>-33.989688380735188</v>
      </c>
      <c r="BH41">
        <f t="shared" si="45"/>
        <v>146.01031161926483</v>
      </c>
      <c r="BI41">
        <f t="shared" si="46"/>
        <v>146.01031161926483</v>
      </c>
      <c r="BJ41">
        <f t="shared" si="31"/>
        <v>0</v>
      </c>
      <c r="BK41">
        <f t="shared" si="47"/>
        <v>0</v>
      </c>
      <c r="BM41">
        <f t="shared" si="48"/>
        <v>25.718719668438602</v>
      </c>
      <c r="BN41">
        <f t="shared" si="32"/>
        <v>-7.2199022209455848</v>
      </c>
      <c r="BQ41" s="56">
        <f t="shared" si="49"/>
        <v>10.925191019326766</v>
      </c>
      <c r="BR41" s="58"/>
      <c r="BS41" s="58"/>
      <c r="BT41" s="58">
        <v>204.17400000000001</v>
      </c>
      <c r="BU41" s="58">
        <v>28.424299999999999</v>
      </c>
      <c r="BV41" s="58">
        <v>-264.16840000000002</v>
      </c>
      <c r="BW41" s="61"/>
      <c r="BY41" s="58"/>
      <c r="BZ41" s="58"/>
      <c r="CA41" s="58"/>
      <c r="CC41" s="58"/>
    </row>
    <row r="42" spans="1:81" x14ac:dyDescent="0.2">
      <c r="A42">
        <f t="shared" si="54"/>
        <v>4000</v>
      </c>
      <c r="B42">
        <f t="shared" si="33"/>
        <v>4</v>
      </c>
      <c r="C42">
        <f t="shared" si="0"/>
        <v>1.0000001213282237</v>
      </c>
      <c r="D42">
        <f t="shared" si="1"/>
        <v>4.9260168767567504E-4</v>
      </c>
      <c r="F42">
        <f t="shared" si="2"/>
        <v>1.4109633861056778</v>
      </c>
      <c r="G42">
        <f t="shared" si="3"/>
        <v>-0.15856902707326917</v>
      </c>
      <c r="H42">
        <f t="shared" si="4"/>
        <v>-0.15856902707326917</v>
      </c>
      <c r="J42">
        <f t="shared" si="5"/>
        <v>15</v>
      </c>
      <c r="M42">
        <f t="shared" si="6"/>
        <v>0.31268653195680168</v>
      </c>
      <c r="N42">
        <f t="shared" si="7"/>
        <v>-1.5707963250000001</v>
      </c>
      <c r="O42">
        <f t="shared" si="8"/>
        <v>1.2716318970273255</v>
      </c>
      <c r="P42">
        <f t="shared" si="9"/>
        <v>0.66585146602966172</v>
      </c>
      <c r="Q42">
        <f t="shared" si="10"/>
        <v>1.2108775582054487</v>
      </c>
      <c r="R42">
        <f t="shared" si="11"/>
        <v>0.59909313258078789</v>
      </c>
      <c r="S42">
        <f t="shared" si="12"/>
        <v>0.99981376949056977</v>
      </c>
      <c r="T42">
        <f t="shared" si="13"/>
        <v>-1.929954870030836E-2</v>
      </c>
      <c r="U42">
        <f t="shared" si="14"/>
        <v>0.99980882434311091</v>
      </c>
      <c r="V42">
        <f t="shared" si="15"/>
        <v>-1.9554117139619374E-2</v>
      </c>
      <c r="X42">
        <f t="shared" si="34"/>
        <v>20.16027908011062</v>
      </c>
      <c r="Y42">
        <f t="shared" si="16"/>
        <v>-28.807276198177032</v>
      </c>
      <c r="Z42">
        <f t="shared" si="35"/>
        <v>151.19272380182298</v>
      </c>
      <c r="AC42">
        <v>1</v>
      </c>
      <c r="AD42">
        <f t="shared" si="17"/>
        <v>0.78552382620600003</v>
      </c>
      <c r="AE42">
        <f t="shared" si="18"/>
        <v>-2.3690840436563012E-6</v>
      </c>
      <c r="AF42">
        <f t="shared" si="19"/>
        <v>1.21139812584E-4</v>
      </c>
      <c r="AG42">
        <f t="shared" si="36"/>
        <v>6320.5841210722401</v>
      </c>
      <c r="AH42">
        <f t="shared" si="37"/>
        <v>-8378.5336409037518</v>
      </c>
      <c r="AJ42">
        <f t="shared" si="20"/>
        <v>26400</v>
      </c>
      <c r="AK42">
        <f t="shared" si="21"/>
        <v>509.57135437824007</v>
      </c>
      <c r="AL42">
        <v>1</v>
      </c>
      <c r="AM42">
        <f t="shared" si="22"/>
        <v>0.6828063129216001</v>
      </c>
      <c r="AN42">
        <f t="shared" si="38"/>
        <v>18242.731075457898</v>
      </c>
      <c r="AO42">
        <f t="shared" si="39"/>
        <v>-11946.680588875462</v>
      </c>
      <c r="AQ42">
        <f t="shared" si="23"/>
        <v>153.84615384615384</v>
      </c>
      <c r="AR42">
        <f t="shared" si="24"/>
        <v>-1230.7692307692307</v>
      </c>
      <c r="AT42">
        <f t="shared" si="52"/>
        <v>-9339643.8471011966</v>
      </c>
      <c r="AU42">
        <f t="shared" si="53"/>
        <v>-9068185.6322279498</v>
      </c>
      <c r="AV42">
        <f t="shared" si="42"/>
        <v>-2.3709403101529896</v>
      </c>
      <c r="AW42">
        <f t="shared" si="25"/>
        <v>-11862963.894842073</v>
      </c>
      <c r="AX42">
        <f t="shared" si="26"/>
        <v>-24453591.501707561</v>
      </c>
      <c r="AY42">
        <f t="shared" si="50"/>
        <v>-2.0224704755475917</v>
      </c>
      <c r="BA42">
        <f t="shared" si="27"/>
        <v>0.47895905363374924</v>
      </c>
      <c r="BB42">
        <f t="shared" si="43"/>
        <v>-6.3940322595176262</v>
      </c>
      <c r="BC42">
        <f t="shared" si="44"/>
        <v>-0.34846983460539782</v>
      </c>
      <c r="BD42">
        <f t="shared" si="28"/>
        <v>-199.96585083332545</v>
      </c>
      <c r="BF42">
        <f t="shared" si="29"/>
        <v>20.118108858342495</v>
      </c>
      <c r="BG42">
        <f t="shared" si="30"/>
        <v>-29.022962858783881</v>
      </c>
      <c r="BH42">
        <f t="shared" si="45"/>
        <v>150.97703714121613</v>
      </c>
      <c r="BI42">
        <f t="shared" si="46"/>
        <v>150.97703714121613</v>
      </c>
      <c r="BJ42">
        <f t="shared" si="31"/>
        <v>0</v>
      </c>
      <c r="BK42">
        <f t="shared" si="47"/>
        <v>0</v>
      </c>
      <c r="BM42">
        <f t="shared" si="48"/>
        <v>26.512141117860118</v>
      </c>
      <c r="BN42">
        <f t="shared" si="32"/>
        <v>-9.0571120254584336</v>
      </c>
      <c r="BQ42" s="56">
        <f t="shared" si="49"/>
        <v>10.50792854076751</v>
      </c>
      <c r="BR42" s="58"/>
      <c r="BS42" s="58"/>
      <c r="BT42" s="58">
        <v>208.93</v>
      </c>
      <c r="BU42" s="58">
        <v>28.510899999999999</v>
      </c>
      <c r="BV42" s="58">
        <v>-267.69110000000001</v>
      </c>
      <c r="BW42" s="61"/>
      <c r="BY42" s="58"/>
      <c r="BZ42" s="58"/>
      <c r="CA42" s="58"/>
      <c r="CC42" s="58"/>
    </row>
    <row r="43" spans="1:81" x14ac:dyDescent="0.2">
      <c r="A43">
        <f t="shared" si="54"/>
        <v>4500</v>
      </c>
      <c r="B43">
        <f t="shared" si="33"/>
        <v>4.5</v>
      </c>
      <c r="C43">
        <f t="shared" si="0"/>
        <v>1.0000001535560306</v>
      </c>
      <c r="D43">
        <f t="shared" si="1"/>
        <v>5.5417688672853172E-4</v>
      </c>
      <c r="F43">
        <f t="shared" si="2"/>
        <v>1.5807284593695434</v>
      </c>
      <c r="G43">
        <f t="shared" si="3"/>
        <v>-0.20035508783284442</v>
      </c>
      <c r="H43">
        <f t="shared" si="4"/>
        <v>-0.20035508783284442</v>
      </c>
      <c r="J43">
        <f t="shared" si="5"/>
        <v>15</v>
      </c>
      <c r="M43">
        <f t="shared" si="6"/>
        <v>0.27794358396160151</v>
      </c>
      <c r="N43">
        <f t="shared" si="7"/>
        <v>-1.5707963250000001</v>
      </c>
      <c r="O43">
        <f t="shared" si="8"/>
        <v>1.3345227506287269</v>
      </c>
      <c r="P43">
        <f t="shared" si="9"/>
        <v>0.72374427242611461</v>
      </c>
      <c r="Q43">
        <f t="shared" si="10"/>
        <v>1.2609779274077619</v>
      </c>
      <c r="R43">
        <f t="shared" si="11"/>
        <v>0.65502074175675717</v>
      </c>
      <c r="S43">
        <f t="shared" si="12"/>
        <v>0.999764319498053</v>
      </c>
      <c r="T43">
        <f t="shared" si="13"/>
        <v>-2.1711276336441251E-2</v>
      </c>
      <c r="U43">
        <f t="shared" si="14"/>
        <v>0.99975806173673221</v>
      </c>
      <c r="V43">
        <f t="shared" si="15"/>
        <v>-2.1997637126952876E-2</v>
      </c>
      <c r="X43">
        <f t="shared" si="34"/>
        <v>20.894625318931119</v>
      </c>
      <c r="Y43">
        <f t="shared" si="16"/>
        <v>-24.954668881337909</v>
      </c>
      <c r="Z43">
        <f t="shared" si="35"/>
        <v>155.04533111866209</v>
      </c>
      <c r="AC43">
        <v>1</v>
      </c>
      <c r="AD43">
        <f t="shared" si="17"/>
        <v>0.88371430448174992</v>
      </c>
      <c r="AE43">
        <f t="shared" si="18"/>
        <v>-2.9983719927525066E-6</v>
      </c>
      <c r="AF43">
        <f t="shared" si="19"/>
        <v>1.3628228915699999E-4</v>
      </c>
      <c r="AG43">
        <f t="shared" si="36"/>
        <v>6319.9423160173546</v>
      </c>
      <c r="AH43">
        <f t="shared" si="37"/>
        <v>-7476.7568430136007</v>
      </c>
      <c r="AJ43">
        <f t="shared" si="20"/>
        <v>26400</v>
      </c>
      <c r="AK43">
        <f t="shared" si="21"/>
        <v>573.26777367552006</v>
      </c>
      <c r="AL43">
        <v>1</v>
      </c>
      <c r="AM43">
        <f t="shared" si="22"/>
        <v>0.7681571020368001</v>
      </c>
      <c r="AN43">
        <f t="shared" si="38"/>
        <v>16880.035774482254</v>
      </c>
      <c r="AO43">
        <f t="shared" si="39"/>
        <v>-12393.25158912828</v>
      </c>
      <c r="AQ43">
        <f t="shared" si="23"/>
        <v>121.95121951219512</v>
      </c>
      <c r="AR43">
        <f t="shared" si="24"/>
        <v>-1097.560975609756</v>
      </c>
      <c r="AT43">
        <f t="shared" si="52"/>
        <v>-7435471.8623298844</v>
      </c>
      <c r="AU43">
        <f t="shared" si="53"/>
        <v>-7848321.6691670474</v>
      </c>
      <c r="AV43">
        <f t="shared" si="42"/>
        <v>-2.329188797116736</v>
      </c>
      <c r="AW43">
        <f t="shared" si="25"/>
        <v>-11511846.176592182</v>
      </c>
      <c r="AX43">
        <f t="shared" si="26"/>
        <v>-20185943.535252586</v>
      </c>
      <c r="AY43">
        <f t="shared" si="50"/>
        <v>-2.0890838782820902</v>
      </c>
      <c r="BA43">
        <f t="shared" si="27"/>
        <v>0.46524285706737256</v>
      </c>
      <c r="BB43">
        <f t="shared" si="43"/>
        <v>-6.6464057184861245</v>
      </c>
      <c r="BC43">
        <f t="shared" si="44"/>
        <v>-0.2401049188346458</v>
      </c>
      <c r="BD43">
        <f t="shared" si="28"/>
        <v>-193.75699850527604</v>
      </c>
      <c r="BF43">
        <f t="shared" si="29"/>
        <v>20.852566244051264</v>
      </c>
      <c r="BG43">
        <f t="shared" si="30"/>
        <v>-25.204747458438664</v>
      </c>
      <c r="BH43">
        <f t="shared" si="45"/>
        <v>154.79525254156133</v>
      </c>
      <c r="BI43">
        <f t="shared" si="46"/>
        <v>154.79525254156133</v>
      </c>
      <c r="BJ43">
        <f t="shared" si="31"/>
        <v>0</v>
      </c>
      <c r="BK43">
        <f t="shared" si="47"/>
        <v>0</v>
      </c>
      <c r="BM43">
        <f t="shared" si="48"/>
        <v>27.498971962537389</v>
      </c>
      <c r="BN43">
        <f t="shared" si="32"/>
        <v>-11.447748953162613</v>
      </c>
      <c r="BQ43" s="56">
        <f t="shared" si="49"/>
        <v>10.255555081799013</v>
      </c>
      <c r="BR43" s="58"/>
      <c r="BS43" s="58"/>
      <c r="BT43" s="58">
        <v>213.79599999999999</v>
      </c>
      <c r="BU43" s="58">
        <v>28.178999999999998</v>
      </c>
      <c r="BV43" s="58">
        <v>-266.9667</v>
      </c>
      <c r="BW43" s="61"/>
      <c r="BY43" s="58"/>
      <c r="BZ43" s="58"/>
      <c r="CA43" s="58"/>
      <c r="CC43" s="58"/>
    </row>
    <row r="44" spans="1:81" x14ac:dyDescent="0.2">
      <c r="A44">
        <f t="shared" si="54"/>
        <v>5000</v>
      </c>
      <c r="B44">
        <f t="shared" si="33"/>
        <v>5</v>
      </c>
      <c r="C44">
        <f t="shared" si="0"/>
        <v>1.000000189575343</v>
      </c>
      <c r="D44">
        <f t="shared" si="1"/>
        <v>6.1575208157905916E-4</v>
      </c>
      <c r="F44">
        <f t="shared" si="2"/>
        <v>1.8221031803569989</v>
      </c>
      <c r="G44">
        <f t="shared" si="3"/>
        <v>-0.25774078948568324</v>
      </c>
      <c r="H44">
        <f t="shared" si="4"/>
        <v>-0.25774078948568324</v>
      </c>
      <c r="J44">
        <f t="shared" si="5"/>
        <v>15</v>
      </c>
      <c r="M44">
        <f t="shared" si="6"/>
        <v>0.25014922556544134</v>
      </c>
      <c r="N44">
        <f t="shared" si="7"/>
        <v>-1.5707963250000001</v>
      </c>
      <c r="O44">
        <f t="shared" si="8"/>
        <v>1.4014767220336033</v>
      </c>
      <c r="P44">
        <f t="shared" si="9"/>
        <v>0.77626820185020706</v>
      </c>
      <c r="Q44">
        <f t="shared" si="10"/>
        <v>1.3147150718915237</v>
      </c>
      <c r="R44">
        <f t="shared" si="11"/>
        <v>0.70652705381494652</v>
      </c>
      <c r="S44">
        <f t="shared" si="12"/>
        <v>0.99970906054127628</v>
      </c>
      <c r="T44">
        <f t="shared" si="13"/>
        <v>-2.4122751395580306E-2</v>
      </c>
      <c r="U44">
        <f t="shared" si="14"/>
        <v>0.99970133620797952</v>
      </c>
      <c r="V44">
        <f t="shared" si="15"/>
        <v>-2.4440894414135248E-2</v>
      </c>
      <c r="X44">
        <f t="shared" si="34"/>
        <v>22.000498029049005</v>
      </c>
      <c r="Y44">
        <f t="shared" si="16"/>
        <v>-22.55676128436318</v>
      </c>
      <c r="Z44">
        <f t="shared" si="35"/>
        <v>157.44323871563682</v>
      </c>
      <c r="AC44">
        <v>1</v>
      </c>
      <c r="AD44">
        <f t="shared" si="17"/>
        <v>0.98190478275750004</v>
      </c>
      <c r="AE44">
        <f t="shared" si="18"/>
        <v>-3.7016938182129706E-6</v>
      </c>
      <c r="AF44">
        <f t="shared" si="19"/>
        <v>1.5142476572999999E-4</v>
      </c>
      <c r="AG44">
        <f t="shared" si="36"/>
        <v>6319.2251587115798</v>
      </c>
      <c r="AH44">
        <f t="shared" si="37"/>
        <v>-6758.417830612143</v>
      </c>
      <c r="AJ44">
        <f t="shared" si="20"/>
        <v>26400</v>
      </c>
      <c r="AK44">
        <f t="shared" si="21"/>
        <v>636.96419297280011</v>
      </c>
      <c r="AL44">
        <v>1</v>
      </c>
      <c r="AM44">
        <f t="shared" si="22"/>
        <v>0.85350789115200021</v>
      </c>
      <c r="AN44">
        <f t="shared" si="38"/>
        <v>15588.100919954126</v>
      </c>
      <c r="AO44">
        <f t="shared" si="39"/>
        <v>-12667.6029502818</v>
      </c>
      <c r="AQ44">
        <f t="shared" si="23"/>
        <v>99.009900990099013</v>
      </c>
      <c r="AR44">
        <f t="shared" si="24"/>
        <v>-990.09900990099015</v>
      </c>
      <c r="AT44">
        <f t="shared" si="52"/>
        <v>-6065836.9452881049</v>
      </c>
      <c r="AU44">
        <f t="shared" si="53"/>
        <v>-6925808.8532403912</v>
      </c>
      <c r="AV44">
        <f t="shared" si="42"/>
        <v>-2.2900966936625595</v>
      </c>
      <c r="AW44">
        <f t="shared" si="25"/>
        <v>-10968840.130443621</v>
      </c>
      <c r="AX44">
        <f t="shared" si="26"/>
        <v>-16823282.630795218</v>
      </c>
      <c r="AY44">
        <f t="shared" si="50"/>
        <v>-2.1485787347016694</v>
      </c>
      <c r="BA44">
        <f t="shared" si="27"/>
        <v>0.4584202950792019</v>
      </c>
      <c r="BB44">
        <f t="shared" si="43"/>
        <v>-6.774723272567357</v>
      </c>
      <c r="BC44">
        <f t="shared" si="44"/>
        <v>-0.14151795896089014</v>
      </c>
      <c r="BD44">
        <f t="shared" si="28"/>
        <v>-188.10838178302976</v>
      </c>
      <c r="BF44">
        <f t="shared" si="29"/>
        <v>21.958562878288475</v>
      </c>
      <c r="BG44">
        <f t="shared" si="30"/>
        <v>-22.84056125026234</v>
      </c>
      <c r="BH44">
        <f t="shared" si="45"/>
        <v>157.15943874973766</v>
      </c>
      <c r="BI44">
        <f t="shared" si="46"/>
        <v>157.15943874973766</v>
      </c>
      <c r="BJ44">
        <f t="shared" si="31"/>
        <v>0</v>
      </c>
      <c r="BK44">
        <f t="shared" si="47"/>
        <v>0</v>
      </c>
      <c r="BM44">
        <f t="shared" si="48"/>
        <v>28.733286150855832</v>
      </c>
      <c r="BN44">
        <f t="shared" si="32"/>
        <v>-14.732179467232568</v>
      </c>
      <c r="BQ44" s="56">
        <f t="shared" si="49"/>
        <v>10.127237527717782</v>
      </c>
      <c r="BR44" s="58"/>
      <c r="BS44" s="58"/>
      <c r="BT44" s="58">
        <v>218.77600000000001</v>
      </c>
      <c r="BU44" s="58">
        <v>27.706399999999999</v>
      </c>
      <c r="BV44" s="58">
        <v>-263.5369</v>
      </c>
      <c r="BW44" s="61"/>
      <c r="BY44" s="58"/>
      <c r="BZ44" s="58"/>
      <c r="CA44" s="58"/>
      <c r="CC44" s="58"/>
    </row>
    <row r="45" spans="1:81" x14ac:dyDescent="0.2">
      <c r="A45">
        <f t="shared" si="54"/>
        <v>5500</v>
      </c>
      <c r="B45">
        <f t="shared" si="33"/>
        <v>5.5</v>
      </c>
      <c r="C45">
        <f t="shared" si="0"/>
        <v>1.0000002293861605</v>
      </c>
      <c r="D45">
        <f t="shared" si="1"/>
        <v>6.773272717603328E-4</v>
      </c>
      <c r="F45">
        <f t="shared" si="2"/>
        <v>2.1805438220658546</v>
      </c>
      <c r="G45">
        <f t="shared" si="3"/>
        <v>-0.34218194181091466</v>
      </c>
      <c r="H45">
        <f t="shared" si="4"/>
        <v>-0.34218194181091466</v>
      </c>
      <c r="J45">
        <f t="shared" si="5"/>
        <v>15</v>
      </c>
      <c r="M45">
        <f t="shared" si="6"/>
        <v>0.22740838687767395</v>
      </c>
      <c r="N45">
        <f t="shared" si="7"/>
        <v>-1.5707963250000001</v>
      </c>
      <c r="O45">
        <f t="shared" si="8"/>
        <v>1.4719394596607853</v>
      </c>
      <c r="P45">
        <f t="shared" si="9"/>
        <v>0.82388472337315788</v>
      </c>
      <c r="Q45">
        <f t="shared" si="10"/>
        <v>1.371661627921795</v>
      </c>
      <c r="R45">
        <f t="shared" si="11"/>
        <v>0.75387391391302139</v>
      </c>
      <c r="S45">
        <f t="shared" si="12"/>
        <v>0.99964799551126593</v>
      </c>
      <c r="T45">
        <f t="shared" si="13"/>
        <v>-2.6533945875655777E-2</v>
      </c>
      <c r="U45">
        <f t="shared" si="14"/>
        <v>0.99963865080332082</v>
      </c>
      <c r="V45">
        <f t="shared" si="15"/>
        <v>-2.6883859878500855E-2</v>
      </c>
      <c r="X45">
        <f t="shared" si="34"/>
        <v>23.525794637603479</v>
      </c>
      <c r="Y45">
        <f t="shared" si="16"/>
        <v>-22.22847683364796</v>
      </c>
      <c r="Z45">
        <f t="shared" si="35"/>
        <v>157.77152316635204</v>
      </c>
      <c r="AC45">
        <v>1</v>
      </c>
      <c r="AD45">
        <f t="shared" si="17"/>
        <v>1.0800952610332499</v>
      </c>
      <c r="AE45">
        <f t="shared" si="18"/>
        <v>-4.4790495200376945E-6</v>
      </c>
      <c r="AF45">
        <f t="shared" si="19"/>
        <v>1.6656724230299999E-4</v>
      </c>
      <c r="AG45">
        <f t="shared" si="36"/>
        <v>6318.4327004991574</v>
      </c>
      <c r="AH45">
        <f t="shared" si="37"/>
        <v>-6173.4862073539944</v>
      </c>
      <c r="AJ45">
        <f t="shared" si="20"/>
        <v>26400</v>
      </c>
      <c r="AK45">
        <f t="shared" si="21"/>
        <v>700.66061227008004</v>
      </c>
      <c r="AL45">
        <v>1</v>
      </c>
      <c r="AM45">
        <f t="shared" si="22"/>
        <v>0.9388586802672001</v>
      </c>
      <c r="AN45">
        <f t="shared" si="38"/>
        <v>14381.323156584031</v>
      </c>
      <c r="AO45">
        <f t="shared" si="39"/>
        <v>-12801.36946701653</v>
      </c>
      <c r="AQ45">
        <f t="shared" si="23"/>
        <v>81.967213114754102</v>
      </c>
      <c r="AR45">
        <f t="shared" si="24"/>
        <v>-901.63934426229503</v>
      </c>
      <c r="AT45">
        <f t="shared" si="52"/>
        <v>-5048353.7360979328</v>
      </c>
      <c r="AU45">
        <f t="shared" si="53"/>
        <v>-6202970.9764626827</v>
      </c>
      <c r="AV45">
        <f t="shared" si="42"/>
        <v>-2.2539319028943909</v>
      </c>
      <c r="AW45">
        <f t="shared" si="25"/>
        <v>-10335322.670576982</v>
      </c>
      <c r="AX45">
        <f t="shared" si="26"/>
        <v>-14141076.397716004</v>
      </c>
      <c r="AY45">
        <f t="shared" si="50"/>
        <v>-2.2019429753429689</v>
      </c>
      <c r="BA45">
        <f t="shared" si="27"/>
        <v>0.45660811941308149</v>
      </c>
      <c r="BB45">
        <f t="shared" si="43"/>
        <v>-6.8091274029101614</v>
      </c>
      <c r="BC45">
        <f t="shared" si="44"/>
        <v>-5.1988927551422037E-2</v>
      </c>
      <c r="BD45">
        <f t="shared" si="28"/>
        <v>-182.97874613351161</v>
      </c>
      <c r="BF45">
        <f t="shared" si="29"/>
        <v>23.483996151605169</v>
      </c>
      <c r="BG45">
        <f t="shared" si="30"/>
        <v>-22.545519253205452</v>
      </c>
      <c r="BH45">
        <f t="shared" si="45"/>
        <v>157.45448074679456</v>
      </c>
      <c r="BI45">
        <f t="shared" si="46"/>
        <v>157.45448074679456</v>
      </c>
      <c r="BJ45">
        <f t="shared" si="31"/>
        <v>0</v>
      </c>
      <c r="BK45">
        <f t="shared" si="47"/>
        <v>0</v>
      </c>
      <c r="BM45">
        <f t="shared" si="48"/>
        <v>30.293123554515326</v>
      </c>
      <c r="BN45">
        <f t="shared" si="32"/>
        <v>-19.566773119693849</v>
      </c>
      <c r="BQ45" s="56">
        <f t="shared" si="49"/>
        <v>10.092833397374976</v>
      </c>
      <c r="BR45" s="58"/>
      <c r="BS45" s="58"/>
      <c r="BT45" s="58">
        <v>223.87200000000001</v>
      </c>
      <c r="BU45" s="58">
        <v>27.937100000000001</v>
      </c>
      <c r="BV45" s="58">
        <v>-265.19450000000001</v>
      </c>
      <c r="BW45" s="61"/>
      <c r="BY45" s="58"/>
      <c r="BZ45" s="58"/>
      <c r="CA45" s="58"/>
      <c r="CC45" s="58"/>
    </row>
    <row r="46" spans="1:81" x14ac:dyDescent="0.2">
      <c r="A46">
        <f t="shared" si="54"/>
        <v>6000</v>
      </c>
      <c r="B46">
        <f t="shared" si="33"/>
        <v>6</v>
      </c>
      <c r="C46">
        <f t="shared" si="0"/>
        <v>1.0000002729884825</v>
      </c>
      <c r="D46">
        <f t="shared" si="1"/>
        <v>7.3890245680542773E-4</v>
      </c>
      <c r="F46">
        <f t="shared" si="2"/>
        <v>2.7408213898575511</v>
      </c>
      <c r="G46">
        <f t="shared" si="3"/>
        <v>-0.47810884726987013</v>
      </c>
      <c r="H46">
        <f t="shared" si="4"/>
        <v>-0.47810884726987013</v>
      </c>
      <c r="J46">
        <f t="shared" si="5"/>
        <v>15</v>
      </c>
      <c r="M46">
        <f t="shared" si="6"/>
        <v>0.20845768797120112</v>
      </c>
      <c r="N46">
        <f t="shared" si="7"/>
        <v>-1.5707963250000001</v>
      </c>
      <c r="O46">
        <f t="shared" si="8"/>
        <v>1.5454310995508527</v>
      </c>
      <c r="P46">
        <f t="shared" si="9"/>
        <v>0.86706294340013579</v>
      </c>
      <c r="Q46">
        <f t="shared" si="10"/>
        <v>1.4314346080672276</v>
      </c>
      <c r="R46">
        <f t="shared" si="11"/>
        <v>0.79735755571057065</v>
      </c>
      <c r="S46">
        <f t="shared" si="12"/>
        <v>0.99958112760181839</v>
      </c>
      <c r="T46">
        <f t="shared" si="13"/>
        <v>-2.8944831794163385E-2</v>
      </c>
      <c r="U46">
        <f t="shared" si="14"/>
        <v>0.99957000888822911</v>
      </c>
      <c r="V46">
        <f t="shared" si="15"/>
        <v>-2.932650441827311E-2</v>
      </c>
      <c r="X46">
        <f t="shared" si="34"/>
        <v>25.548849095252617</v>
      </c>
      <c r="Y46">
        <f t="shared" si="16"/>
        <v>-25.325714727739477</v>
      </c>
      <c r="Z46">
        <f t="shared" si="35"/>
        <v>154.67428527226053</v>
      </c>
      <c r="AC46">
        <v>1</v>
      </c>
      <c r="AD46">
        <f t="shared" si="17"/>
        <v>1.1782857393089998</v>
      </c>
      <c r="AE46">
        <f t="shared" si="18"/>
        <v>-5.3304390982266787E-6</v>
      </c>
      <c r="AF46">
        <f t="shared" si="19"/>
        <v>1.8170971887599999E-4</v>
      </c>
      <c r="AG46">
        <f t="shared" si="36"/>
        <v>6317.5649980951102</v>
      </c>
      <c r="AH46">
        <f t="shared" si="37"/>
        <v>-5688.6081925910739</v>
      </c>
      <c r="AJ46">
        <f t="shared" si="20"/>
        <v>26400</v>
      </c>
      <c r="AK46">
        <f t="shared" si="21"/>
        <v>764.35703156736008</v>
      </c>
      <c r="AL46">
        <v>1</v>
      </c>
      <c r="AM46">
        <f t="shared" si="22"/>
        <v>1.0242094693824002</v>
      </c>
      <c r="AN46">
        <f t="shared" si="38"/>
        <v>13266.371344420872</v>
      </c>
      <c r="AO46">
        <f t="shared" si="39"/>
        <v>-12823.186123731819</v>
      </c>
      <c r="AQ46">
        <f t="shared" si="23"/>
        <v>68.965517241379317</v>
      </c>
      <c r="AR46">
        <f t="shared" si="24"/>
        <v>-827.58620689655174</v>
      </c>
      <c r="AT46">
        <f t="shared" si="52"/>
        <v>-4272119.5388274333</v>
      </c>
      <c r="AU46">
        <f t="shared" si="53"/>
        <v>-5620647.4599815449</v>
      </c>
      <c r="AV46">
        <f t="shared" si="42"/>
        <v>-2.2207149827194894</v>
      </c>
      <c r="AW46">
        <f t="shared" si="25"/>
        <v>-9670995.1904293317</v>
      </c>
      <c r="AX46">
        <f t="shared" si="26"/>
        <v>-11979734.461066825</v>
      </c>
      <c r="AY46">
        <f t="shared" si="50"/>
        <v>-2.2499603115199553</v>
      </c>
      <c r="BA46">
        <f t="shared" si="27"/>
        <v>0.4585512540374832</v>
      </c>
      <c r="BB46">
        <f t="shared" si="43"/>
        <v>-6.7722422903218842</v>
      </c>
      <c r="BC46">
        <f t="shared" si="44"/>
        <v>2.9245328800465931E-2</v>
      </c>
      <c r="BD46">
        <f t="shared" si="28"/>
        <v>-178.32436608734622</v>
      </c>
      <c r="BF46">
        <f t="shared" si="29"/>
        <v>25.507199960859886</v>
      </c>
      <c r="BG46">
        <f t="shared" si="30"/>
        <v>-25.675649222781246</v>
      </c>
      <c r="BH46">
        <f t="shared" si="45"/>
        <v>154.32435077721874</v>
      </c>
      <c r="BI46">
        <f t="shared" si="46"/>
        <v>154.32435077721874</v>
      </c>
      <c r="BJ46">
        <f t="shared" si="31"/>
        <v>0</v>
      </c>
      <c r="BK46">
        <f t="shared" si="47"/>
        <v>0</v>
      </c>
      <c r="BM46">
        <f t="shared" si="48"/>
        <v>32.279442251181777</v>
      </c>
      <c r="BN46">
        <f t="shared" si="32"/>
        <v>-27.351283135435029</v>
      </c>
      <c r="BQ46" s="56">
        <f t="shared" si="49"/>
        <v>10.129718509963253</v>
      </c>
      <c r="BR46" s="58"/>
      <c r="BS46" s="58"/>
      <c r="BT46" s="58">
        <v>229.08699999999999</v>
      </c>
      <c r="BU46" s="58">
        <v>27.676300000000001</v>
      </c>
      <c r="BV46" s="58">
        <v>-266.75440000000003</v>
      </c>
      <c r="BW46" s="61"/>
      <c r="BY46" s="58"/>
      <c r="BZ46" s="58"/>
      <c r="CA46" s="58"/>
      <c r="CC46" s="58"/>
    </row>
    <row r="47" spans="1:81" x14ac:dyDescent="0.2">
      <c r="A47">
        <f t="shared" si="54"/>
        <v>6500</v>
      </c>
      <c r="B47">
        <f t="shared" si="33"/>
        <v>6.5</v>
      </c>
      <c r="C47">
        <f t="shared" si="0"/>
        <v>1.0000003203823087</v>
      </c>
      <c r="D47">
        <f t="shared" si="1"/>
        <v>8.0047763624741983E-4</v>
      </c>
      <c r="F47">
        <f t="shared" si="2"/>
        <v>3.6344781625514568</v>
      </c>
      <c r="G47">
        <f t="shared" si="3"/>
        <v>-0.72210005623899831</v>
      </c>
      <c r="H47">
        <f t="shared" si="4"/>
        <v>-0.72210005623899831</v>
      </c>
      <c r="J47">
        <f t="shared" si="5"/>
        <v>15</v>
      </c>
      <c r="M47">
        <f t="shared" si="6"/>
        <v>0.19242248120418567</v>
      </c>
      <c r="N47">
        <f t="shared" si="7"/>
        <v>-1.5707963250000001</v>
      </c>
      <c r="O47">
        <f t="shared" si="8"/>
        <v>1.6215398650848738</v>
      </c>
      <c r="P47">
        <f t="shared" si="9"/>
        <v>0.90625547225572434</v>
      </c>
      <c r="Q47">
        <f t="shared" si="10"/>
        <v>1.4936947369651072</v>
      </c>
      <c r="R47">
        <f t="shared" si="11"/>
        <v>0.83728666154764786</v>
      </c>
      <c r="S47">
        <f t="shared" si="12"/>
        <v>0.99950846030903517</v>
      </c>
      <c r="T47">
        <f t="shared" si="13"/>
        <v>-3.1355381190107709E-2</v>
      </c>
      <c r="U47">
        <f t="shared" si="14"/>
        <v>0.99949541414668119</v>
      </c>
      <c r="V47">
        <f t="shared" si="15"/>
        <v>-3.1768798954638987E-2</v>
      </c>
      <c r="X47">
        <f t="shared" si="34"/>
        <v>28.090920673030038</v>
      </c>
      <c r="Y47">
        <f t="shared" si="16"/>
        <v>-35.046564993059363</v>
      </c>
      <c r="Z47">
        <f t="shared" si="35"/>
        <v>144.95343500694065</v>
      </c>
      <c r="AC47">
        <v>1</v>
      </c>
      <c r="AD47">
        <f t="shared" si="17"/>
        <v>1.2764762175847499</v>
      </c>
      <c r="AE47">
        <f t="shared" si="18"/>
        <v>-6.255862552779921E-6</v>
      </c>
      <c r="AF47">
        <f t="shared" si="19"/>
        <v>1.9685219544900002E-4</v>
      </c>
      <c r="AG47">
        <f t="shared" si="36"/>
        <v>6316.622113575082</v>
      </c>
      <c r="AH47">
        <f t="shared" si="37"/>
        <v>-5280.6925387311276</v>
      </c>
      <c r="AJ47">
        <f t="shared" si="20"/>
        <v>26400</v>
      </c>
      <c r="AK47">
        <f t="shared" si="21"/>
        <v>828.05345086464013</v>
      </c>
      <c r="AL47">
        <v>1</v>
      </c>
      <c r="AM47">
        <f t="shared" si="22"/>
        <v>1.1095602584976001</v>
      </c>
      <c r="AN47">
        <f t="shared" si="38"/>
        <v>12244.400401838397</v>
      </c>
      <c r="AO47">
        <f t="shared" si="39"/>
        <v>-12757.846624147291</v>
      </c>
      <c r="AQ47">
        <f t="shared" si="23"/>
        <v>58.823529411764703</v>
      </c>
      <c r="AR47">
        <f t="shared" si="24"/>
        <v>-764.70588235294122</v>
      </c>
      <c r="AT47">
        <f t="shared" si="52"/>
        <v>-3666610.6405840931</v>
      </c>
      <c r="AU47">
        <f t="shared" si="53"/>
        <v>-5140987.0597180706</v>
      </c>
      <c r="AV47">
        <f t="shared" si="42"/>
        <v>-2.19033408901893</v>
      </c>
      <c r="AW47">
        <f t="shared" si="25"/>
        <v>-9010947.3744175993</v>
      </c>
      <c r="AX47">
        <f t="shared" si="26"/>
        <v>-10222643.499679048</v>
      </c>
      <c r="AY47">
        <f t="shared" si="50"/>
        <v>-2.2932786821713433</v>
      </c>
      <c r="BA47">
        <f t="shared" si="27"/>
        <v>0.46338099051563647</v>
      </c>
      <c r="BB47">
        <f t="shared" si="43"/>
        <v>-6.6812357287240376</v>
      </c>
      <c r="BC47">
        <f t="shared" si="44"/>
        <v>0.10294459315241333</v>
      </c>
      <c r="BD47">
        <f t="shared" si="28"/>
        <v>-174.10170928193557</v>
      </c>
      <c r="BF47">
        <f t="shared" si="29"/>
        <v>28.049433510796369</v>
      </c>
      <c r="BG47">
        <f t="shared" si="30"/>
        <v>-35.429130947661449</v>
      </c>
      <c r="BH47">
        <f t="shared" si="45"/>
        <v>144.57086905233854</v>
      </c>
      <c r="BI47">
        <f t="shared" si="46"/>
        <v>144.57086905233854</v>
      </c>
      <c r="BJ47">
        <f t="shared" si="31"/>
        <v>0</v>
      </c>
      <c r="BK47">
        <f t="shared" si="47"/>
        <v>0</v>
      </c>
      <c r="BM47">
        <f t="shared" si="48"/>
        <v>34.73066923952041</v>
      </c>
      <c r="BN47">
        <f t="shared" si="32"/>
        <v>-41.327421665725872</v>
      </c>
      <c r="BQ47" s="56">
        <f t="shared" si="49"/>
        <v>10.220725071561098</v>
      </c>
      <c r="BR47" s="58"/>
      <c r="BS47" s="58"/>
      <c r="BT47" s="58">
        <v>234.423</v>
      </c>
      <c r="BU47" s="58">
        <v>27.670300000000001</v>
      </c>
      <c r="BV47" s="58">
        <v>-266.76120000000003</v>
      </c>
      <c r="BW47" s="61"/>
      <c r="BY47" s="58"/>
      <c r="BZ47" s="58"/>
      <c r="CA47" s="58"/>
      <c r="CC47" s="58"/>
    </row>
    <row r="48" spans="1:81" x14ac:dyDescent="0.2">
      <c r="A48">
        <f t="shared" si="54"/>
        <v>7000</v>
      </c>
      <c r="B48">
        <f t="shared" si="33"/>
        <v>7</v>
      </c>
      <c r="C48">
        <f t="shared" si="0"/>
        <v>1.0000003715676384</v>
      </c>
      <c r="D48">
        <f t="shared" si="1"/>
        <v>8.6205280961938497E-4</v>
      </c>
      <c r="F48">
        <f t="shared" si="2"/>
        <v>4.730183909722661</v>
      </c>
      <c r="G48">
        <f t="shared" si="3"/>
        <v>-1.1847290171288578</v>
      </c>
      <c r="H48">
        <f t="shared" si="4"/>
        <v>-1.1847290171288578</v>
      </c>
      <c r="J48">
        <f t="shared" si="5"/>
        <v>15</v>
      </c>
      <c r="M48">
        <f t="shared" si="6"/>
        <v>0.17867801826102953</v>
      </c>
      <c r="N48">
        <f t="shared" si="7"/>
        <v>-1.5707963250000001</v>
      </c>
      <c r="O48">
        <f t="shared" si="8"/>
        <v>1.6999142698112824</v>
      </c>
      <c r="P48">
        <f t="shared" si="9"/>
        <v>0.94188471688022157</v>
      </c>
      <c r="Q48">
        <f t="shared" si="10"/>
        <v>1.5581438995507184</v>
      </c>
      <c r="R48">
        <f t="shared" si="11"/>
        <v>0.87396718446984045</v>
      </c>
      <c r="S48">
        <f t="shared" si="12"/>
        <v>0.99942999743081795</v>
      </c>
      <c r="T48">
        <f t="shared" si="13"/>
        <v>-3.3765566125941872E-2</v>
      </c>
      <c r="U48">
        <f t="shared" si="14"/>
        <v>0.99941487058060896</v>
      </c>
      <c r="V48">
        <f t="shared" si="15"/>
        <v>-3.4210714433819386E-2</v>
      </c>
      <c r="X48">
        <f t="shared" si="34"/>
        <v>30.511466894387375</v>
      </c>
      <c r="Y48">
        <f t="shared" si="16"/>
        <v>-57.684684338438593</v>
      </c>
      <c r="Z48">
        <f t="shared" si="35"/>
        <v>122.31531566156141</v>
      </c>
      <c r="AC48">
        <v>1</v>
      </c>
      <c r="AD48">
        <f t="shared" si="17"/>
        <v>1.3746666958605001</v>
      </c>
      <c r="AE48">
        <f t="shared" si="18"/>
        <v>-7.2553198836974233E-6</v>
      </c>
      <c r="AF48">
        <f t="shared" si="19"/>
        <v>2.11994672022E-4</v>
      </c>
      <c r="AG48">
        <f t="shared" si="36"/>
        <v>6315.6041143642606</v>
      </c>
      <c r="AH48">
        <f t="shared" si="37"/>
        <v>-4933.2453411846927</v>
      </c>
      <c r="AJ48">
        <f t="shared" si="20"/>
        <v>26400</v>
      </c>
      <c r="AK48">
        <f t="shared" si="21"/>
        <v>891.74987016192006</v>
      </c>
      <c r="AL48">
        <v>1</v>
      </c>
      <c r="AM48">
        <f t="shared" si="22"/>
        <v>1.1949110476128002</v>
      </c>
      <c r="AN48">
        <f t="shared" si="38"/>
        <v>11312.884652505469</v>
      </c>
      <c r="AO48">
        <f t="shared" si="39"/>
        <v>-12626.140981486158</v>
      </c>
      <c r="AQ48">
        <f t="shared" si="23"/>
        <v>50.761421319796952</v>
      </c>
      <c r="AR48">
        <f t="shared" si="24"/>
        <v>-710.65989847715741</v>
      </c>
      <c r="AT48">
        <f t="shared" si="52"/>
        <v>-3185270.5919909361</v>
      </c>
      <c r="AU48">
        <f t="shared" si="53"/>
        <v>-4738665.123973825</v>
      </c>
      <c r="AV48">
        <f t="shared" si="42"/>
        <v>-2.1626111863581006</v>
      </c>
      <c r="AW48">
        <f t="shared" si="25"/>
        <v>-8375280.5690546194</v>
      </c>
      <c r="AX48">
        <f t="shared" si="26"/>
        <v>-8782813.0466094669</v>
      </c>
      <c r="AY48">
        <f t="shared" si="50"/>
        <v>-2.3324473375320816</v>
      </c>
      <c r="BA48">
        <f t="shared" si="27"/>
        <v>0.47047685746827078</v>
      </c>
      <c r="BB48">
        <f t="shared" si="43"/>
        <v>-6.5492346889860107</v>
      </c>
      <c r="BC48">
        <f t="shared" si="44"/>
        <v>0.16983615117398099</v>
      </c>
      <c r="BD48">
        <f t="shared" si="28"/>
        <v>-170.26910531786589</v>
      </c>
      <c r="BF48">
        <f t="shared" si="29"/>
        <v>30.470154248549388</v>
      </c>
      <c r="BG48">
        <f t="shared" si="30"/>
        <v>-58.099685955830807</v>
      </c>
      <c r="BH48">
        <f t="shared" si="45"/>
        <v>121.90031404416919</v>
      </c>
      <c r="BI48">
        <f t="shared" si="46"/>
        <v>121.90031404416919</v>
      </c>
      <c r="BJ48">
        <f t="shared" si="31"/>
        <v>0</v>
      </c>
      <c r="BK48">
        <f t="shared" si="47"/>
        <v>0</v>
      </c>
      <c r="BM48">
        <f t="shared" si="48"/>
        <v>37.019388937535396</v>
      </c>
      <c r="BN48">
        <f t="shared" si="32"/>
        <v>-67.830580637964914</v>
      </c>
      <c r="BQ48" s="56">
        <f t="shared" si="49"/>
        <v>10.352726111299127</v>
      </c>
      <c r="BR48" s="58"/>
      <c r="BS48" s="58"/>
      <c r="BT48" s="58">
        <v>239.88300000000001</v>
      </c>
      <c r="BU48" s="58">
        <v>27.2761</v>
      </c>
      <c r="BV48" s="58">
        <v>-267.59569999999997</v>
      </c>
      <c r="BW48" s="61"/>
      <c r="BY48" s="58"/>
      <c r="BZ48" s="58"/>
      <c r="CA48" s="58"/>
      <c r="CC48" s="58"/>
    </row>
    <row r="49" spans="1:81" x14ac:dyDescent="0.2">
      <c r="A49">
        <f t="shared" si="54"/>
        <v>7500</v>
      </c>
      <c r="B49">
        <f t="shared" si="33"/>
        <v>7.5</v>
      </c>
      <c r="C49">
        <f t="shared" si="0"/>
        <v>1.0000004265444711</v>
      </c>
      <c r="D49">
        <f t="shared" si="1"/>
        <v>9.2362797645439943E-4</v>
      </c>
      <c r="F49">
        <f t="shared" si="2"/>
        <v>4.6008320323210103</v>
      </c>
      <c r="G49">
        <f t="shared" si="3"/>
        <v>1.3070705854322435</v>
      </c>
      <c r="H49">
        <f t="shared" si="4"/>
        <v>-1.8345220645677567</v>
      </c>
      <c r="J49">
        <f t="shared" si="5"/>
        <v>15</v>
      </c>
      <c r="M49">
        <f t="shared" si="6"/>
        <v>0.16676615037696088</v>
      </c>
      <c r="N49">
        <f t="shared" si="7"/>
        <v>-1.5707963250000001</v>
      </c>
      <c r="O49">
        <f t="shared" si="8"/>
        <v>1.7802551096414863</v>
      </c>
      <c r="P49">
        <f t="shared" si="9"/>
        <v>0.97433633405607545</v>
      </c>
      <c r="Q49">
        <f t="shared" si="10"/>
        <v>1.6245215820610548</v>
      </c>
      <c r="R49">
        <f t="shared" si="11"/>
        <v>0.90769256220839711</v>
      </c>
      <c r="S49">
        <f t="shared" si="12"/>
        <v>0.99934574306631507</v>
      </c>
      <c r="T49">
        <f t="shared" si="13"/>
        <v>-3.6175358689503077E-2</v>
      </c>
      <c r="U49">
        <f t="shared" si="14"/>
        <v>0.99932838250930334</v>
      </c>
      <c r="V49">
        <f t="shared" si="15"/>
        <v>-3.6652221829135093E-2</v>
      </c>
      <c r="X49">
        <f t="shared" si="34"/>
        <v>30.433348832745281</v>
      </c>
      <c r="Y49">
        <f t="shared" si="16"/>
        <v>-91.397852058313234</v>
      </c>
      <c r="Z49">
        <f t="shared" si="35"/>
        <v>88.602147941686766</v>
      </c>
      <c r="AC49">
        <v>1</v>
      </c>
      <c r="AD49">
        <f t="shared" si="17"/>
        <v>1.4728571741362502</v>
      </c>
      <c r="AE49">
        <f t="shared" si="18"/>
        <v>-8.3288110909791828E-6</v>
      </c>
      <c r="AF49">
        <f t="shared" si="19"/>
        <v>2.27137148595E-4</v>
      </c>
      <c r="AG49">
        <f t="shared" si="36"/>
        <v>6314.5110732253297</v>
      </c>
      <c r="AH49">
        <f t="shared" si="37"/>
        <v>-4634.1709243591376</v>
      </c>
      <c r="AJ49">
        <f t="shared" si="20"/>
        <v>26400</v>
      </c>
      <c r="AK49">
        <f t="shared" si="21"/>
        <v>955.44628945919999</v>
      </c>
      <c r="AL49">
        <v>1</v>
      </c>
      <c r="AM49">
        <f t="shared" si="22"/>
        <v>1.2802618367280003</v>
      </c>
      <c r="AN49">
        <f t="shared" si="38"/>
        <v>10467.027226464061</v>
      </c>
      <c r="AO49">
        <f t="shared" si="39"/>
        <v>-12445.089212575662</v>
      </c>
      <c r="AQ49">
        <f t="shared" si="23"/>
        <v>44.247787610619469</v>
      </c>
      <c r="AR49">
        <f t="shared" si="24"/>
        <v>-663.71681415929208</v>
      </c>
      <c r="AT49">
        <f t="shared" si="52"/>
        <v>-2796374.0173522895</v>
      </c>
      <c r="AU49">
        <f t="shared" si="53"/>
        <v>-4396098.9833070394</v>
      </c>
      <c r="AV49">
        <f t="shared" si="42"/>
        <v>-2.1373403775870292</v>
      </c>
      <c r="AW49">
        <f t="shared" si="25"/>
        <v>-7774827.1977022458</v>
      </c>
      <c r="AX49">
        <f t="shared" si="26"/>
        <v>-7594320.543175892</v>
      </c>
      <c r="AY49">
        <f t="shared" si="50"/>
        <v>-2.3679386908874367</v>
      </c>
      <c r="BA49">
        <f t="shared" si="27"/>
        <v>0.47938377999502246</v>
      </c>
      <c r="BB49">
        <f t="shared" si="43"/>
        <v>-6.3863332891440239</v>
      </c>
      <c r="BC49">
        <f t="shared" si="44"/>
        <v>0.23059831330040748</v>
      </c>
      <c r="BD49">
        <f t="shared" si="28"/>
        <v>-166.78768986995391</v>
      </c>
      <c r="BF49">
        <f t="shared" si="29"/>
        <v>30.392223162562445</v>
      </c>
      <c r="BG49">
        <f t="shared" si="30"/>
        <v>-91.845141728467254</v>
      </c>
      <c r="BH49">
        <f t="shared" si="45"/>
        <v>88.154858271532746</v>
      </c>
      <c r="BI49">
        <f t="shared" si="46"/>
        <v>88.154858271532746</v>
      </c>
      <c r="BJ49">
        <f t="shared" si="31"/>
        <v>0</v>
      </c>
      <c r="BK49">
        <f t="shared" si="47"/>
        <v>0</v>
      </c>
      <c r="BM49">
        <f t="shared" si="48"/>
        <v>36.778556451706471</v>
      </c>
      <c r="BN49">
        <f t="shared" si="32"/>
        <v>-105.05745185851336</v>
      </c>
      <c r="BQ49" s="56">
        <f t="shared" si="49"/>
        <v>10.515627511141112</v>
      </c>
      <c r="BR49" s="58"/>
      <c r="BS49" s="58"/>
      <c r="BT49" s="58">
        <v>245.471</v>
      </c>
      <c r="BU49" s="58">
        <v>27.075500000000002</v>
      </c>
      <c r="BV49" s="58">
        <v>-266.80959999999999</v>
      </c>
      <c r="BW49" s="61"/>
      <c r="BY49" s="58"/>
      <c r="BZ49" s="58"/>
      <c r="CA49" s="58"/>
      <c r="CC49" s="58"/>
    </row>
    <row r="50" spans="1:81" x14ac:dyDescent="0.2">
      <c r="A50">
        <f t="shared" si="54"/>
        <v>8000</v>
      </c>
      <c r="B50">
        <f t="shared" si="33"/>
        <v>8</v>
      </c>
      <c r="C50">
        <f t="shared" si="0"/>
        <v>1.0000004853128062</v>
      </c>
      <c r="D50">
        <f t="shared" si="1"/>
        <v>9.8520313628553953E-4</v>
      </c>
      <c r="F50">
        <f t="shared" si="2"/>
        <v>3.3143832277133192</v>
      </c>
      <c r="G50">
        <f t="shared" si="3"/>
        <v>0.83581920374268448</v>
      </c>
      <c r="H50">
        <f t="shared" si="4"/>
        <v>-2.3057734462573158</v>
      </c>
      <c r="J50">
        <f t="shared" si="5"/>
        <v>15</v>
      </c>
      <c r="M50">
        <f t="shared" si="6"/>
        <v>0.15634326597840084</v>
      </c>
      <c r="N50">
        <f t="shared" si="7"/>
        <v>-1.5707963250000001</v>
      </c>
      <c r="O50">
        <f t="shared" si="8"/>
        <v>1.8623079031538412</v>
      </c>
      <c r="P50">
        <f t="shared" si="9"/>
        <v>1.0039572960205461</v>
      </c>
      <c r="Q50">
        <f t="shared" si="10"/>
        <v>1.6926009109835547</v>
      </c>
      <c r="R50">
        <f t="shared" si="11"/>
        <v>0.93873796155685063</v>
      </c>
      <c r="S50">
        <f t="shared" si="12"/>
        <v>0.99925570161532962</v>
      </c>
      <c r="T50">
        <f t="shared" si="13"/>
        <v>-3.8584730995943804E-2</v>
      </c>
      <c r="U50">
        <f t="shared" si="14"/>
        <v>0.99923595456877334</v>
      </c>
      <c r="V50">
        <f t="shared" si="15"/>
        <v>-3.9093292143067865E-2</v>
      </c>
      <c r="X50">
        <f t="shared" si="34"/>
        <v>27.770482328779778</v>
      </c>
      <c r="Y50">
        <f t="shared" si="16"/>
        <v>-115.19702277851843</v>
      </c>
      <c r="Z50">
        <f t="shared" si="35"/>
        <v>64.802977221481569</v>
      </c>
      <c r="AC50">
        <v>1</v>
      </c>
      <c r="AD50">
        <f t="shared" si="17"/>
        <v>1.5710476524120001</v>
      </c>
      <c r="AE50">
        <f t="shared" si="18"/>
        <v>-9.4763361746252047E-6</v>
      </c>
      <c r="AF50">
        <f t="shared" si="19"/>
        <v>2.42279625168E-4</v>
      </c>
      <c r="AG50">
        <f t="shared" si="36"/>
        <v>6313.3430682454937</v>
      </c>
      <c r="AH50">
        <f t="shared" si="37"/>
        <v>-4374.397395429085</v>
      </c>
      <c r="AJ50">
        <f t="shared" si="20"/>
        <v>26400</v>
      </c>
      <c r="AK50">
        <f t="shared" si="21"/>
        <v>1019.1427087564801</v>
      </c>
      <c r="AL50">
        <v>1</v>
      </c>
      <c r="AM50">
        <f t="shared" si="22"/>
        <v>1.3656126258432002</v>
      </c>
      <c r="AN50">
        <f t="shared" si="38"/>
        <v>9700.7836457951908</v>
      </c>
      <c r="AO50">
        <f t="shared" si="39"/>
        <v>-12228.369918514663</v>
      </c>
      <c r="AQ50">
        <f t="shared" si="23"/>
        <v>38.910505836575872</v>
      </c>
      <c r="AR50">
        <f t="shared" si="24"/>
        <v>-622.56809338521396</v>
      </c>
      <c r="AT50">
        <f t="shared" si="52"/>
        <v>-2477704.8738762592</v>
      </c>
      <c r="AU50">
        <f t="shared" si="53"/>
        <v>-4100695.9722706997</v>
      </c>
      <c r="AV50">
        <f t="shared" si="42"/>
        <v>-2.1143098397163578</v>
      </c>
      <c r="AW50">
        <f t="shared" si="25"/>
        <v>-7214671.028955142</v>
      </c>
      <c r="AX50">
        <f t="shared" si="26"/>
        <v>-6606586.3158395337</v>
      </c>
      <c r="AY50">
        <f t="shared" si="50"/>
        <v>-2.4001624737834568</v>
      </c>
      <c r="BA50">
        <f t="shared" si="27"/>
        <v>0.4897603331133259</v>
      </c>
      <c r="BB50">
        <f t="shared" si="43"/>
        <v>-6.2003278471746803</v>
      </c>
      <c r="BC50">
        <f t="shared" si="44"/>
        <v>0.28585263406709904</v>
      </c>
      <c r="BD50">
        <f t="shared" si="28"/>
        <v>-163.62185048654294</v>
      </c>
      <c r="BF50">
        <f t="shared" si="29"/>
        <v>27.729556000675007</v>
      </c>
      <c r="BG50">
        <f t="shared" si="30"/>
        <v>-115.67648963964426</v>
      </c>
      <c r="BH50">
        <f t="shared" si="45"/>
        <v>64.323510360355741</v>
      </c>
      <c r="BI50">
        <f t="shared" si="46"/>
        <v>64.323510360355741</v>
      </c>
      <c r="BJ50">
        <f t="shared" si="31"/>
        <v>0</v>
      </c>
      <c r="BK50">
        <f t="shared" si="47"/>
        <v>0</v>
      </c>
      <c r="BM50">
        <f t="shared" si="48"/>
        <v>33.929883847849688</v>
      </c>
      <c r="BN50">
        <f t="shared" si="32"/>
        <v>-132.05463915310136</v>
      </c>
      <c r="BQ50" s="56">
        <f t="shared" si="49"/>
        <v>10.701632953110456</v>
      </c>
      <c r="BR50" s="58"/>
      <c r="BS50" s="58"/>
      <c r="BT50" s="58">
        <v>251.18899999999999</v>
      </c>
      <c r="BU50" s="58">
        <v>27.043399999999998</v>
      </c>
      <c r="BV50" s="58">
        <v>-265.9205</v>
      </c>
      <c r="BW50" s="61"/>
      <c r="BY50" s="58"/>
      <c r="BZ50" s="58"/>
      <c r="CA50" s="58"/>
      <c r="CC50" s="58"/>
    </row>
    <row r="51" spans="1:81" x14ac:dyDescent="0.2">
      <c r="A51">
        <f t="shared" si="54"/>
        <v>8500</v>
      </c>
      <c r="B51">
        <f t="shared" si="33"/>
        <v>8.5</v>
      </c>
      <c r="C51">
        <f t="shared" si="0"/>
        <v>1.000000547872643</v>
      </c>
      <c r="D51">
        <f t="shared" si="1"/>
        <v>1.0467782886458819E-3</v>
      </c>
      <c r="F51">
        <f t="shared" si="2"/>
        <v>2.3295073554575341</v>
      </c>
      <c r="G51">
        <f t="shared" si="3"/>
        <v>0.58715265409097039</v>
      </c>
      <c r="H51">
        <f t="shared" si="4"/>
        <v>-2.5544399959090298</v>
      </c>
      <c r="J51">
        <f t="shared" si="5"/>
        <v>15</v>
      </c>
      <c r="M51">
        <f t="shared" si="6"/>
        <v>0.14714660327378903</v>
      </c>
      <c r="N51">
        <f t="shared" si="7"/>
        <v>-1.5707963250000001</v>
      </c>
      <c r="O51">
        <f t="shared" si="8"/>
        <v>1.9458560935850151</v>
      </c>
      <c r="P51">
        <f t="shared" si="9"/>
        <v>1.0310567367347214</v>
      </c>
      <c r="Q51">
        <f t="shared" si="10"/>
        <v>1.7621846757782631</v>
      </c>
      <c r="R51">
        <f t="shared" si="11"/>
        <v>0.96735738222236523</v>
      </c>
      <c r="S51">
        <f t="shared" si="12"/>
        <v>0.99915987777768145</v>
      </c>
      <c r="T51">
        <f t="shared" si="13"/>
        <v>-4.099365518965821E-2</v>
      </c>
      <c r="U51">
        <f t="shared" si="14"/>
        <v>0.99913759171105476</v>
      </c>
      <c r="V51">
        <f t="shared" si="15"/>
        <v>-4.1533896409316262E-2</v>
      </c>
      <c r="X51">
        <f t="shared" si="34"/>
        <v>24.91056497600049</v>
      </c>
      <c r="Y51">
        <f t="shared" si="16"/>
        <v>-126.52644051328832</v>
      </c>
      <c r="Z51">
        <f t="shared" si="35"/>
        <v>53.473559486711679</v>
      </c>
      <c r="AC51">
        <v>1</v>
      </c>
      <c r="AD51">
        <f t="shared" si="17"/>
        <v>1.6692381306877502</v>
      </c>
      <c r="AE51">
        <f t="shared" si="18"/>
        <v>-1.0697895134635486E-5</v>
      </c>
      <c r="AF51">
        <f t="shared" si="19"/>
        <v>2.57422101741E-4</v>
      </c>
      <c r="AG51">
        <f t="shared" si="36"/>
        <v>6312.1001828225544</v>
      </c>
      <c r="AH51">
        <f t="shared" si="37"/>
        <v>-4146.9872967986985</v>
      </c>
      <c r="AJ51">
        <f t="shared" si="20"/>
        <v>26400</v>
      </c>
      <c r="AK51">
        <f t="shared" si="21"/>
        <v>1082.8391280537601</v>
      </c>
      <c r="AL51">
        <v>1</v>
      </c>
      <c r="AM51">
        <f t="shared" si="22"/>
        <v>1.4509634149584003</v>
      </c>
      <c r="AN51">
        <f t="shared" si="38"/>
        <v>9007.5698046198268</v>
      </c>
      <c r="AO51">
        <f t="shared" si="39"/>
        <v>-11986.815116133595</v>
      </c>
      <c r="AQ51">
        <f t="shared" si="23"/>
        <v>34.482758620689658</v>
      </c>
      <c r="AR51">
        <f t="shared" si="24"/>
        <v>-586.20689655172418</v>
      </c>
      <c r="AT51">
        <f t="shared" si="52"/>
        <v>-2213333.9263019077</v>
      </c>
      <c r="AU51">
        <f t="shared" si="53"/>
        <v>-3843196.2208545562</v>
      </c>
      <c r="AV51">
        <f t="shared" si="42"/>
        <v>-2.0933139905486655</v>
      </c>
      <c r="AW51">
        <f t="shared" si="25"/>
        <v>-6696360.9678270305</v>
      </c>
      <c r="AX51">
        <f t="shared" si="26"/>
        <v>-5780406.9549831059</v>
      </c>
      <c r="AY51">
        <f t="shared" si="50"/>
        <v>-2.4294757941226583</v>
      </c>
      <c r="BA51">
        <f t="shared" si="27"/>
        <v>0.50134527905334425</v>
      </c>
      <c r="BB51">
        <f t="shared" si="43"/>
        <v>-5.9972614052458741</v>
      </c>
      <c r="BC51">
        <f t="shared" si="44"/>
        <v>0.33616180357399283</v>
      </c>
      <c r="BD51">
        <f t="shared" si="28"/>
        <v>-160.7393473996959</v>
      </c>
      <c r="BF51">
        <f t="shared" si="29"/>
        <v>24.869850256194294</v>
      </c>
      <c r="BG51">
        <f t="shared" si="30"/>
        <v>-127.03800237384382</v>
      </c>
      <c r="BH51">
        <f t="shared" si="45"/>
        <v>52.961997626156176</v>
      </c>
      <c r="BI51">
        <f t="shared" si="46"/>
        <v>52.961997626156176</v>
      </c>
      <c r="BJ51">
        <f t="shared" si="31"/>
        <v>0</v>
      </c>
      <c r="BK51">
        <f t="shared" si="47"/>
        <v>0</v>
      </c>
      <c r="BM51">
        <f t="shared" si="48"/>
        <v>30.86711166144017</v>
      </c>
      <c r="BN51">
        <f t="shared" si="32"/>
        <v>-146.29865497414792</v>
      </c>
      <c r="BQ51" s="56">
        <f t="shared" si="49"/>
        <v>10.904699395039263</v>
      </c>
      <c r="BR51" s="58"/>
      <c r="BS51" s="58"/>
      <c r="BT51" s="58">
        <v>257.04000000000002</v>
      </c>
      <c r="BU51" s="58">
        <v>26.677600000000002</v>
      </c>
      <c r="BV51" s="58">
        <v>-267.60309999999998</v>
      </c>
      <c r="BW51" s="61"/>
      <c r="BY51" s="58"/>
      <c r="BZ51" s="58"/>
      <c r="CA51" s="58"/>
      <c r="CC51" s="58"/>
    </row>
    <row r="52" spans="1:81" x14ac:dyDescent="0.2">
      <c r="A52">
        <f t="shared" si="54"/>
        <v>9000</v>
      </c>
      <c r="B52">
        <f t="shared" si="33"/>
        <v>9</v>
      </c>
      <c r="C52">
        <f t="shared" si="0"/>
        <v>1.0000006142239806</v>
      </c>
      <c r="D52">
        <f t="shared" si="1"/>
        <v>1.1083534330685043E-3</v>
      </c>
      <c r="F52">
        <f t="shared" si="2"/>
        <v>1.725881713029197</v>
      </c>
      <c r="G52">
        <f t="shared" si="3"/>
        <v>0.44957733648094156</v>
      </c>
      <c r="H52">
        <f t="shared" si="4"/>
        <v>-2.6920153135190588</v>
      </c>
      <c r="J52">
        <f t="shared" si="5"/>
        <v>15</v>
      </c>
      <c r="M52">
        <f t="shared" si="6"/>
        <v>0.13897179198080076</v>
      </c>
      <c r="N52">
        <f t="shared" si="7"/>
        <v>-1.5707963250000001</v>
      </c>
      <c r="O52">
        <f t="shared" si="8"/>
        <v>2.030715117337401</v>
      </c>
      <c r="P52">
        <f t="shared" si="9"/>
        <v>1.0559083369918982</v>
      </c>
      <c r="Q52">
        <f t="shared" si="10"/>
        <v>1.8331015611902957</v>
      </c>
      <c r="R52">
        <f t="shared" si="11"/>
        <v>0.9937826951464479</v>
      </c>
      <c r="S52">
        <f t="shared" si="12"/>
        <v>0.99905827655252732</v>
      </c>
      <c r="T52">
        <f t="shared" si="13"/>
        <v>-4.3402103446203467E-2</v>
      </c>
      <c r="U52">
        <f t="shared" si="14"/>
        <v>0.9990332992034765</v>
      </c>
      <c r="V52">
        <f t="shared" si="15"/>
        <v>-4.3974005694846045E-2</v>
      </c>
      <c r="X52">
        <f t="shared" si="34"/>
        <v>22.520710515698802</v>
      </c>
      <c r="Y52">
        <f t="shared" si="16"/>
        <v>-131.74524875972219</v>
      </c>
      <c r="Z52">
        <f t="shared" si="35"/>
        <v>48.254751240277812</v>
      </c>
      <c r="AC52">
        <v>1</v>
      </c>
      <c r="AD52">
        <f t="shared" si="17"/>
        <v>1.7674286089634998</v>
      </c>
      <c r="AE52">
        <f t="shared" si="18"/>
        <v>-1.1993487971010026E-5</v>
      </c>
      <c r="AF52">
        <f t="shared" si="19"/>
        <v>2.7256457831399997E-4</v>
      </c>
      <c r="AG52">
        <f t="shared" si="36"/>
        <v>6310.782505650046</v>
      </c>
      <c r="AH52">
        <f t="shared" si="37"/>
        <v>-3946.5447077644817</v>
      </c>
      <c r="AJ52">
        <f t="shared" si="20"/>
        <v>26400</v>
      </c>
      <c r="AK52">
        <f t="shared" si="21"/>
        <v>1146.5355473510401</v>
      </c>
      <c r="AL52">
        <v>1</v>
      </c>
      <c r="AM52">
        <f t="shared" si="22"/>
        <v>1.5363142040736002</v>
      </c>
      <c r="AN52">
        <f t="shared" si="38"/>
        <v>8380.7287739668445</v>
      </c>
      <c r="AO52">
        <f t="shared" si="39"/>
        <v>-11728.897108582554</v>
      </c>
      <c r="AQ52">
        <f t="shared" si="23"/>
        <v>30.76923076923077</v>
      </c>
      <c r="AR52">
        <f t="shared" si="24"/>
        <v>-553.84615384615381</v>
      </c>
      <c r="AT52">
        <f t="shared" si="52"/>
        <v>-1991600.6841264805</v>
      </c>
      <c r="AU52">
        <f t="shared" si="53"/>
        <v>-3616634.7633681633</v>
      </c>
      <c r="AV52">
        <f t="shared" si="42"/>
        <v>-2.0741598170470241</v>
      </c>
      <c r="AW52">
        <f t="shared" si="25"/>
        <v>-6219319.251180863</v>
      </c>
      <c r="AX52">
        <f t="shared" si="26"/>
        <v>-5085132.381179167</v>
      </c>
      <c r="AY52">
        <f t="shared" si="50"/>
        <v>-2.4561908488604991</v>
      </c>
      <c r="BA52">
        <f t="shared" si="27"/>
        <v>0.5139352724501024</v>
      </c>
      <c r="BB52">
        <f t="shared" si="43"/>
        <v>-5.7818314951093122</v>
      </c>
      <c r="BC52">
        <f t="shared" si="44"/>
        <v>0.38203103181347497</v>
      </c>
      <c r="BD52">
        <f t="shared" si="28"/>
        <v>-158.11123420904823</v>
      </c>
      <c r="BF52">
        <f t="shared" si="29"/>
        <v>22.480219563163175</v>
      </c>
      <c r="BG52">
        <f t="shared" si="30"/>
        <v>-132.28884626052735</v>
      </c>
      <c r="BH52">
        <f t="shared" si="45"/>
        <v>47.71115373947265</v>
      </c>
      <c r="BI52">
        <f t="shared" si="46"/>
        <v>47.71115373947265</v>
      </c>
      <c r="BJ52">
        <f t="shared" si="31"/>
        <v>0</v>
      </c>
      <c r="BK52">
        <f t="shared" si="47"/>
        <v>0</v>
      </c>
      <c r="BM52">
        <f t="shared" si="48"/>
        <v>28.262051058272483</v>
      </c>
      <c r="BN52">
        <f t="shared" si="32"/>
        <v>-154.17761205147912</v>
      </c>
      <c r="BQ52" s="56">
        <f t="shared" si="49"/>
        <v>11.120129305175826</v>
      </c>
      <c r="BR52" s="58"/>
      <c r="BS52" s="58"/>
      <c r="BT52" s="58">
        <v>263.02699999999999</v>
      </c>
      <c r="BU52" s="58">
        <v>26.270299999999999</v>
      </c>
      <c r="BV52" s="58">
        <v>-267.3229</v>
      </c>
      <c r="BW52" s="61"/>
      <c r="BY52" s="58"/>
      <c r="BZ52" s="58"/>
      <c r="CA52" s="58"/>
      <c r="CC52" s="58"/>
    </row>
    <row r="53" spans="1:81" x14ac:dyDescent="0.2">
      <c r="A53">
        <f t="shared" si="54"/>
        <v>9500</v>
      </c>
      <c r="B53">
        <f t="shared" si="33"/>
        <v>9.5</v>
      </c>
      <c r="C53">
        <f t="shared" si="0"/>
        <v>1.0000006843668185</v>
      </c>
      <c r="D53">
        <f t="shared" si="1"/>
        <v>1.1699285690864836E-3</v>
      </c>
      <c r="F53">
        <f t="shared" si="2"/>
        <v>1.342753859215569</v>
      </c>
      <c r="G53">
        <f t="shared" si="3"/>
        <v>0.36494245414267873</v>
      </c>
      <c r="H53">
        <f t="shared" si="4"/>
        <v>-2.7766501958573215</v>
      </c>
      <c r="J53">
        <f t="shared" si="5"/>
        <v>15</v>
      </c>
      <c r="M53">
        <f t="shared" si="6"/>
        <v>0.13165748713970596</v>
      </c>
      <c r="N53">
        <f t="shared" si="7"/>
        <v>-1.5707963250000001</v>
      </c>
      <c r="O53">
        <f t="shared" si="8"/>
        <v>2.1167273274258576</v>
      </c>
      <c r="P53">
        <f t="shared" si="9"/>
        <v>1.0787534459567212</v>
      </c>
      <c r="Q53">
        <f t="shared" si="10"/>
        <v>1.9052027057859307</v>
      </c>
      <c r="R53">
        <f t="shared" si="11"/>
        <v>1.0182239254929042</v>
      </c>
      <c r="S53">
        <f t="shared" si="12"/>
        <v>0.99895090323763758</v>
      </c>
      <c r="T53">
        <f t="shared" si="13"/>
        <v>-4.5810047974215708E-2</v>
      </c>
      <c r="U53">
        <f t="shared" si="14"/>
        <v>0.99892308262787721</v>
      </c>
      <c r="V53">
        <f t="shared" si="15"/>
        <v>-4.6413591101934507E-2</v>
      </c>
      <c r="X53">
        <f t="shared" si="34"/>
        <v>20.564316523824232</v>
      </c>
      <c r="Y53">
        <f t="shared" si="16"/>
        <v>-134.15937765981744</v>
      </c>
      <c r="Z53">
        <f t="shared" si="35"/>
        <v>45.840622340182563</v>
      </c>
      <c r="AC53">
        <v>1</v>
      </c>
      <c r="AD53">
        <f t="shared" si="17"/>
        <v>1.86561908723925</v>
      </c>
      <c r="AE53">
        <f t="shared" si="18"/>
        <v>-1.3363114683748825E-5</v>
      </c>
      <c r="AF53">
        <f t="shared" si="19"/>
        <v>2.87707054887E-4</v>
      </c>
      <c r="AG53">
        <f t="shared" si="36"/>
        <v>6309.3901307014594</v>
      </c>
      <c r="AH53">
        <f t="shared" si="37"/>
        <v>-3768.809577251945</v>
      </c>
      <c r="AJ53">
        <f t="shared" si="20"/>
        <v>26400</v>
      </c>
      <c r="AK53">
        <f t="shared" si="21"/>
        <v>1210.2319666483199</v>
      </c>
      <c r="AL53">
        <v>1</v>
      </c>
      <c r="AM53">
        <f t="shared" si="22"/>
        <v>1.6216649931888001</v>
      </c>
      <c r="AN53">
        <f t="shared" si="38"/>
        <v>7813.8221167923657</v>
      </c>
      <c r="AO53">
        <f t="shared" si="39"/>
        <v>-11461.169823158269</v>
      </c>
      <c r="AQ53">
        <f t="shared" si="23"/>
        <v>27.624309392265193</v>
      </c>
      <c r="AR53">
        <f t="shared" si="24"/>
        <v>-524.86187845303868</v>
      </c>
      <c r="AT53">
        <f t="shared" si="52"/>
        <v>-1803811.9292012567</v>
      </c>
      <c r="AU53">
        <f t="shared" si="53"/>
        <v>-3415669.1176955709</v>
      </c>
      <c r="AV53">
        <f t="shared" si="42"/>
        <v>-2.0566697371240652</v>
      </c>
      <c r="AW53">
        <f t="shared" si="25"/>
        <v>-5781740.5422450416</v>
      </c>
      <c r="AX53">
        <f t="shared" si="26"/>
        <v>-4496615.3593334416</v>
      </c>
      <c r="AY53">
        <f t="shared" si="50"/>
        <v>-2.4805811635707462</v>
      </c>
      <c r="BA53">
        <f t="shared" si="27"/>
        <v>0.52736961479996536</v>
      </c>
      <c r="BB53">
        <f t="shared" si="43"/>
        <v>-5.5576979271374931</v>
      </c>
      <c r="BC53">
        <f t="shared" si="44"/>
        <v>0.42391142644668101</v>
      </c>
      <c r="BD53">
        <f t="shared" si="28"/>
        <v>-155.71166434948128</v>
      </c>
      <c r="BF53">
        <f t="shared" si="29"/>
        <v>20.524061383454143</v>
      </c>
      <c r="BG53">
        <f t="shared" si="30"/>
        <v>-134.73496996864941</v>
      </c>
      <c r="BH53">
        <f t="shared" si="45"/>
        <v>45.265030031350591</v>
      </c>
      <c r="BI53">
        <f t="shared" si="46"/>
        <v>45.265030031350591</v>
      </c>
      <c r="BJ53">
        <f t="shared" si="31"/>
        <v>0</v>
      </c>
      <c r="BK53">
        <f t="shared" si="47"/>
        <v>0</v>
      </c>
      <c r="BM53">
        <f t="shared" si="48"/>
        <v>26.081759310591632</v>
      </c>
      <c r="BN53">
        <f t="shared" si="32"/>
        <v>-159.02330561916813</v>
      </c>
      <c r="BQ53" s="56">
        <f t="shared" si="49"/>
        <v>11.344262873147644</v>
      </c>
      <c r="BR53" s="58"/>
      <c r="BS53" s="58"/>
      <c r="BT53" s="58">
        <v>269.15300000000002</v>
      </c>
      <c r="BU53" s="58">
        <v>26.235900000000001</v>
      </c>
      <c r="BV53" s="58">
        <v>-265.67700000000002</v>
      </c>
      <c r="BW53" s="61"/>
      <c r="BY53" s="58"/>
      <c r="BZ53" s="58"/>
      <c r="CA53" s="58"/>
      <c r="CC53" s="58"/>
    </row>
    <row r="54" spans="1:81" x14ac:dyDescent="0.2">
      <c r="A54">
        <f t="shared" si="54"/>
        <v>10000</v>
      </c>
      <c r="B54">
        <f t="shared" si="33"/>
        <v>10</v>
      </c>
      <c r="C54">
        <f t="shared" si="0"/>
        <v>1.0000007583011561</v>
      </c>
      <c r="D54">
        <f t="shared" si="1"/>
        <v>1.2315036962328981E-3</v>
      </c>
      <c r="F54">
        <f t="shared" si="2"/>
        <v>1.0841275010879288</v>
      </c>
      <c r="G54">
        <f t="shared" si="3"/>
        <v>0.30817518046023179</v>
      </c>
      <c r="H54">
        <f t="shared" si="4"/>
        <v>-2.8334174695397683</v>
      </c>
      <c r="J54">
        <f t="shared" si="5"/>
        <v>15</v>
      </c>
      <c r="M54">
        <f t="shared" si="6"/>
        <v>0.12507461278272067</v>
      </c>
      <c r="N54">
        <f t="shared" si="7"/>
        <v>-1.5707963250000001</v>
      </c>
      <c r="O54">
        <f t="shared" si="8"/>
        <v>2.2037577021097885</v>
      </c>
      <c r="P54">
        <f t="shared" si="9"/>
        <v>1.0998044440513051</v>
      </c>
      <c r="Q54">
        <f t="shared" si="10"/>
        <v>1.9783586330680638</v>
      </c>
      <c r="R54">
        <f t="shared" si="11"/>
        <v>1.0408702878050358</v>
      </c>
      <c r="S54">
        <f t="shared" si="12"/>
        <v>0.99883776342863073</v>
      </c>
      <c r="T54">
        <f t="shared" si="13"/>
        <v>-4.821746101732019E-2</v>
      </c>
      <c r="U54">
        <f t="shared" si="14"/>
        <v>0.99880694787977953</v>
      </c>
      <c r="V54">
        <f t="shared" si="15"/>
        <v>-4.8852623770208624E-2</v>
      </c>
      <c r="X54">
        <f t="shared" si="34"/>
        <v>18.935729812144253</v>
      </c>
      <c r="Y54">
        <f t="shared" si="16"/>
        <v>-135.18238142028062</v>
      </c>
      <c r="Z54">
        <f t="shared" si="35"/>
        <v>44.81761857971938</v>
      </c>
      <c r="AC54">
        <v>1</v>
      </c>
      <c r="AD54">
        <f t="shared" si="17"/>
        <v>1.9638095655150001</v>
      </c>
      <c r="AE54">
        <f t="shared" si="18"/>
        <v>-1.4806775272851883E-5</v>
      </c>
      <c r="AF54">
        <f t="shared" si="19"/>
        <v>3.0284953145999998E-4</v>
      </c>
      <c r="AG54">
        <f t="shared" si="36"/>
        <v>6307.9231572135186</v>
      </c>
      <c r="AH54">
        <f t="shared" si="37"/>
        <v>-3610.373756750203</v>
      </c>
      <c r="AJ54">
        <f t="shared" si="20"/>
        <v>26400</v>
      </c>
      <c r="AK54">
        <f t="shared" si="21"/>
        <v>1273.9283859456002</v>
      </c>
      <c r="AL54">
        <v>1</v>
      </c>
      <c r="AM54">
        <f t="shared" si="22"/>
        <v>1.7070157823040004</v>
      </c>
      <c r="AN54">
        <f t="shared" si="38"/>
        <v>7300.7983920077049</v>
      </c>
      <c r="AO54">
        <f t="shared" si="39"/>
        <v>-11188.649692631221</v>
      </c>
      <c r="AQ54">
        <f t="shared" si="23"/>
        <v>24.937655860349128</v>
      </c>
      <c r="AR54">
        <f t="shared" si="24"/>
        <v>-498.75311720698255</v>
      </c>
      <c r="AT54">
        <f t="shared" si="52"/>
        <v>-1643380.3485733303</v>
      </c>
      <c r="AU54">
        <f t="shared" si="53"/>
        <v>-3236130.596035426</v>
      </c>
      <c r="AV54">
        <f t="shared" si="42"/>
        <v>-2.0406824375867538</v>
      </c>
      <c r="AW54">
        <f t="shared" si="25"/>
        <v>-5381164.3496697787</v>
      </c>
      <c r="AX54">
        <f t="shared" si="26"/>
        <v>-3995698.521022243</v>
      </c>
      <c r="AY54">
        <f t="shared" si="50"/>
        <v>-2.5028868097105113</v>
      </c>
      <c r="BA54">
        <f t="shared" si="27"/>
        <v>0.54151958804356248</v>
      </c>
      <c r="BB54">
        <f t="shared" si="43"/>
        <v>-5.3277165859303786</v>
      </c>
      <c r="BC54">
        <f t="shared" si="44"/>
        <v>0.46220437212375742</v>
      </c>
      <c r="BD54">
        <f t="shared" si="28"/>
        <v>-153.51764017455403</v>
      </c>
      <c r="BF54">
        <f t="shared" si="29"/>
        <v>18.895722408085284</v>
      </c>
      <c r="BG54">
        <f t="shared" si="30"/>
        <v>-135.78994299899446</v>
      </c>
      <c r="BH54">
        <f t="shared" si="45"/>
        <v>44.210057001005538</v>
      </c>
      <c r="BI54">
        <f t="shared" si="46"/>
        <v>44.210057001005538</v>
      </c>
      <c r="BJ54">
        <f t="shared" si="31"/>
        <v>0</v>
      </c>
      <c r="BK54">
        <f t="shared" si="47"/>
        <v>0</v>
      </c>
      <c r="BM54">
        <f t="shared" si="48"/>
        <v>24.223438994015666</v>
      </c>
      <c r="BN54">
        <f t="shared" si="32"/>
        <v>-162.27230282444046</v>
      </c>
      <c r="BQ54" s="56">
        <f t="shared" si="49"/>
        <v>11.574244214354758</v>
      </c>
      <c r="BR54" s="58"/>
      <c r="BS54" s="58"/>
      <c r="BT54" s="58">
        <v>275.423</v>
      </c>
      <c r="BU54" s="58">
        <v>25.845600000000001</v>
      </c>
      <c r="BV54" s="58">
        <v>-266.46569999999997</v>
      </c>
      <c r="BW54" s="61"/>
      <c r="BY54" s="58"/>
      <c r="BZ54" s="58"/>
      <c r="CA54" s="58"/>
      <c r="CC54" s="58"/>
    </row>
    <row r="55" spans="1:81" x14ac:dyDescent="0.2">
      <c r="A55">
        <f t="shared" si="54"/>
        <v>10500</v>
      </c>
      <c r="B55">
        <f t="shared" si="33"/>
        <v>10.5</v>
      </c>
      <c r="C55">
        <f t="shared" si="0"/>
        <v>1.0000008360269921</v>
      </c>
      <c r="D55">
        <f t="shared" si="1"/>
        <v>1.2930788140408259E-3</v>
      </c>
      <c r="F55">
        <f t="shared" si="2"/>
        <v>0.89998174587460755</v>
      </c>
      <c r="G55">
        <f t="shared" si="3"/>
        <v>0.267570779440026</v>
      </c>
      <c r="H55">
        <f t="shared" si="4"/>
        <v>-2.8740218705599743</v>
      </c>
      <c r="J55">
        <f t="shared" si="5"/>
        <v>15</v>
      </c>
      <c r="M55">
        <f t="shared" si="6"/>
        <v>0.11911867884068635</v>
      </c>
      <c r="N55">
        <f t="shared" si="7"/>
        <v>-1.5707963250000001</v>
      </c>
      <c r="O55">
        <f t="shared" si="8"/>
        <v>2.2916902453414285</v>
      </c>
      <c r="P55">
        <f t="shared" si="9"/>
        <v>1.1192480576112083</v>
      </c>
      <c r="Q55">
        <f t="shared" si="10"/>
        <v>2.0524565589412651</v>
      </c>
      <c r="R55">
        <f t="shared" si="11"/>
        <v>1.0618916342859799</v>
      </c>
      <c r="S55">
        <f t="shared" si="12"/>
        <v>0.9987188630181667</v>
      </c>
      <c r="T55">
        <f t="shared" si="13"/>
        <v>-5.0624314856035475E-2</v>
      </c>
      <c r="U55">
        <f t="shared" si="14"/>
        <v>0.99868490116751396</v>
      </c>
      <c r="V55">
        <f t="shared" si="15"/>
        <v>-5.1291074878676526E-2</v>
      </c>
      <c r="X55">
        <f t="shared" si="34"/>
        <v>17.552136349662661</v>
      </c>
      <c r="Y55">
        <f t="shared" si="16"/>
        <v>-135.46445832976545</v>
      </c>
      <c r="Z55">
        <f t="shared" si="35"/>
        <v>44.535541670234551</v>
      </c>
      <c r="AC55">
        <v>1</v>
      </c>
      <c r="AD55">
        <f t="shared" si="17"/>
        <v>2.06200004379075</v>
      </c>
      <c r="AE55">
        <f t="shared" si="18"/>
        <v>-1.6324469738319204E-5</v>
      </c>
      <c r="AF55">
        <f t="shared" si="19"/>
        <v>3.1799200803299995E-4</v>
      </c>
      <c r="AG55">
        <f t="shared" si="36"/>
        <v>6306.3816896685439</v>
      </c>
      <c r="AH55">
        <f t="shared" si="37"/>
        <v>-3468.4781667117395</v>
      </c>
      <c r="AJ55">
        <f t="shared" si="20"/>
        <v>26400</v>
      </c>
      <c r="AK55">
        <f t="shared" si="21"/>
        <v>1337.62480524288</v>
      </c>
      <c r="AL55">
        <v>1</v>
      </c>
      <c r="AM55">
        <f t="shared" si="22"/>
        <v>1.7923665714192003</v>
      </c>
      <c r="AN55">
        <f t="shared" si="38"/>
        <v>6836.0786410499795</v>
      </c>
      <c r="AO55">
        <f t="shared" si="39"/>
        <v>-10915.134030567897</v>
      </c>
      <c r="AQ55">
        <f t="shared" si="23"/>
        <v>22.624434389140273</v>
      </c>
      <c r="AR55">
        <f t="shared" si="24"/>
        <v>-475.11312217194569</v>
      </c>
      <c r="AT55">
        <f t="shared" si="52"/>
        <v>-1505241.1722008593</v>
      </c>
      <c r="AU55">
        <f t="shared" si="53"/>
        <v>-3074717.0508993478</v>
      </c>
      <c r="AV55">
        <f t="shared" si="42"/>
        <v>-2.0260525675802779</v>
      </c>
      <c r="AW55">
        <f t="shared" si="25"/>
        <v>-5014836.0244771512</v>
      </c>
      <c r="AX55">
        <f t="shared" si="26"/>
        <v>-3567084.131797154</v>
      </c>
      <c r="AY55">
        <f t="shared" si="50"/>
        <v>-2.5233188476291897</v>
      </c>
      <c r="BA55">
        <f t="shared" si="27"/>
        <v>0.55628083896167768</v>
      </c>
      <c r="BB55">
        <f t="shared" si="43"/>
        <v>-5.0941179806379244</v>
      </c>
      <c r="BC55">
        <f t="shared" si="44"/>
        <v>0.49726628004891182</v>
      </c>
      <c r="BD55">
        <f t="shared" si="28"/>
        <v>-151.5087408264709</v>
      </c>
      <c r="BF55">
        <f t="shared" si="29"/>
        <v>17.512388478756755</v>
      </c>
      <c r="BG55">
        <f t="shared" si="30"/>
        <v>-136.10397646730675</v>
      </c>
      <c r="BH55">
        <f t="shared" si="45"/>
        <v>43.896023532693249</v>
      </c>
      <c r="BI55">
        <f t="shared" si="46"/>
        <v>43.896023532693249</v>
      </c>
      <c r="BJ55">
        <f t="shared" si="31"/>
        <v>0</v>
      </c>
      <c r="BK55">
        <f t="shared" si="47"/>
        <v>0</v>
      </c>
      <c r="BM55">
        <f t="shared" si="48"/>
        <v>22.606506459394677</v>
      </c>
      <c r="BN55">
        <f t="shared" si="32"/>
        <v>-164.59523564083588</v>
      </c>
      <c r="BQ55" s="56">
        <f t="shared" si="49"/>
        <v>11.807842819647211</v>
      </c>
      <c r="BR55" s="59"/>
      <c r="BS55" s="59"/>
      <c r="BT55" s="59">
        <v>281.83800000000002</v>
      </c>
      <c r="BU55" s="59">
        <v>26.1068</v>
      </c>
      <c r="BV55" s="59">
        <v>-266.67570000000001</v>
      </c>
      <c r="BW55" s="61"/>
      <c r="BY55" s="59"/>
      <c r="BZ55" s="59"/>
      <c r="CA55" s="59"/>
      <c r="CC55" s="59"/>
    </row>
    <row r="56" spans="1:81" x14ac:dyDescent="0.2">
      <c r="A56">
        <f t="shared" si="54"/>
        <v>11000</v>
      </c>
      <c r="B56">
        <f t="shared" si="33"/>
        <v>11</v>
      </c>
      <c r="C56">
        <f t="shared" si="0"/>
        <v>1.0000009175443259</v>
      </c>
      <c r="D56">
        <f t="shared" si="1"/>
        <v>1.3546539220433459E-3</v>
      </c>
      <c r="F56">
        <f t="shared" si="2"/>
        <v>0.76318488372459625</v>
      </c>
      <c r="G56">
        <f t="shared" si="3"/>
        <v>0.23709372803769352</v>
      </c>
      <c r="H56">
        <f t="shared" si="4"/>
        <v>-2.9044989219623067</v>
      </c>
      <c r="J56">
        <f t="shared" si="5"/>
        <v>15</v>
      </c>
      <c r="M56">
        <f t="shared" si="6"/>
        <v>0.11370419343883698</v>
      </c>
      <c r="N56">
        <f t="shared" si="7"/>
        <v>-1.5707963250000001</v>
      </c>
      <c r="O56">
        <f t="shared" si="8"/>
        <v>2.3804249813060565</v>
      </c>
      <c r="P56">
        <f t="shared" si="9"/>
        <v>1.137248468271798</v>
      </c>
      <c r="Q56">
        <f t="shared" si="10"/>
        <v>2.1273980553841527</v>
      </c>
      <c r="R56">
        <f t="shared" si="11"/>
        <v>1.0814400906720487</v>
      </c>
      <c r="S56">
        <f t="shared" si="12"/>
        <v>0.99859420819509503</v>
      </c>
      <c r="T56">
        <f t="shared" si="13"/>
        <v>-5.303058180967115E-2</v>
      </c>
      <c r="U56">
        <f t="shared" si="14"/>
        <v>0.99855694901130221</v>
      </c>
      <c r="V56">
        <f t="shared" si="15"/>
        <v>-5.3728915647751965E-2</v>
      </c>
      <c r="X56">
        <f t="shared" si="34"/>
        <v>16.355260751204817</v>
      </c>
      <c r="Y56">
        <f t="shared" si="16"/>
        <v>-135.33329207390756</v>
      </c>
      <c r="Z56">
        <f t="shared" si="35"/>
        <v>44.666707926092442</v>
      </c>
      <c r="AC56">
        <v>1</v>
      </c>
      <c r="AD56">
        <f t="shared" si="17"/>
        <v>2.1601905220664999</v>
      </c>
      <c r="AE56">
        <f t="shared" si="18"/>
        <v>-1.7916198080150778E-5</v>
      </c>
      <c r="AF56">
        <f t="shared" si="19"/>
        <v>3.3313448460599998E-4</v>
      </c>
      <c r="AG56">
        <f t="shared" si="36"/>
        <v>6304.765837775919</v>
      </c>
      <c r="AH56">
        <f t="shared" si="37"/>
        <v>-3340.8652812237742</v>
      </c>
      <c r="AJ56">
        <f t="shared" si="20"/>
        <v>26400</v>
      </c>
      <c r="AK56">
        <f t="shared" si="21"/>
        <v>1401.3212245401601</v>
      </c>
      <c r="AL56">
        <v>1</v>
      </c>
      <c r="AM56">
        <f t="shared" si="22"/>
        <v>1.8777173605344002</v>
      </c>
      <c r="AN56">
        <f t="shared" si="38"/>
        <v>6414.5876866521585</v>
      </c>
      <c r="AO56">
        <f t="shared" si="39"/>
        <v>-10643.461435356796</v>
      </c>
      <c r="AQ56">
        <f t="shared" si="23"/>
        <v>20.618556701030929</v>
      </c>
      <c r="AR56">
        <f t="shared" si="24"/>
        <v>-453.60824742268039</v>
      </c>
      <c r="AT56">
        <f t="shared" si="52"/>
        <v>-1385448.8731782909</v>
      </c>
      <c r="AU56">
        <f t="shared" si="53"/>
        <v>-2928777.6023153402</v>
      </c>
      <c r="AV56">
        <f t="shared" si="42"/>
        <v>-2.0126498215441702</v>
      </c>
      <c r="AW56">
        <f t="shared" si="25"/>
        <v>-4679930.4306671852</v>
      </c>
      <c r="AX56">
        <f t="shared" si="26"/>
        <v>-3198481.2716412526</v>
      </c>
      <c r="AY56">
        <f t="shared" si="50"/>
        <v>-2.5420631450619702</v>
      </c>
      <c r="BA56">
        <f t="shared" si="27"/>
        <v>0.57156784241506164</v>
      </c>
      <c r="BB56">
        <f t="shared" si="43"/>
        <v>-4.858644269929143</v>
      </c>
      <c r="BC56">
        <f t="shared" si="44"/>
        <v>0.52941332351780002</v>
      </c>
      <c r="BD56">
        <f t="shared" si="28"/>
        <v>-149.66685090977535</v>
      </c>
      <c r="BF56">
        <f t="shared" si="29"/>
        <v>16.315784076530147</v>
      </c>
      <c r="BG56">
        <f t="shared" si="30"/>
        <v>-136.00476497614781</v>
      </c>
      <c r="BH56">
        <f t="shared" si="45"/>
        <v>43.995235023852189</v>
      </c>
      <c r="BI56">
        <f t="shared" si="46"/>
        <v>43.995235023852189</v>
      </c>
      <c r="BJ56">
        <f t="shared" si="31"/>
        <v>0</v>
      </c>
      <c r="BK56">
        <f t="shared" si="47"/>
        <v>0</v>
      </c>
      <c r="BM56">
        <f t="shared" si="48"/>
        <v>21.174428346459287</v>
      </c>
      <c r="BN56">
        <f t="shared" si="32"/>
        <v>-166.33791406637246</v>
      </c>
      <c r="BQ56" s="56">
        <f t="shared" si="49"/>
        <v>12.043316530355995</v>
      </c>
      <c r="BR56" s="59"/>
      <c r="BS56" s="59"/>
      <c r="BT56" s="59">
        <v>288.40300000000002</v>
      </c>
      <c r="BU56" s="59">
        <v>25.784400000000002</v>
      </c>
      <c r="BV56" s="59">
        <v>-268.05989999999997</v>
      </c>
      <c r="BW56" s="61"/>
      <c r="BY56" s="59"/>
      <c r="BZ56" s="59"/>
      <c r="CA56" s="59"/>
      <c r="CC56" s="59"/>
    </row>
    <row r="57" spans="1:81" x14ac:dyDescent="0.2">
      <c r="A57">
        <f t="shared" si="54"/>
        <v>11500</v>
      </c>
      <c r="B57">
        <f t="shared" si="33"/>
        <v>11.5</v>
      </c>
      <c r="C57">
        <f t="shared" si="0"/>
        <v>1.0000010028531563</v>
      </c>
      <c r="D57">
        <f t="shared" si="1"/>
        <v>1.4162290197735367E-3</v>
      </c>
      <c r="F57">
        <f t="shared" si="2"/>
        <v>0.65809300597643061</v>
      </c>
      <c r="G57">
        <f t="shared" si="3"/>
        <v>0.21335663760555551</v>
      </c>
      <c r="H57">
        <f t="shared" si="4"/>
        <v>-2.9282360123944446</v>
      </c>
      <c r="J57">
        <f t="shared" si="5"/>
        <v>15</v>
      </c>
      <c r="M57">
        <f t="shared" si="6"/>
        <v>0.10876053285453971</v>
      </c>
      <c r="N57">
        <f t="shared" si="7"/>
        <v>-1.5707963250000001</v>
      </c>
      <c r="O57">
        <f t="shared" si="8"/>
        <v>2.469875450849063</v>
      </c>
      <c r="P57">
        <f t="shared" si="9"/>
        <v>1.1539501427004142</v>
      </c>
      <c r="Q57">
        <f t="shared" si="10"/>
        <v>2.203097038300561</v>
      </c>
      <c r="R57">
        <f t="shared" si="11"/>
        <v>1.0996517351308348</v>
      </c>
      <c r="S57">
        <f t="shared" si="12"/>
        <v>0.99846380544356395</v>
      </c>
      <c r="T57">
        <f t="shared" si="13"/>
        <v>-5.5436234238218883E-2</v>
      </c>
      <c r="U57">
        <f t="shared" si="14"/>
        <v>0.99842309824229081</v>
      </c>
      <c r="V57">
        <f t="shared" si="15"/>
        <v>-5.616611734127145E-2</v>
      </c>
      <c r="X57">
        <f t="shared" si="34"/>
        <v>15.304118452738983</v>
      </c>
      <c r="Y57">
        <f t="shared" si="16"/>
        <v>-134.96688846089708</v>
      </c>
      <c r="Z57">
        <f t="shared" si="35"/>
        <v>45.033111539102919</v>
      </c>
      <c r="AC57">
        <v>1</v>
      </c>
      <c r="AD57">
        <f t="shared" si="17"/>
        <v>2.2583810003422502</v>
      </c>
      <c r="AE57">
        <f t="shared" si="18"/>
        <v>-1.9581960298346617E-5</v>
      </c>
      <c r="AF57">
        <f t="shared" si="19"/>
        <v>3.4827696117900001E-4</v>
      </c>
      <c r="AG57">
        <f t="shared" si="36"/>
        <v>6303.0757164526276</v>
      </c>
      <c r="AH57">
        <f t="shared" si="37"/>
        <v>-3225.6700949554142</v>
      </c>
      <c r="AJ57">
        <f t="shared" si="20"/>
        <v>26400</v>
      </c>
      <c r="AK57">
        <f t="shared" si="21"/>
        <v>1465.0176438374401</v>
      </c>
      <c r="AL57">
        <v>1</v>
      </c>
      <c r="AM57">
        <f t="shared" si="22"/>
        <v>1.9630681496496003</v>
      </c>
      <c r="AN57">
        <f t="shared" si="38"/>
        <v>6031.7514738422005</v>
      </c>
      <c r="AO57">
        <f t="shared" si="39"/>
        <v>-10375.721561064218</v>
      </c>
      <c r="AQ57">
        <f t="shared" si="23"/>
        <v>18.867924528301888</v>
      </c>
      <c r="AR57">
        <f t="shared" si="24"/>
        <v>-433.96226415094338</v>
      </c>
      <c r="AT57">
        <f t="shared" si="52"/>
        <v>-1280893.1408966396</v>
      </c>
      <c r="AU57">
        <f t="shared" si="53"/>
        <v>-2796158.7089314307</v>
      </c>
      <c r="AV57">
        <f t="shared" si="42"/>
        <v>-2.0003577328391193</v>
      </c>
      <c r="AW57">
        <f t="shared" si="25"/>
        <v>-4373686.4548861263</v>
      </c>
      <c r="AX57">
        <f t="shared" si="26"/>
        <v>-2879956.8737322013</v>
      </c>
      <c r="AY57">
        <f t="shared" si="50"/>
        <v>-2.5592836722029539</v>
      </c>
      <c r="BA57">
        <f t="shared" si="27"/>
        <v>0.58730980994488102</v>
      </c>
      <c r="BB57">
        <f t="shared" si="43"/>
        <v>-4.6226548999006658</v>
      </c>
      <c r="BC57">
        <f t="shared" si="44"/>
        <v>0.55892593936383461</v>
      </c>
      <c r="BD57">
        <f t="shared" si="28"/>
        <v>-147.97590257747444</v>
      </c>
      <c r="BF57">
        <f t="shared" si="29"/>
        <v>15.264924497228986</v>
      </c>
      <c r="BG57">
        <f t="shared" si="30"/>
        <v>-135.67032375185576</v>
      </c>
      <c r="BH57">
        <f t="shared" si="45"/>
        <v>44.329676248144239</v>
      </c>
      <c r="BI57">
        <f t="shared" si="46"/>
        <v>44.329676248144239</v>
      </c>
      <c r="BJ57">
        <f t="shared" si="31"/>
        <v>0</v>
      </c>
      <c r="BK57">
        <f t="shared" si="47"/>
        <v>0</v>
      </c>
      <c r="BM57">
        <f t="shared" si="48"/>
        <v>19.887579397129652</v>
      </c>
      <c r="BN57">
        <f t="shared" si="32"/>
        <v>-167.69442117438132</v>
      </c>
      <c r="BQ57" s="56">
        <f t="shared" si="49"/>
        <v>12.27930590038447</v>
      </c>
      <c r="BR57" s="59"/>
      <c r="BS57" s="59"/>
      <c r="BT57" s="59">
        <v>295.12099999999998</v>
      </c>
      <c r="BU57" s="59">
        <v>25.581099999999999</v>
      </c>
      <c r="BV57" s="59">
        <v>-265.88</v>
      </c>
      <c r="BW57" s="61"/>
      <c r="BY57" s="59"/>
      <c r="BZ57" s="59"/>
      <c r="CA57" s="59"/>
      <c r="CC57" s="59"/>
    </row>
    <row r="58" spans="1:81" x14ac:dyDescent="0.2">
      <c r="A58">
        <f t="shared" si="54"/>
        <v>12000</v>
      </c>
      <c r="B58">
        <f t="shared" si="33"/>
        <v>12</v>
      </c>
      <c r="C58">
        <f t="shared" si="0"/>
        <v>1.0000010919534827</v>
      </c>
      <c r="D58">
        <f t="shared" si="1"/>
        <v>1.4778041067644786E-3</v>
      </c>
      <c r="F58">
        <f t="shared" si="2"/>
        <v>0.57515752222285832</v>
      </c>
      <c r="G58">
        <f t="shared" si="3"/>
        <v>0.19432375247261535</v>
      </c>
      <c r="H58">
        <f t="shared" si="4"/>
        <v>-2.9472688975273851</v>
      </c>
      <c r="J58">
        <f t="shared" si="5"/>
        <v>15</v>
      </c>
      <c r="M58">
        <f t="shared" si="6"/>
        <v>0.10422884398560056</v>
      </c>
      <c r="N58">
        <f t="shared" si="7"/>
        <v>-1.5707963250000001</v>
      </c>
      <c r="O58">
        <f t="shared" si="8"/>
        <v>2.5599666274847861</v>
      </c>
      <c r="P58">
        <f t="shared" si="9"/>
        <v>1.1694803579835096</v>
      </c>
      <c r="Q58">
        <f t="shared" si="10"/>
        <v>2.2794780430375523</v>
      </c>
      <c r="R58">
        <f t="shared" si="11"/>
        <v>1.1166482317016211</v>
      </c>
      <c r="S58">
        <f t="shared" si="12"/>
        <v>0.99832766154208741</v>
      </c>
      <c r="T58">
        <f t="shared" si="13"/>
        <v>-5.7841244544236441E-2</v>
      </c>
      <c r="U58">
        <f t="shared" si="14"/>
        <v>0.9982833560015435</v>
      </c>
      <c r="V58">
        <f t="shared" si="15"/>
        <v>-5.8602651268503697E-2</v>
      </c>
      <c r="X58">
        <f t="shared" si="34"/>
        <v>14.369262207309173</v>
      </c>
      <c r="Y58">
        <f t="shared" si="16"/>
        <v>-134.46762119801917</v>
      </c>
      <c r="Z58">
        <f t="shared" si="35"/>
        <v>45.532378801980826</v>
      </c>
      <c r="AC58">
        <v>1</v>
      </c>
      <c r="AD58">
        <f t="shared" si="17"/>
        <v>2.3565714786179996</v>
      </c>
      <c r="AE58">
        <f t="shared" si="18"/>
        <v>-2.1321756392906715E-5</v>
      </c>
      <c r="AF58">
        <f t="shared" si="19"/>
        <v>3.6341943775199998E-4</v>
      </c>
      <c r="AG58">
        <f t="shared" si="36"/>
        <v>6301.3114458028986</v>
      </c>
      <c r="AH58">
        <f t="shared" si="37"/>
        <v>-3121.3383483833804</v>
      </c>
      <c r="AJ58">
        <f t="shared" si="20"/>
        <v>26400</v>
      </c>
      <c r="AK58">
        <f t="shared" si="21"/>
        <v>1528.7140631347202</v>
      </c>
      <c r="AL58">
        <v>1</v>
      </c>
      <c r="AM58">
        <f t="shared" si="22"/>
        <v>2.0484189387648004</v>
      </c>
      <c r="AN58">
        <f t="shared" si="38"/>
        <v>5683.4742733483881</v>
      </c>
      <c r="AO58">
        <f t="shared" si="39"/>
        <v>-10113.422276374629</v>
      </c>
      <c r="AQ58">
        <f t="shared" si="23"/>
        <v>17.331022530329289</v>
      </c>
      <c r="AR58">
        <f t="shared" si="24"/>
        <v>-415.94454072790296</v>
      </c>
      <c r="AT58">
        <f t="shared" si="52"/>
        <v>-1189095.4751368845</v>
      </c>
      <c r="AU58">
        <f t="shared" si="53"/>
        <v>-2675092.0805485779</v>
      </c>
      <c r="AV58">
        <f t="shared" si="42"/>
        <v>-1.989072367776199</v>
      </c>
      <c r="AW58">
        <f t="shared" si="25"/>
        <v>-4093483.8720916803</v>
      </c>
      <c r="AX58">
        <f t="shared" si="26"/>
        <v>-2603438.2249144693</v>
      </c>
      <c r="AY58">
        <f t="shared" si="50"/>
        <v>-2.5751253491759725</v>
      </c>
      <c r="BA58">
        <f t="shared" si="27"/>
        <v>0.60344762168449129</v>
      </c>
      <c r="BB58">
        <f t="shared" si="43"/>
        <v>-4.3872084003333693</v>
      </c>
      <c r="BC58">
        <f t="shared" si="44"/>
        <v>0.58605298139977346</v>
      </c>
      <c r="BD58">
        <f t="shared" si="28"/>
        <v>-146.42163755636517</v>
      </c>
      <c r="BF58">
        <f t="shared" si="29"/>
        <v>14.330362347440921</v>
      </c>
      <c r="BG58">
        <f t="shared" si="30"/>
        <v>-135.2030347294556</v>
      </c>
      <c r="BH58">
        <f t="shared" si="45"/>
        <v>44.796965270544405</v>
      </c>
      <c r="BI58">
        <f t="shared" si="46"/>
        <v>44.796965270544405</v>
      </c>
      <c r="BJ58">
        <f t="shared" si="31"/>
        <v>0</v>
      </c>
      <c r="BK58">
        <f t="shared" si="47"/>
        <v>0</v>
      </c>
      <c r="BM58">
        <f t="shared" si="48"/>
        <v>18.717570747774289</v>
      </c>
      <c r="BN58">
        <f t="shared" si="32"/>
        <v>-168.78139717309043</v>
      </c>
      <c r="BQ58" s="56">
        <f t="shared" si="49"/>
        <v>12.514752399951767</v>
      </c>
      <c r="BR58" s="59"/>
      <c r="BS58" s="59"/>
      <c r="BT58" s="59">
        <v>301.995</v>
      </c>
      <c r="BU58" s="59">
        <v>24.917000000000002</v>
      </c>
      <c r="BV58" s="59">
        <v>-267.13580000000002</v>
      </c>
      <c r="BW58" s="61"/>
      <c r="BY58" s="59"/>
      <c r="BZ58" s="59"/>
      <c r="CA58" s="59"/>
      <c r="CC58" s="59"/>
    </row>
    <row r="59" spans="1:81" x14ac:dyDescent="0.2">
      <c r="A59">
        <f t="shared" si="54"/>
        <v>12500</v>
      </c>
      <c r="B59">
        <f t="shared" si="33"/>
        <v>12.5</v>
      </c>
      <c r="C59">
        <f t="shared" si="0"/>
        <v>1.0000011848453036</v>
      </c>
      <c r="D59">
        <f t="shared" si="1"/>
        <v>1.5393791825492515E-3</v>
      </c>
      <c r="F59">
        <f t="shared" si="2"/>
        <v>0.50825865445272156</v>
      </c>
      <c r="G59">
        <f t="shared" si="3"/>
        <v>0.17870218386357589</v>
      </c>
      <c r="H59">
        <f t="shared" si="4"/>
        <v>-2.9628904661364244</v>
      </c>
      <c r="J59">
        <f t="shared" si="5"/>
        <v>15</v>
      </c>
      <c r="M59">
        <f t="shared" si="6"/>
        <v>0.10005969022617653</v>
      </c>
      <c r="N59">
        <f t="shared" si="7"/>
        <v>-1.5707963250000001</v>
      </c>
      <c r="O59">
        <f t="shared" si="8"/>
        <v>2.650633181904436</v>
      </c>
      <c r="P59">
        <f t="shared" si="9"/>
        <v>1.1839514264786202</v>
      </c>
      <c r="Q59">
        <f t="shared" si="10"/>
        <v>2.3564747508974269</v>
      </c>
      <c r="R59">
        <f t="shared" si="11"/>
        <v>1.1325383676642022</v>
      </c>
      <c r="S59">
        <f t="shared" si="12"/>
        <v>0.9981857835625696</v>
      </c>
      <c r="T59">
        <f t="shared" si="13"/>
        <v>-6.0245585174724378E-2</v>
      </c>
      <c r="U59">
        <f t="shared" si="14"/>
        <v>0.9981377297389864</v>
      </c>
      <c r="V59">
        <f t="shared" si="15"/>
        <v>-6.1038488786151021E-2</v>
      </c>
      <c r="X59">
        <f t="shared" si="34"/>
        <v>13.528999673692262</v>
      </c>
      <c r="Y59">
        <f t="shared" si="16"/>
        <v>-133.89689605969352</v>
      </c>
      <c r="Z59">
        <f t="shared" si="35"/>
        <v>46.103103940306482</v>
      </c>
      <c r="AC59">
        <v>1</v>
      </c>
      <c r="AD59">
        <f t="shared" si="17"/>
        <v>2.45476195689375</v>
      </c>
      <c r="AE59">
        <f t="shared" si="18"/>
        <v>-2.3135586363831067E-5</v>
      </c>
      <c r="AF59">
        <f t="shared" si="19"/>
        <v>3.7856191432500001E-4</v>
      </c>
      <c r="AG59">
        <f t="shared" si="36"/>
        <v>6299.4731510969605</v>
      </c>
      <c r="AH59">
        <f t="shared" si="37"/>
        <v>-3026.5643789781907</v>
      </c>
      <c r="AJ59">
        <f t="shared" si="20"/>
        <v>26400</v>
      </c>
      <c r="AK59">
        <f t="shared" si="21"/>
        <v>1592.410482432</v>
      </c>
      <c r="AL59">
        <v>1</v>
      </c>
      <c r="AM59">
        <f t="shared" si="22"/>
        <v>2.1337697278800003</v>
      </c>
      <c r="AN59">
        <f t="shared" si="38"/>
        <v>5366.1049552318145</v>
      </c>
      <c r="AO59">
        <f t="shared" si="39"/>
        <v>-9857.6218276685104</v>
      </c>
      <c r="AQ59">
        <f t="shared" si="23"/>
        <v>15.974440894568691</v>
      </c>
      <c r="AR59">
        <f t="shared" si="24"/>
        <v>-399.36102236421726</v>
      </c>
      <c r="AT59">
        <f t="shared" si="52"/>
        <v>-1108061.2831207318</v>
      </c>
      <c r="AU59">
        <f t="shared" si="53"/>
        <v>-2564111.7117636139</v>
      </c>
      <c r="AV59">
        <f t="shared" si="42"/>
        <v>-1.9787010287740339</v>
      </c>
      <c r="AW59">
        <f t="shared" si="25"/>
        <v>-3836883.2597507937</v>
      </c>
      <c r="AX59">
        <f t="shared" si="26"/>
        <v>-2362329.0233315849</v>
      </c>
      <c r="AY59">
        <f t="shared" si="50"/>
        <v>-2.5897165073211115</v>
      </c>
      <c r="BA59">
        <f t="shared" si="27"/>
        <v>0.61993149476621667</v>
      </c>
      <c r="BB59">
        <f t="shared" si="43"/>
        <v>-4.1531259870925892</v>
      </c>
      <c r="BC59">
        <f t="shared" si="44"/>
        <v>0.61101547854707761</v>
      </c>
      <c r="BD59">
        <f t="shared" si="28"/>
        <v>-144.99139182208299</v>
      </c>
      <c r="BF59">
        <f t="shared" si="29"/>
        <v>13.490405133238268</v>
      </c>
      <c r="BG59">
        <f t="shared" si="30"/>
        <v>-134.66431095489847</v>
      </c>
      <c r="BH59">
        <f t="shared" si="45"/>
        <v>45.335689045101532</v>
      </c>
      <c r="BI59">
        <f t="shared" si="46"/>
        <v>45.335689045101532</v>
      </c>
      <c r="BJ59">
        <f t="shared" si="31"/>
        <v>0</v>
      </c>
      <c r="BK59">
        <f t="shared" si="47"/>
        <v>0</v>
      </c>
      <c r="BM59">
        <f t="shared" si="48"/>
        <v>17.643531120330856</v>
      </c>
      <c r="BN59">
        <f t="shared" si="32"/>
        <v>-169.67291913281551</v>
      </c>
      <c r="BQ59" s="56">
        <f t="shared" si="49"/>
        <v>12.748834813192548</v>
      </c>
      <c r="BR59" s="59"/>
      <c r="BS59" s="59"/>
      <c r="BT59" s="59">
        <v>309.02999999999997</v>
      </c>
      <c r="BU59" s="59">
        <v>24.825199999999999</v>
      </c>
      <c r="BV59" s="59">
        <v>-265.03610000000003</v>
      </c>
      <c r="BW59" s="61"/>
      <c r="BY59" s="59"/>
      <c r="BZ59" s="59"/>
      <c r="CA59" s="59"/>
      <c r="CC59" s="59"/>
    </row>
    <row r="60" spans="1:81" x14ac:dyDescent="0.2">
      <c r="A60">
        <f t="shared" si="54"/>
        <v>13000</v>
      </c>
      <c r="B60">
        <f t="shared" si="33"/>
        <v>13</v>
      </c>
      <c r="C60">
        <f t="shared" si="0"/>
        <v>1.0000012815286186</v>
      </c>
      <c r="D60">
        <f t="shared" si="1"/>
        <v>1.600954246660936E-3</v>
      </c>
      <c r="F60">
        <f t="shared" si="2"/>
        <v>0.45330943917277322</v>
      </c>
      <c r="G60">
        <f t="shared" si="3"/>
        <v>0.16563297338935551</v>
      </c>
      <c r="H60">
        <f t="shared" si="4"/>
        <v>-2.9759596766106449</v>
      </c>
      <c r="J60">
        <f t="shared" si="5"/>
        <v>15</v>
      </c>
      <c r="M60">
        <f t="shared" si="6"/>
        <v>9.6211240602092837E-2</v>
      </c>
      <c r="N60">
        <f t="shared" si="7"/>
        <v>-1.5707963250000001</v>
      </c>
      <c r="O60">
        <f t="shared" si="8"/>
        <v>2.7418180348516716</v>
      </c>
      <c r="P60">
        <f t="shared" si="9"/>
        <v>1.1974626391503409</v>
      </c>
      <c r="Q60">
        <f t="shared" si="10"/>
        <v>2.4340287321535556</v>
      </c>
      <c r="R60">
        <f t="shared" si="11"/>
        <v>1.1474194691509787</v>
      </c>
      <c r="S60">
        <f t="shared" si="12"/>
        <v>0.99803817886928814</v>
      </c>
      <c r="T60">
        <f t="shared" si="13"/>
        <v>-6.2649228622995032E-2</v>
      </c>
      <c r="U60">
        <f t="shared" si="14"/>
        <v>0.99798622721230956</v>
      </c>
      <c r="V60">
        <f t="shared" si="15"/>
        <v>-6.3473601300342339E-2</v>
      </c>
      <c r="X60">
        <f t="shared" si="34"/>
        <v>12.766968497136054</v>
      </c>
      <c r="Y60">
        <f t="shared" si="16"/>
        <v>-133.29265919229863</v>
      </c>
      <c r="Z60">
        <f t="shared" si="35"/>
        <v>46.707340807701371</v>
      </c>
      <c r="AC60">
        <v>1</v>
      </c>
      <c r="AD60">
        <f t="shared" si="17"/>
        <v>2.5529524351694999</v>
      </c>
      <c r="AE60">
        <f t="shared" si="18"/>
        <v>-2.5023450211119684E-5</v>
      </c>
      <c r="AF60">
        <f t="shared" si="19"/>
        <v>3.9370439089800004E-4</v>
      </c>
      <c r="AG60">
        <f t="shared" si="36"/>
        <v>6297.5609627488957</v>
      </c>
      <c r="AH60">
        <f t="shared" si="37"/>
        <v>-2940.2433144382753</v>
      </c>
      <c r="AJ60">
        <f t="shared" si="20"/>
        <v>26400</v>
      </c>
      <c r="AK60">
        <f t="shared" si="21"/>
        <v>1656.1069017292803</v>
      </c>
      <c r="AL60">
        <v>1</v>
      </c>
      <c r="AM60">
        <f t="shared" si="22"/>
        <v>2.2191205169952002</v>
      </c>
      <c r="AN60">
        <f t="shared" si="38"/>
        <v>5076.3983078445235</v>
      </c>
      <c r="AO60">
        <f t="shared" si="39"/>
        <v>-9609.0327356482194</v>
      </c>
      <c r="AQ60">
        <f t="shared" si="23"/>
        <v>14.771048744460856</v>
      </c>
      <c r="AR60">
        <f t="shared" si="24"/>
        <v>-384.04726735598229</v>
      </c>
      <c r="AT60">
        <f t="shared" si="52"/>
        <v>-1036170.830319738</v>
      </c>
      <c r="AU60">
        <f t="shared" si="53"/>
        <v>-2461991.5560695655</v>
      </c>
      <c r="AV60">
        <f t="shared" si="42"/>
        <v>-1.9691610257186065</v>
      </c>
      <c r="AW60">
        <f t="shared" si="25"/>
        <v>-3601642.5569655402</v>
      </c>
      <c r="AX60">
        <f t="shared" si="26"/>
        <v>-2151211.2373836008</v>
      </c>
      <c r="AY60">
        <f t="shared" si="50"/>
        <v>-2.6031710163571375</v>
      </c>
      <c r="BA60">
        <f t="shared" si="27"/>
        <v>0.63671918977068731</v>
      </c>
      <c r="BB60">
        <f t="shared" si="43"/>
        <v>-3.921041218965355</v>
      </c>
      <c r="BC60">
        <f t="shared" si="44"/>
        <v>0.63400999063853103</v>
      </c>
      <c r="BD60">
        <f t="shared" si="28"/>
        <v>-143.67390332577472</v>
      </c>
      <c r="BF60">
        <f t="shared" si="29"/>
        <v>12.728690340975717</v>
      </c>
      <c r="BG60">
        <f t="shared" si="30"/>
        <v>-134.09210506988595</v>
      </c>
      <c r="BH60">
        <f t="shared" si="45"/>
        <v>45.907894930114054</v>
      </c>
      <c r="BI60">
        <f t="shared" si="46"/>
        <v>45.907894930114054</v>
      </c>
      <c r="BJ60">
        <f t="shared" si="31"/>
        <v>0</v>
      </c>
      <c r="BK60">
        <f t="shared" si="47"/>
        <v>0</v>
      </c>
      <c r="BM60">
        <f t="shared" si="48"/>
        <v>16.649731559941074</v>
      </c>
      <c r="BN60">
        <f t="shared" si="32"/>
        <v>-170.41820174411123</v>
      </c>
      <c r="BQ60" s="56">
        <f t="shared" si="49"/>
        <v>12.980919581319782</v>
      </c>
      <c r="BR60" s="59"/>
      <c r="BS60" s="59"/>
      <c r="BT60" s="59">
        <v>316.22800000000001</v>
      </c>
      <c r="BU60" s="59">
        <v>24.722000000000001</v>
      </c>
      <c r="BV60" s="59">
        <v>-265.21839999999997</v>
      </c>
      <c r="BW60" s="61"/>
      <c r="BY60" s="59"/>
      <c r="BZ60" s="59"/>
      <c r="CA60" s="59"/>
      <c r="CC60" s="59"/>
    </row>
    <row r="61" spans="1:81" x14ac:dyDescent="0.2">
      <c r="A61">
        <f t="shared" si="54"/>
        <v>13500</v>
      </c>
      <c r="B61">
        <f t="shared" si="33"/>
        <v>13.5</v>
      </c>
      <c r="C61">
        <f t="shared" si="0"/>
        <v>1.0000013820034259</v>
      </c>
      <c r="D61">
        <f t="shared" si="1"/>
        <v>1.662529298632613E-3</v>
      </c>
      <c r="F61">
        <f t="shared" si="2"/>
        <v>0.40748409828857318</v>
      </c>
      <c r="G61">
        <f t="shared" si="3"/>
        <v>0.15452374820132833</v>
      </c>
      <c r="H61">
        <f t="shared" si="4"/>
        <v>-2.987068901798672</v>
      </c>
      <c r="J61">
        <f t="shared" si="5"/>
        <v>15</v>
      </c>
      <c r="M61">
        <f t="shared" si="6"/>
        <v>9.2647861320533834E-2</v>
      </c>
      <c r="N61">
        <f t="shared" si="7"/>
        <v>-1.5707963250000001</v>
      </c>
      <c r="O61">
        <f t="shared" si="8"/>
        <v>2.8334711481698505</v>
      </c>
      <c r="P61">
        <f t="shared" si="9"/>
        <v>1.2101019534991964</v>
      </c>
      <c r="Q61">
        <f t="shared" si="10"/>
        <v>2.5120883743782132</v>
      </c>
      <c r="R61">
        <f t="shared" si="11"/>
        <v>1.1613786852696455</v>
      </c>
      <c r="S61">
        <f t="shared" si="12"/>
        <v>0.99788485511783909</v>
      </c>
      <c r="T61">
        <f t="shared" si="13"/>
        <v>-6.5052147430533613E-2</v>
      </c>
      <c r="U61">
        <f t="shared" si="14"/>
        <v>0.99782885648582487</v>
      </c>
      <c r="V61">
        <f t="shared" si="15"/>
        <v>-6.5907960268617435E-2</v>
      </c>
      <c r="X61">
        <f t="shared" si="34"/>
        <v>12.070562446913904</v>
      </c>
      <c r="Y61">
        <f t="shared" si="16"/>
        <v>-132.67881498177772</v>
      </c>
      <c r="Z61">
        <f t="shared" si="35"/>
        <v>47.32118501822228</v>
      </c>
      <c r="AC61">
        <v>1</v>
      </c>
      <c r="AD61">
        <f t="shared" si="17"/>
        <v>2.6511429134452502</v>
      </c>
      <c r="AE61">
        <f t="shared" si="18"/>
        <v>-2.6985347934772553E-5</v>
      </c>
      <c r="AF61">
        <f t="shared" si="19"/>
        <v>4.0884686747100002E-4</v>
      </c>
      <c r="AG61">
        <f t="shared" si="36"/>
        <v>6295.5750162936292</v>
      </c>
      <c r="AH61">
        <f t="shared" si="37"/>
        <v>-2861.4338896631671</v>
      </c>
      <c r="AJ61">
        <f t="shared" si="20"/>
        <v>26400</v>
      </c>
      <c r="AK61">
        <f t="shared" si="21"/>
        <v>1719.8033210265601</v>
      </c>
      <c r="AL61">
        <v>1</v>
      </c>
      <c r="AM61">
        <f t="shared" si="22"/>
        <v>2.3044713061104005</v>
      </c>
      <c r="AN61">
        <f t="shared" si="38"/>
        <v>4811.475159233587</v>
      </c>
      <c r="AO61">
        <f t="shared" si="39"/>
        <v>-9368.1031234902111</v>
      </c>
      <c r="AQ61">
        <f t="shared" si="23"/>
        <v>13.698630136986301</v>
      </c>
      <c r="AR61">
        <f t="shared" si="24"/>
        <v>-369.86301369863014</v>
      </c>
      <c r="AT61">
        <f t="shared" si="52"/>
        <v>-972097.8082823545</v>
      </c>
      <c r="AU61">
        <f t="shared" si="53"/>
        <v>-2367698.0730080982</v>
      </c>
      <c r="AV61">
        <f t="shared" si="42"/>
        <v>-1.9603785444852841</v>
      </c>
      <c r="AW61">
        <f t="shared" si="25"/>
        <v>-3385719.188195616</v>
      </c>
      <c r="AX61">
        <f t="shared" si="26"/>
        <v>-1965612.2408011043</v>
      </c>
      <c r="AY61">
        <f t="shared" si="50"/>
        <v>-2.615590122510338</v>
      </c>
      <c r="BA61">
        <f t="shared" si="27"/>
        <v>0.65377461563727146</v>
      </c>
      <c r="BB61">
        <f t="shared" si="43"/>
        <v>-3.6914389190003942</v>
      </c>
      <c r="BC61">
        <f t="shared" si="44"/>
        <v>0.65521157802505381</v>
      </c>
      <c r="BD61">
        <f t="shared" si="28"/>
        <v>-142.4591418481611</v>
      </c>
      <c r="BF61">
        <f t="shared" si="29"/>
        <v>12.032611574902569</v>
      </c>
      <c r="BG61">
        <f t="shared" si="30"/>
        <v>-133.51032731932875</v>
      </c>
      <c r="BH61">
        <f t="shared" si="45"/>
        <v>46.489672680671248</v>
      </c>
      <c r="BI61">
        <f t="shared" si="46"/>
        <v>46.489672680671248</v>
      </c>
      <c r="BJ61">
        <f t="shared" si="31"/>
        <v>0</v>
      </c>
      <c r="BK61">
        <f t="shared" si="47"/>
        <v>0</v>
      </c>
      <c r="BM61">
        <f t="shared" si="48"/>
        <v>15.724050493902965</v>
      </c>
      <c r="BN61">
        <f t="shared" si="32"/>
        <v>-171.05118547116766</v>
      </c>
      <c r="BQ61" s="56">
        <f t="shared" si="49"/>
        <v>13.210521881284743</v>
      </c>
      <c r="BR61" s="59"/>
      <c r="BS61" s="59"/>
      <c r="BT61" s="59">
        <v>323.59399999999999</v>
      </c>
      <c r="BU61" s="59">
        <v>24.5962</v>
      </c>
      <c r="BV61" s="59">
        <v>-266.99490000000003</v>
      </c>
      <c r="BW61" s="61"/>
      <c r="BY61" s="59"/>
      <c r="BZ61" s="59"/>
      <c r="CA61" s="59"/>
      <c r="CC61" s="59"/>
    </row>
    <row r="62" spans="1:81" x14ac:dyDescent="0.2">
      <c r="A62">
        <f t="shared" si="54"/>
        <v>14000</v>
      </c>
      <c r="B62">
        <f t="shared" si="33"/>
        <v>14</v>
      </c>
      <c r="C62">
        <f t="shared" si="0"/>
        <v>1.0000014862697251</v>
      </c>
      <c r="D62">
        <f t="shared" si="1"/>
        <v>1.7241043379973646E-3</v>
      </c>
      <c r="F62">
        <f t="shared" si="2"/>
        <v>0.36877041674331729</v>
      </c>
      <c r="G62">
        <f t="shared" si="3"/>
        <v>0.14495297547010763</v>
      </c>
      <c r="H62">
        <f t="shared" si="4"/>
        <v>-2.9966396745298924</v>
      </c>
      <c r="J62">
        <f t="shared" si="5"/>
        <v>15</v>
      </c>
      <c r="M62">
        <f t="shared" si="6"/>
        <v>8.9339009130514763E-2</v>
      </c>
      <c r="N62">
        <f t="shared" si="7"/>
        <v>-1.5707963250000001</v>
      </c>
      <c r="O62">
        <f t="shared" si="8"/>
        <v>2.9255485124728491</v>
      </c>
      <c r="P62">
        <f t="shared" si="9"/>
        <v>1.2219474544782023</v>
      </c>
      <c r="Q62">
        <f t="shared" si="10"/>
        <v>2.5906079685719483</v>
      </c>
      <c r="R62">
        <f t="shared" si="11"/>
        <v>1.1744941408525458</v>
      </c>
      <c r="S62">
        <f t="shared" si="12"/>
        <v>0.99772582025403855</v>
      </c>
      <c r="T62">
        <f t="shared" si="13"/>
        <v>-6.7454314188850936E-2</v>
      </c>
      <c r="U62">
        <f t="shared" si="14"/>
        <v>0.99766562592928032</v>
      </c>
      <c r="V62">
        <f t="shared" si="15"/>
        <v>-6.8341537201902225E-2</v>
      </c>
      <c r="X62">
        <f t="shared" si="34"/>
        <v>11.429886635238526</v>
      </c>
      <c r="Y62">
        <f t="shared" si="16"/>
        <v>-132.07056211611075</v>
      </c>
      <c r="Z62">
        <f t="shared" si="35"/>
        <v>47.92943788388925</v>
      </c>
      <c r="AC62">
        <v>1</v>
      </c>
      <c r="AD62">
        <f t="shared" si="17"/>
        <v>2.7493333917210001</v>
      </c>
      <c r="AE62">
        <f t="shared" si="18"/>
        <v>-2.9021279534789693E-5</v>
      </c>
      <c r="AF62">
        <f t="shared" si="19"/>
        <v>4.2398934404399999E-4</v>
      </c>
      <c r="AG62">
        <f t="shared" si="36"/>
        <v>6293.5154523630354</v>
      </c>
      <c r="AH62">
        <f t="shared" si="37"/>
        <v>-2789.3292315309122</v>
      </c>
      <c r="AJ62">
        <f t="shared" si="20"/>
        <v>26400</v>
      </c>
      <c r="AK62">
        <f t="shared" si="21"/>
        <v>1783.4997403238401</v>
      </c>
      <c r="AL62">
        <v>1</v>
      </c>
      <c r="AM62">
        <f t="shared" si="22"/>
        <v>2.3898220952256004</v>
      </c>
      <c r="AN62">
        <f t="shared" si="38"/>
        <v>4568.7835648827386</v>
      </c>
      <c r="AO62">
        <f t="shared" si="39"/>
        <v>-9135.0801713365145</v>
      </c>
      <c r="AQ62">
        <f t="shared" si="23"/>
        <v>12.738853503184714</v>
      </c>
      <c r="AR62">
        <f t="shared" si="24"/>
        <v>-356.68789808917199</v>
      </c>
      <c r="AT62">
        <f t="shared" si="52"/>
        <v>-914747.8093057645</v>
      </c>
      <c r="AU62">
        <f t="shared" si="53"/>
        <v>-2280353.6547477185</v>
      </c>
      <c r="AV62">
        <f t="shared" si="42"/>
        <v>-1.9522876236341693</v>
      </c>
      <c r="AW62">
        <f t="shared" si="25"/>
        <v>-3187263.5792709216</v>
      </c>
      <c r="AX62">
        <f t="shared" si="26"/>
        <v>-1801821.9201320908</v>
      </c>
      <c r="AY62">
        <f t="shared" si="50"/>
        <v>-2.6270640369565545</v>
      </c>
      <c r="BA62">
        <f t="shared" si="27"/>
        <v>0.67106673337745881</v>
      </c>
      <c r="BB62">
        <f t="shared" si="43"/>
        <v>-3.4646857964262567</v>
      </c>
      <c r="BC62">
        <f t="shared" si="44"/>
        <v>0.67477641332238525</v>
      </c>
      <c r="BD62">
        <f t="shared" si="28"/>
        <v>-141.33815935747452</v>
      </c>
      <c r="BF62">
        <f t="shared" si="29"/>
        <v>11.392273776133008</v>
      </c>
      <c r="BG62">
        <f t="shared" si="30"/>
        <v>-132.9341817235636</v>
      </c>
      <c r="BH62">
        <f t="shared" si="45"/>
        <v>47.065818276436403</v>
      </c>
      <c r="BI62">
        <f t="shared" si="46"/>
        <v>47.065818276436403</v>
      </c>
      <c r="BJ62">
        <f t="shared" si="31"/>
        <v>0</v>
      </c>
      <c r="BK62">
        <f t="shared" si="47"/>
        <v>0</v>
      </c>
      <c r="BM62">
        <f t="shared" si="48"/>
        <v>14.856959572559262</v>
      </c>
      <c r="BN62">
        <f t="shared" si="32"/>
        <v>-171.59602236608907</v>
      </c>
      <c r="BQ62" s="56">
        <f t="shared" si="49"/>
        <v>13.437275003858879</v>
      </c>
      <c r="BR62" s="59"/>
      <c r="BS62" s="59"/>
      <c r="BT62" s="59">
        <v>331.13099999999997</v>
      </c>
      <c r="BU62" s="59">
        <v>24.386800000000001</v>
      </c>
      <c r="BV62" s="59">
        <v>-265.09339999999997</v>
      </c>
      <c r="BW62" s="61"/>
      <c r="BY62" s="59"/>
      <c r="BZ62" s="59"/>
      <c r="CA62" s="59"/>
      <c r="CC62" s="59"/>
    </row>
    <row r="63" spans="1:81" x14ac:dyDescent="0.2">
      <c r="A63">
        <f t="shared" si="54"/>
        <v>14500</v>
      </c>
      <c r="B63">
        <f t="shared" si="33"/>
        <v>14.5</v>
      </c>
      <c r="C63">
        <f t="shared" si="0"/>
        <v>1.0000015943275142</v>
      </c>
      <c r="D63">
        <f t="shared" si="1"/>
        <v>1.785679364288273E-3</v>
      </c>
      <c r="F63">
        <f t="shared" si="2"/>
        <v>0.3356988869995623</v>
      </c>
      <c r="G63">
        <f t="shared" si="3"/>
        <v>0.13661258929496845</v>
      </c>
      <c r="H63">
        <f t="shared" si="4"/>
        <v>-3.0049800607050319</v>
      </c>
      <c r="J63">
        <f t="shared" si="5"/>
        <v>15</v>
      </c>
      <c r="M63">
        <f t="shared" si="6"/>
        <v>8.6258353643255639E-2</v>
      </c>
      <c r="N63">
        <f t="shared" si="7"/>
        <v>-1.5707963250000001</v>
      </c>
      <c r="O63">
        <f t="shared" si="8"/>
        <v>3.0180112972289006</v>
      </c>
      <c r="P63">
        <f t="shared" si="9"/>
        <v>1.2330686163606115</v>
      </c>
      <c r="Q63">
        <f t="shared" si="10"/>
        <v>2.669546929232741</v>
      </c>
      <c r="R63">
        <f t="shared" si="11"/>
        <v>1.1868359637236328</v>
      </c>
      <c r="S63">
        <f t="shared" si="12"/>
        <v>0.99756108251278464</v>
      </c>
      <c r="T63">
        <f t="shared" si="13"/>
        <v>-6.98557015413276E-2</v>
      </c>
      <c r="U63">
        <f t="shared" si="14"/>
        <v>0.99749654421662926</v>
      </c>
      <c r="V63">
        <f t="shared" si="15"/>
        <v>-7.077430366647447E-2</v>
      </c>
      <c r="X63">
        <f t="shared" si="34"/>
        <v>10.837046725309907</v>
      </c>
      <c r="Y63">
        <f t="shared" si="16"/>
        <v>-131.47754966372682</v>
      </c>
      <c r="Z63">
        <f t="shared" si="35"/>
        <v>48.522450336273181</v>
      </c>
      <c r="AC63">
        <v>1</v>
      </c>
      <c r="AD63">
        <f t="shared" si="17"/>
        <v>2.84752386999675</v>
      </c>
      <c r="AE63">
        <f t="shared" si="18"/>
        <v>-3.1131245011171091E-5</v>
      </c>
      <c r="AF63">
        <f t="shared" si="19"/>
        <v>4.3913182061700002E-4</v>
      </c>
      <c r="AG63">
        <f t="shared" si="36"/>
        <v>6291.3824166611848</v>
      </c>
      <c r="AH63">
        <f t="shared" si="37"/>
        <v>-2723.2336882164855</v>
      </c>
      <c r="AJ63">
        <f t="shared" si="20"/>
        <v>26400</v>
      </c>
      <c r="AK63">
        <f t="shared" si="21"/>
        <v>1847.1961596211202</v>
      </c>
      <c r="AL63">
        <v>1</v>
      </c>
      <c r="AM63">
        <f t="shared" si="22"/>
        <v>2.4751728843408003</v>
      </c>
      <c r="AN63">
        <f t="shared" si="38"/>
        <v>4346.0623389732964</v>
      </c>
      <c r="AO63">
        <f t="shared" si="39"/>
        <v>-8910.0594954603384</v>
      </c>
      <c r="AQ63">
        <f t="shared" si="23"/>
        <v>11.876484560570072</v>
      </c>
      <c r="AR63">
        <f t="shared" si="24"/>
        <v>-344.41805225653206</v>
      </c>
      <c r="AT63">
        <f t="shared" si="52"/>
        <v>-863211.33659877547</v>
      </c>
      <c r="AU63">
        <f t="shared" si="53"/>
        <v>-2199208.1208003662</v>
      </c>
      <c r="AV63">
        <f t="shared" si="42"/>
        <v>-1.9448292398961482</v>
      </c>
      <c r="AW63">
        <f t="shared" si="25"/>
        <v>-3004607.8461431181</v>
      </c>
      <c r="AX63">
        <f t="shared" si="26"/>
        <v>-1656748.2623735014</v>
      </c>
      <c r="AY63">
        <f t="shared" si="50"/>
        <v>-2.6376733089213436</v>
      </c>
      <c r="BA63">
        <f t="shared" si="27"/>
        <v>0.68856868645049707</v>
      </c>
      <c r="BB63">
        <f t="shared" si="43"/>
        <v>-3.2410546256845918</v>
      </c>
      <c r="BC63">
        <f t="shared" si="44"/>
        <v>0.69284406902519535</v>
      </c>
      <c r="BD63">
        <f t="shared" si="28"/>
        <v>-140.30295893882513</v>
      </c>
      <c r="BF63">
        <f t="shared" si="29"/>
        <v>10.799782430750337</v>
      </c>
      <c r="BG63">
        <f t="shared" si="30"/>
        <v>-132.37332224367108</v>
      </c>
      <c r="BH63">
        <f t="shared" si="45"/>
        <v>47.626677756328917</v>
      </c>
      <c r="BI63">
        <f t="shared" si="46"/>
        <v>47.626677756328917</v>
      </c>
      <c r="BJ63">
        <f t="shared" si="31"/>
        <v>0</v>
      </c>
      <c r="BK63">
        <f t="shared" si="47"/>
        <v>0</v>
      </c>
      <c r="BM63">
        <f t="shared" si="48"/>
        <v>14.040837056434929</v>
      </c>
      <c r="BN63">
        <f t="shared" si="32"/>
        <v>-172.07036330484596</v>
      </c>
      <c r="BQ63" s="56">
        <f t="shared" si="49"/>
        <v>13.660906174600544</v>
      </c>
      <c r="BR63" s="59"/>
      <c r="BS63" s="59"/>
      <c r="BT63" s="59">
        <v>338.84399999999999</v>
      </c>
      <c r="BU63" s="59">
        <v>24.136900000000001</v>
      </c>
      <c r="BV63" s="59">
        <v>-266.42009999999999</v>
      </c>
      <c r="BW63" s="61"/>
      <c r="BY63" s="59"/>
      <c r="BZ63" s="59"/>
      <c r="CA63" s="59"/>
      <c r="CC63" s="59"/>
    </row>
    <row r="64" spans="1:81" x14ac:dyDescent="0.2">
      <c r="A64">
        <f t="shared" si="54"/>
        <v>15000</v>
      </c>
      <c r="B64">
        <f t="shared" si="33"/>
        <v>15</v>
      </c>
      <c r="C64">
        <f t="shared" si="0"/>
        <v>1.0000017061767925</v>
      </c>
      <c r="D64">
        <f t="shared" si="1"/>
        <v>1.8472543770384209E-3</v>
      </c>
      <c r="F64">
        <f t="shared" si="2"/>
        <v>0.30717268193228331</v>
      </c>
      <c r="G64">
        <f t="shared" si="3"/>
        <v>0.12927222770755251</v>
      </c>
      <c r="H64">
        <f t="shared" si="4"/>
        <v>-3.0123204222924476</v>
      </c>
      <c r="J64">
        <f t="shared" si="5"/>
        <v>15</v>
      </c>
      <c r="M64">
        <f t="shared" si="6"/>
        <v>8.3383075188480441E-2</v>
      </c>
      <c r="N64">
        <f t="shared" si="7"/>
        <v>-1.5707963250000001</v>
      </c>
      <c r="O64">
        <f t="shared" si="8"/>
        <v>3.1108251351720946</v>
      </c>
      <c r="P64">
        <f t="shared" si="9"/>
        <v>1.2435273916616942</v>
      </c>
      <c r="Q64">
        <f t="shared" si="10"/>
        <v>2.7488691279012554</v>
      </c>
      <c r="R64">
        <f t="shared" si="11"/>
        <v>1.1984671954817709</v>
      </c>
      <c r="S64">
        <f t="shared" si="12"/>
        <v>0.9973906504168808</v>
      </c>
      <c r="T64">
        <f t="shared" si="13"/>
        <v>-7.22562821850493E-2</v>
      </c>
      <c r="U64">
        <f t="shared" si="14"/>
        <v>0.99732162032475902</v>
      </c>
      <c r="V64">
        <f t="shared" si="15"/>
        <v>-7.3206231285919965E-2</v>
      </c>
      <c r="X64">
        <f t="shared" si="34"/>
        <v>10.285653750248422</v>
      </c>
      <c r="Y64">
        <f t="shared" si="16"/>
        <v>-130.90581156781238</v>
      </c>
      <c r="Z64">
        <f t="shared" si="35"/>
        <v>49.094188432187622</v>
      </c>
      <c r="AC64">
        <v>1</v>
      </c>
      <c r="AD64">
        <f t="shared" si="17"/>
        <v>2.9457143482725003</v>
      </c>
      <c r="AE64">
        <f t="shared" si="18"/>
        <v>-3.3315244363916731E-5</v>
      </c>
      <c r="AF64">
        <f t="shared" si="19"/>
        <v>4.5427429718999999E-4</v>
      </c>
      <c r="AG64">
        <f t="shared" si="36"/>
        <v>6289.1760599387317</v>
      </c>
      <c r="AH64">
        <f t="shared" si="37"/>
        <v>-2662.54429265821</v>
      </c>
      <c r="AJ64">
        <f t="shared" si="20"/>
        <v>26400</v>
      </c>
      <c r="AK64">
        <f t="shared" si="21"/>
        <v>1910.8925789184</v>
      </c>
      <c r="AL64">
        <v>1</v>
      </c>
      <c r="AM64">
        <f t="shared" si="22"/>
        <v>2.5605236734560006</v>
      </c>
      <c r="AN64">
        <f t="shared" si="38"/>
        <v>4141.3075676090948</v>
      </c>
      <c r="AO64">
        <f t="shared" si="39"/>
        <v>-8693.0234870071745</v>
      </c>
      <c r="AQ64">
        <f t="shared" si="23"/>
        <v>11.098779134295228</v>
      </c>
      <c r="AR64">
        <f t="shared" si="24"/>
        <v>-332.96337402885683</v>
      </c>
      <c r="AT64">
        <f t="shared" si="52"/>
        <v>-816727.55515879649</v>
      </c>
      <c r="AU64">
        <f t="shared" si="53"/>
        <v>-2123616.2718182039</v>
      </c>
      <c r="AV64">
        <f t="shared" si="42"/>
        <v>-1.9379504973357717</v>
      </c>
      <c r="AW64">
        <f t="shared" si="25"/>
        <v>-2836252.0813860209</v>
      </c>
      <c r="AX64">
        <f t="shared" si="26"/>
        <v>-1527802.7373430929</v>
      </c>
      <c r="AY64">
        <f t="shared" si="50"/>
        <v>-2.6474900133329458</v>
      </c>
      <c r="BA64">
        <f t="shared" si="27"/>
        <v>0.70625710491276694</v>
      </c>
      <c r="BB64">
        <f t="shared" si="43"/>
        <v>-3.020743403375385</v>
      </c>
      <c r="BC64">
        <f t="shared" si="44"/>
        <v>0.70953951599717402</v>
      </c>
      <c r="BD64">
        <f t="shared" si="28"/>
        <v>-139.34638028915325</v>
      </c>
      <c r="BF64">
        <f t="shared" si="29"/>
        <v>10.248748388796523</v>
      </c>
      <c r="BG64">
        <f t="shared" si="30"/>
        <v>-131.83378734518058</v>
      </c>
      <c r="BH64">
        <f t="shared" si="45"/>
        <v>48.166212654819418</v>
      </c>
      <c r="BI64">
        <f t="shared" si="46"/>
        <v>48.166212654819418</v>
      </c>
      <c r="BJ64">
        <f t="shared" si="31"/>
        <v>0</v>
      </c>
      <c r="BK64">
        <f t="shared" si="47"/>
        <v>0</v>
      </c>
      <c r="BM64">
        <f t="shared" si="48"/>
        <v>13.269491792171909</v>
      </c>
      <c r="BN64">
        <f t="shared" si="32"/>
        <v>-172.48740705602734</v>
      </c>
      <c r="BQ64" s="56">
        <f t="shared" si="49"/>
        <v>13.881217396909751</v>
      </c>
      <c r="BR64" s="59"/>
      <c r="BS64" s="59"/>
      <c r="BT64" s="59">
        <v>346.73700000000002</v>
      </c>
      <c r="BU64" s="59">
        <v>24.040400000000002</v>
      </c>
      <c r="BV64" s="59">
        <v>-265.87940000000003</v>
      </c>
      <c r="BW64" s="61"/>
      <c r="BY64" s="59"/>
      <c r="BZ64" s="59"/>
      <c r="CA64" s="59"/>
      <c r="CC64" s="59"/>
    </row>
    <row r="65" spans="1:81" x14ac:dyDescent="0.2">
      <c r="A65">
        <f t="shared" si="54"/>
        <v>15500</v>
      </c>
      <c r="B65">
        <f t="shared" si="33"/>
        <v>15.5</v>
      </c>
      <c r="C65">
        <f t="shared" si="0"/>
        <v>1.0000018218175588</v>
      </c>
      <c r="D65">
        <f t="shared" si="1"/>
        <v>1.908829375780892E-3</v>
      </c>
      <c r="F65">
        <f t="shared" si="2"/>
        <v>0.2823574427518919</v>
      </c>
      <c r="G65">
        <f t="shared" si="3"/>
        <v>0.1227561693334131</v>
      </c>
      <c r="H65">
        <f t="shared" si="4"/>
        <v>-3.0188364806665873</v>
      </c>
      <c r="J65">
        <f t="shared" si="5"/>
        <v>15</v>
      </c>
      <c r="M65">
        <f t="shared" si="6"/>
        <v>8.069329856949721E-2</v>
      </c>
      <c r="N65">
        <f t="shared" si="7"/>
        <v>-1.5707963250000001</v>
      </c>
      <c r="O65">
        <f t="shared" si="8"/>
        <v>3.2039595180157527</v>
      </c>
      <c r="P65">
        <f t="shared" si="9"/>
        <v>1.2533791507044352</v>
      </c>
      <c r="Q65">
        <f t="shared" si="10"/>
        <v>2.8285423227674067</v>
      </c>
      <c r="R65">
        <f t="shared" si="11"/>
        <v>1.2094445961995668</v>
      </c>
      <c r="S65">
        <f t="shared" si="12"/>
        <v>0.99721453277581951</v>
      </c>
      <c r="T65">
        <f t="shared" si="13"/>
        <v>-7.4656028872632924E-2</v>
      </c>
      <c r="U65">
        <f t="shared" si="14"/>
        <v>0.99714086353217535</v>
      </c>
      <c r="V65">
        <f t="shared" si="15"/>
        <v>-7.5637291743078455E-2</v>
      </c>
      <c r="X65">
        <f t="shared" si="34"/>
        <v>9.7704714776834365</v>
      </c>
      <c r="Y65">
        <f t="shared" si="16"/>
        <v>-130.35898813948805</v>
      </c>
      <c r="Z65">
        <f t="shared" si="35"/>
        <v>49.641011860511952</v>
      </c>
      <c r="AC65">
        <v>1</v>
      </c>
      <c r="AD65">
        <f t="shared" si="17"/>
        <v>3.0439048265482498</v>
      </c>
      <c r="AE65">
        <f t="shared" si="18"/>
        <v>-3.5573277593026656E-5</v>
      </c>
      <c r="AF65">
        <f t="shared" si="19"/>
        <v>4.6941677376300002E-4</v>
      </c>
      <c r="AG65">
        <f t="shared" si="36"/>
        <v>6286.8965379664432</v>
      </c>
      <c r="AH65">
        <f t="shared" si="37"/>
        <v>-2606.7358137515444</v>
      </c>
      <c r="AJ65">
        <f t="shared" si="20"/>
        <v>26400</v>
      </c>
      <c r="AK65">
        <f t="shared" si="21"/>
        <v>1974.5889982156802</v>
      </c>
      <c r="AL65">
        <v>1</v>
      </c>
      <c r="AM65">
        <f t="shared" si="22"/>
        <v>2.6458744625712005</v>
      </c>
      <c r="AN65">
        <f t="shared" si="38"/>
        <v>3952.7423392733281</v>
      </c>
      <c r="AO65">
        <f t="shared" si="39"/>
        <v>-8483.8710143915669</v>
      </c>
      <c r="AQ65">
        <f t="shared" si="23"/>
        <v>10.395010395010395</v>
      </c>
      <c r="AR65">
        <f t="shared" si="24"/>
        <v>-322.24532224532226</v>
      </c>
      <c r="AT65">
        <f t="shared" si="52"/>
        <v>-774656.0674462727</v>
      </c>
      <c r="AU65">
        <f t="shared" si="53"/>
        <v>-2053020.0466809906</v>
      </c>
      <c r="AV65">
        <f t="shared" si="42"/>
        <v>-1.9316039121931825</v>
      </c>
      <c r="AW65">
        <f t="shared" si="25"/>
        <v>-2680849.7675152086</v>
      </c>
      <c r="AX65">
        <f t="shared" si="26"/>
        <v>-1412808.8720390634</v>
      </c>
      <c r="AY65">
        <f t="shared" si="50"/>
        <v>-2.656578778950323</v>
      </c>
      <c r="BA65">
        <f t="shared" si="27"/>
        <v>0.72411154410904743</v>
      </c>
      <c r="BB65">
        <f t="shared" si="43"/>
        <v>-2.8038905749600578</v>
      </c>
      <c r="BC65">
        <f t="shared" si="44"/>
        <v>0.72497486675714051</v>
      </c>
      <c r="BD65">
        <f t="shared" si="28"/>
        <v>-138.46199983429256</v>
      </c>
      <c r="BF65">
        <f t="shared" si="29"/>
        <v>9.7339352289178329</v>
      </c>
      <c r="BG65">
        <f t="shared" si="30"/>
        <v>-131.31922154709008</v>
      </c>
      <c r="BH65">
        <f t="shared" si="45"/>
        <v>48.680778452909919</v>
      </c>
      <c r="BI65">
        <f t="shared" si="46"/>
        <v>48.680778452909919</v>
      </c>
      <c r="BJ65">
        <f t="shared" si="31"/>
        <v>0</v>
      </c>
      <c r="BK65">
        <f t="shared" si="47"/>
        <v>0</v>
      </c>
      <c r="BM65">
        <f t="shared" si="48"/>
        <v>12.537825803877894</v>
      </c>
      <c r="BN65">
        <f t="shared" si="32"/>
        <v>-172.85722171279753</v>
      </c>
      <c r="BQ65" s="56">
        <f t="shared" si="49"/>
        <v>14.098070225325079</v>
      </c>
      <c r="BR65" s="59"/>
      <c r="BS65" s="59"/>
      <c r="BT65" s="59">
        <v>354.81299999999999</v>
      </c>
      <c r="BU65" s="59">
        <v>23.629000000000001</v>
      </c>
      <c r="BV65" s="59">
        <v>-265.95490000000001</v>
      </c>
      <c r="BW65" s="61"/>
      <c r="BY65" s="59"/>
      <c r="BZ65" s="59"/>
      <c r="CA65" s="59"/>
      <c r="CC65" s="59"/>
    </row>
    <row r="66" spans="1:81" x14ac:dyDescent="0.2">
      <c r="A66">
        <f t="shared" si="54"/>
        <v>16000</v>
      </c>
      <c r="B66">
        <f t="shared" si="33"/>
        <v>16</v>
      </c>
      <c r="C66">
        <f t="shared" si="0"/>
        <v>1.0000019412498113</v>
      </c>
      <c r="D66">
        <f t="shared" si="1"/>
        <v>1.9704043600487701E-3</v>
      </c>
      <c r="F66">
        <f t="shared" si="2"/>
        <v>0.26060779993202282</v>
      </c>
      <c r="G66">
        <f t="shared" si="3"/>
        <v>0.11692801387009483</v>
      </c>
      <c r="H66">
        <f t="shared" si="4"/>
        <v>-3.0246646361299052</v>
      </c>
      <c r="J66">
        <f t="shared" si="5"/>
        <v>15</v>
      </c>
      <c r="M66">
        <f t="shared" si="6"/>
        <v>7.8171632989200421E-2</v>
      </c>
      <c r="N66">
        <f t="shared" si="7"/>
        <v>-1.5707963250000001</v>
      </c>
      <c r="O66">
        <f t="shared" si="8"/>
        <v>3.2973872845932171</v>
      </c>
      <c r="P66">
        <f t="shared" si="9"/>
        <v>1.2626734927084515</v>
      </c>
      <c r="Q66">
        <f t="shared" si="10"/>
        <v>2.9085376695943683</v>
      </c>
      <c r="R66">
        <f t="shared" si="11"/>
        <v>1.2198193537754689</v>
      </c>
      <c r="S66">
        <f t="shared" si="12"/>
        <v>0.99703273868452402</v>
      </c>
      <c r="T66">
        <f t="shared" si="13"/>
        <v>-7.7054914414043107E-2</v>
      </c>
      <c r="U66">
        <f t="shared" si="14"/>
        <v>0.99695428341764436</v>
      </c>
      <c r="V66">
        <f t="shared" si="15"/>
        <v>-7.8067456781979225E-2</v>
      </c>
      <c r="X66">
        <f t="shared" si="34"/>
        <v>9.2871602182904844</v>
      </c>
      <c r="Y66">
        <f t="shared" si="16"/>
        <v>-129.8391166871213</v>
      </c>
      <c r="Z66">
        <f t="shared" si="35"/>
        <v>50.160883312878696</v>
      </c>
      <c r="AC66">
        <v>1</v>
      </c>
      <c r="AD66">
        <f t="shared" si="17"/>
        <v>3.1420953048240001</v>
      </c>
      <c r="AE66">
        <f t="shared" si="18"/>
        <v>-3.7905344698500819E-5</v>
      </c>
      <c r="AF66">
        <f t="shared" si="19"/>
        <v>4.84559250336E-4</v>
      </c>
      <c r="AG66">
        <f t="shared" si="36"/>
        <v>6284.5440115079209</v>
      </c>
      <c r="AH66">
        <f t="shared" si="37"/>
        <v>-2555.3486104547787</v>
      </c>
      <c r="AJ66">
        <f t="shared" si="20"/>
        <v>26400</v>
      </c>
      <c r="AK66">
        <f t="shared" si="21"/>
        <v>2038.2854175129603</v>
      </c>
      <c r="AL66">
        <v>1</v>
      </c>
      <c r="AM66">
        <f t="shared" si="22"/>
        <v>2.7312252516864004</v>
      </c>
      <c r="AN66">
        <f t="shared" si="38"/>
        <v>3778.7896818783647</v>
      </c>
      <c r="AO66">
        <f t="shared" si="39"/>
        <v>-8282.4403824452511</v>
      </c>
      <c r="AQ66">
        <f t="shared" si="23"/>
        <v>9.7560975609756095</v>
      </c>
      <c r="AR66">
        <f t="shared" si="24"/>
        <v>-312.19512195121951</v>
      </c>
      <c r="AT66">
        <f t="shared" si="52"/>
        <v>-736454.7465662926</v>
      </c>
      <c r="AU66">
        <f t="shared" si="53"/>
        <v>-1986934.2144264218</v>
      </c>
      <c r="AV66">
        <f t="shared" si="42"/>
        <v>-1.9257467842330525</v>
      </c>
      <c r="AW66">
        <f t="shared" si="25"/>
        <v>-2537193.2560442882</v>
      </c>
      <c r="AX66">
        <f t="shared" si="26"/>
        <v>-1309928.9697621239</v>
      </c>
      <c r="AY66">
        <f t="shared" si="50"/>
        <v>-2.6649976793594963</v>
      </c>
      <c r="BA66">
        <f t="shared" si="27"/>
        <v>0.74211402848574082</v>
      </c>
      <c r="BB66">
        <f t="shared" si="43"/>
        <v>-2.5905871737367092</v>
      </c>
      <c r="BC66">
        <f t="shared" si="44"/>
        <v>0.73925089512644382</v>
      </c>
      <c r="BD66">
        <f t="shared" si="28"/>
        <v>-137.64404365958779</v>
      </c>
      <c r="BF66">
        <f t="shared" si="29"/>
        <v>9.2510030669600702</v>
      </c>
      <c r="BG66">
        <f t="shared" si="30"/>
        <v>-130.83166609643496</v>
      </c>
      <c r="BH66">
        <f t="shared" si="45"/>
        <v>49.168333903565042</v>
      </c>
      <c r="BI66">
        <f t="shared" si="46"/>
        <v>49.168333903565042</v>
      </c>
      <c r="BJ66">
        <f t="shared" si="31"/>
        <v>0</v>
      </c>
      <c r="BK66">
        <f t="shared" si="47"/>
        <v>0</v>
      </c>
      <c r="BM66">
        <f t="shared" si="48"/>
        <v>11.84159024069678</v>
      </c>
      <c r="BN66">
        <f t="shared" si="32"/>
        <v>-173.18762243684716</v>
      </c>
      <c r="BQ66" s="56">
        <f t="shared" si="49"/>
        <v>14.311373626548427</v>
      </c>
      <c r="BR66" s="59"/>
      <c r="BS66" s="59"/>
      <c r="BT66" s="59">
        <v>363.07799999999997</v>
      </c>
      <c r="BU66" s="59">
        <v>23.6126</v>
      </c>
      <c r="BV66" s="59">
        <v>-265.39159999999998</v>
      </c>
      <c r="BW66" s="61"/>
      <c r="BY66" s="59"/>
      <c r="BZ66" s="59"/>
      <c r="CA66" s="59"/>
      <c r="CC66" s="59"/>
    </row>
    <row r="67" spans="1:81" x14ac:dyDescent="0.2">
      <c r="A67">
        <f t="shared" si="54"/>
        <v>16500</v>
      </c>
      <c r="B67">
        <f t="shared" si="33"/>
        <v>16.5</v>
      </c>
      <c r="C67">
        <f t="shared" si="0"/>
        <v>1.0000020644735492</v>
      </c>
      <c r="D67">
        <f t="shared" si="1"/>
        <v>2.0319793293751406E-3</v>
      </c>
      <c r="F67">
        <f t="shared" si="2"/>
        <v>0.24141715228443869</v>
      </c>
      <c r="G67">
        <f t="shared" si="3"/>
        <v>0.11168023918850978</v>
      </c>
      <c r="H67">
        <f t="shared" si="4"/>
        <v>-3.0299124108114905</v>
      </c>
      <c r="J67">
        <f t="shared" si="5"/>
        <v>15</v>
      </c>
      <c r="M67">
        <f t="shared" si="6"/>
        <v>7.5802795625891317E-2</v>
      </c>
      <c r="N67">
        <f t="shared" si="7"/>
        <v>-1.5707963250000001</v>
      </c>
      <c r="O67">
        <f t="shared" si="8"/>
        <v>3.3910841859438352</v>
      </c>
      <c r="P67">
        <f t="shared" si="9"/>
        <v>1.2714549466276217</v>
      </c>
      <c r="Q67">
        <f t="shared" si="10"/>
        <v>2.9888293015188432</v>
      </c>
      <c r="R67">
        <f t="shared" si="11"/>
        <v>1.2296377083816805</v>
      </c>
      <c r="S67">
        <f t="shared" si="12"/>
        <v>0.99684527752205487</v>
      </c>
      <c r="T67">
        <f t="shared" si="13"/>
        <v>-7.9452911678399102E-2</v>
      </c>
      <c r="U67">
        <f t="shared" si="14"/>
        <v>0.99676188985879388</v>
      </c>
      <c r="V67">
        <f t="shared" si="15"/>
        <v>-8.0496698209766099E-2</v>
      </c>
      <c r="X67">
        <f t="shared" si="34"/>
        <v>8.832087312855716</v>
      </c>
      <c r="Y67">
        <f t="shared" si="16"/>
        <v>-129.34715391728969</v>
      </c>
      <c r="Z67">
        <f t="shared" si="35"/>
        <v>50.652846082710312</v>
      </c>
      <c r="AC67">
        <v>1</v>
      </c>
      <c r="AD67">
        <f t="shared" si="17"/>
        <v>3.24028578309975</v>
      </c>
      <c r="AE67">
        <f t="shared" si="18"/>
        <v>-4.0311445680339253E-5</v>
      </c>
      <c r="AF67">
        <f t="shared" si="19"/>
        <v>4.9970172690899997E-4</v>
      </c>
      <c r="AG67">
        <f t="shared" si="36"/>
        <v>6282.1186462914475</v>
      </c>
      <c r="AH67">
        <f t="shared" si="37"/>
        <v>-2507.9786942494402</v>
      </c>
      <c r="AJ67">
        <f t="shared" si="20"/>
        <v>26400</v>
      </c>
      <c r="AK67">
        <f t="shared" si="21"/>
        <v>2101.9818368102401</v>
      </c>
      <c r="AL67">
        <v>1</v>
      </c>
      <c r="AM67">
        <f t="shared" si="22"/>
        <v>2.8165760408016003</v>
      </c>
      <c r="AN67">
        <f t="shared" si="38"/>
        <v>3618.0485533602559</v>
      </c>
      <c r="AO67">
        <f t="shared" si="39"/>
        <v>-8088.5270330411477</v>
      </c>
      <c r="AQ67">
        <f t="shared" si="23"/>
        <v>9.1743119266055047</v>
      </c>
      <c r="AR67">
        <f t="shared" si="24"/>
        <v>-302.75229357798167</v>
      </c>
      <c r="AT67">
        <f t="shared" si="52"/>
        <v>-701662.1859077072</v>
      </c>
      <c r="AU67">
        <f t="shared" si="53"/>
        <v>-1924934.8075400663</v>
      </c>
      <c r="AV67">
        <f t="shared" si="42"/>
        <v>-1.9203406452531626</v>
      </c>
      <c r="AW67">
        <f t="shared" si="25"/>
        <v>-2404199.8647184791</v>
      </c>
      <c r="AX67">
        <f t="shared" si="26"/>
        <v>-1217605.0955501869</v>
      </c>
      <c r="AY67">
        <f t="shared" si="50"/>
        <v>-2.6727990061196323</v>
      </c>
      <c r="BA67">
        <f t="shared" si="27"/>
        <v>0.76024867823981035</v>
      </c>
      <c r="BB67">
        <f t="shared" si="43"/>
        <v>-2.3808865248579467</v>
      </c>
      <c r="BC67">
        <f t="shared" si="44"/>
        <v>0.75245836086646967</v>
      </c>
      <c r="BD67">
        <f t="shared" si="28"/>
        <v>-136.887311613756</v>
      </c>
      <c r="BF67">
        <f t="shared" si="29"/>
        <v>8.7963190430918718</v>
      </c>
      <c r="BG67">
        <f t="shared" si="30"/>
        <v>-130.37208140616707</v>
      </c>
      <c r="BH67">
        <f t="shared" si="45"/>
        <v>49.627918593832931</v>
      </c>
      <c r="BI67">
        <f t="shared" si="46"/>
        <v>49.627918593832931</v>
      </c>
      <c r="BJ67">
        <f t="shared" si="31"/>
        <v>0</v>
      </c>
      <c r="BK67">
        <f t="shared" si="47"/>
        <v>0</v>
      </c>
      <c r="BM67">
        <f t="shared" si="48"/>
        <v>11.177205567949819</v>
      </c>
      <c r="BN67">
        <f t="shared" si="32"/>
        <v>-173.4847697924111</v>
      </c>
      <c r="BQ67" s="56">
        <f t="shared" si="49"/>
        <v>14.521074275427191</v>
      </c>
      <c r="BR67" s="59"/>
      <c r="BS67" s="59"/>
      <c r="BT67" s="59">
        <v>371.53500000000003</v>
      </c>
      <c r="BU67" s="59">
        <v>23.315999999999999</v>
      </c>
      <c r="BV67" s="59">
        <v>-265.2439</v>
      </c>
      <c r="BW67" s="61"/>
      <c r="BY67" s="59"/>
      <c r="BZ67" s="59"/>
      <c r="CA67" s="59"/>
      <c r="CC67" s="59"/>
    </row>
    <row r="68" spans="1:81" x14ac:dyDescent="0.2">
      <c r="A68">
        <f t="shared" si="54"/>
        <v>17000</v>
      </c>
      <c r="B68">
        <f t="shared" si="33"/>
        <v>17</v>
      </c>
      <c r="C68">
        <f t="shared" si="0"/>
        <v>1.0000021914887707</v>
      </c>
      <c r="D68">
        <f t="shared" si="1"/>
        <v>2.0935542832930883E-3</v>
      </c>
      <c r="F68">
        <f t="shared" si="2"/>
        <v>0.22438257727573571</v>
      </c>
      <c r="G68">
        <f t="shared" si="3"/>
        <v>0.10692691786193341</v>
      </c>
      <c r="H68">
        <f t="shared" si="4"/>
        <v>-3.034665732138067</v>
      </c>
      <c r="J68">
        <f t="shared" si="5"/>
        <v>15</v>
      </c>
      <c r="M68">
        <f t="shared" si="6"/>
        <v>7.3573301636894517E-2</v>
      </c>
      <c r="N68">
        <f t="shared" si="7"/>
        <v>-1.5707963250000001</v>
      </c>
      <c r="O68">
        <f t="shared" si="8"/>
        <v>3.4850285146276407</v>
      </c>
      <c r="P68">
        <f t="shared" si="9"/>
        <v>1.2797635774967526</v>
      </c>
      <c r="Q68">
        <f t="shared" si="10"/>
        <v>3.0693939672500448</v>
      </c>
      <c r="R68">
        <f t="shared" si="11"/>
        <v>1.2389415018010954</v>
      </c>
      <c r="S68">
        <f t="shared" si="12"/>
        <v>0.9966521589502757</v>
      </c>
      <c r="T68">
        <f t="shared" si="13"/>
        <v>-8.1849993595771484E-2</v>
      </c>
      <c r="U68">
        <f t="shared" si="14"/>
        <v>0.99656369303067172</v>
      </c>
      <c r="V68">
        <f t="shared" si="15"/>
        <v>-8.2924987898611233E-2</v>
      </c>
      <c r="X68">
        <f t="shared" si="34"/>
        <v>8.4021846454473028</v>
      </c>
      <c r="Y68">
        <f t="shared" si="16"/>
        <v>-128.88332703135003</v>
      </c>
      <c r="Z68">
        <f t="shared" si="35"/>
        <v>51.116672968649965</v>
      </c>
      <c r="AC68">
        <v>1</v>
      </c>
      <c r="AD68">
        <f t="shared" si="17"/>
        <v>3.3384762613755004</v>
      </c>
      <c r="AE68">
        <f t="shared" si="18"/>
        <v>-4.2791580538541946E-5</v>
      </c>
      <c r="AF68">
        <f t="shared" si="19"/>
        <v>5.14844203482E-4</v>
      </c>
      <c r="AG68">
        <f t="shared" si="36"/>
        <v>6279.6206129810425</v>
      </c>
      <c r="AH68">
        <f t="shared" si="37"/>
        <v>-2464.2695452940516</v>
      </c>
      <c r="AJ68">
        <f t="shared" si="20"/>
        <v>26400</v>
      </c>
      <c r="AK68">
        <f t="shared" si="21"/>
        <v>2165.6782561075202</v>
      </c>
      <c r="AL68">
        <v>1</v>
      </c>
      <c r="AM68">
        <f t="shared" si="22"/>
        <v>2.9019268299168006</v>
      </c>
      <c r="AN68">
        <f t="shared" si="38"/>
        <v>3469.2726573521659</v>
      </c>
      <c r="AO68">
        <f t="shared" si="39"/>
        <v>-7901.8971485594857</v>
      </c>
      <c r="AQ68">
        <f t="shared" si="23"/>
        <v>8.6430423509075194</v>
      </c>
      <c r="AR68">
        <f t="shared" si="24"/>
        <v>-293.86343993085563</v>
      </c>
      <c r="AT68">
        <f t="shared" si="52"/>
        <v>-669883.69859132846</v>
      </c>
      <c r="AU68">
        <f t="shared" si="53"/>
        <v>-1866649.7008353455</v>
      </c>
      <c r="AV68">
        <f t="shared" si="42"/>
        <v>-1.9153507757876467</v>
      </c>
      <c r="AW68">
        <f t="shared" si="25"/>
        <v>-2280898.8945321371</v>
      </c>
      <c r="AX68">
        <f t="shared" si="26"/>
        <v>-1134511.3325299269</v>
      </c>
      <c r="AY68">
        <f t="shared" si="50"/>
        <v>-2.6800299406174393</v>
      </c>
      <c r="BA68">
        <f t="shared" si="27"/>
        <v>0.77850140176126159</v>
      </c>
      <c r="BB68">
        <f t="shared" si="43"/>
        <v>-2.1748120221835565</v>
      </c>
      <c r="BC68">
        <f t="shared" si="44"/>
        <v>0.76467916482979259</v>
      </c>
      <c r="BD68">
        <f t="shared" si="28"/>
        <v>-136.18711112360074</v>
      </c>
      <c r="BF68">
        <f t="shared" si="29"/>
        <v>8.3668148350363332</v>
      </c>
      <c r="BG68">
        <f t="shared" si="30"/>
        <v>-129.94069818201817</v>
      </c>
      <c r="BH68">
        <f t="shared" si="45"/>
        <v>50.059301817981833</v>
      </c>
      <c r="BI68">
        <f t="shared" si="46"/>
        <v>50.059301817981833</v>
      </c>
      <c r="BJ68">
        <f t="shared" si="31"/>
        <v>0</v>
      </c>
      <c r="BK68">
        <f t="shared" si="47"/>
        <v>0</v>
      </c>
      <c r="BM68">
        <f t="shared" si="48"/>
        <v>10.541626857219891</v>
      </c>
      <c r="BN68">
        <f t="shared" si="32"/>
        <v>-173.75358705841742</v>
      </c>
      <c r="BQ68" s="56">
        <f t="shared" si="49"/>
        <v>14.727148778101579</v>
      </c>
      <c r="BR68" s="59"/>
      <c r="BS68" s="59"/>
      <c r="BT68" s="59">
        <v>380.18900000000002</v>
      </c>
      <c r="BU68" s="59">
        <v>23.2133</v>
      </c>
      <c r="BV68" s="59">
        <v>-265.49869999999999</v>
      </c>
      <c r="BW68" s="61"/>
      <c r="BY68" s="59"/>
      <c r="BZ68" s="59"/>
      <c r="CA68" s="59"/>
      <c r="CC68" s="59"/>
    </row>
    <row r="69" spans="1:81" x14ac:dyDescent="0.2">
      <c r="A69">
        <f t="shared" si="54"/>
        <v>17500</v>
      </c>
      <c r="B69">
        <f t="shared" si="33"/>
        <v>17.5</v>
      </c>
      <c r="C69">
        <f t="shared" si="0"/>
        <v>1.0000023222954746</v>
      </c>
      <c r="D69">
        <f t="shared" si="1"/>
        <v>2.1551292213357002E-3</v>
      </c>
      <c r="F69">
        <f t="shared" si="2"/>
        <v>0.20917982647799821</v>
      </c>
      <c r="G69">
        <f t="shared" si="3"/>
        <v>0.10259853275225095</v>
      </c>
      <c r="H69">
        <f t="shared" si="4"/>
        <v>-3.038994117247749</v>
      </c>
      <c r="J69">
        <f t="shared" si="5"/>
        <v>15</v>
      </c>
      <c r="M69">
        <f t="shared" si="6"/>
        <v>7.147120730441181E-2</v>
      </c>
      <c r="N69">
        <f t="shared" si="7"/>
        <v>-1.5707963250000001</v>
      </c>
      <c r="O69">
        <f t="shared" si="8"/>
        <v>3.579200787805171</v>
      </c>
      <c r="P69">
        <f t="shared" si="9"/>
        <v>1.2876355118296821</v>
      </c>
      <c r="Q69">
        <f t="shared" si="10"/>
        <v>3.1502107188519144</v>
      </c>
      <c r="R69">
        <f t="shared" si="11"/>
        <v>1.2477686606223686</v>
      </c>
      <c r="S69">
        <f t="shared" si="12"/>
        <v>0.99645339291248125</v>
      </c>
      <c r="T69">
        <f t="shared" si="13"/>
        <v>-8.4246133158968492E-2</v>
      </c>
      <c r="U69">
        <f t="shared" si="14"/>
        <v>0.99635970340426461</v>
      </c>
      <c r="V69">
        <f t="shared" si="15"/>
        <v>-8.5352297787617618E-2</v>
      </c>
      <c r="X69">
        <f t="shared" si="34"/>
        <v>7.9948399310163518</v>
      </c>
      <c r="Y69">
        <f t="shared" si="16"/>
        <v>-128.44737298254464</v>
      </c>
      <c r="Z69">
        <f t="shared" si="35"/>
        <v>51.552627017455364</v>
      </c>
      <c r="AC69">
        <v>1</v>
      </c>
      <c r="AD69">
        <f t="shared" si="17"/>
        <v>3.4366667396512502</v>
      </c>
      <c r="AE69">
        <f t="shared" si="18"/>
        <v>-4.534574927310889E-5</v>
      </c>
      <c r="AF69">
        <f t="shared" si="19"/>
        <v>5.2998668005499992E-4</v>
      </c>
      <c r="AG69">
        <f t="shared" si="36"/>
        <v>6277.0500871467002</v>
      </c>
      <c r="AH69">
        <f t="shared" si="37"/>
        <v>-2423.9053315324563</v>
      </c>
      <c r="AJ69">
        <f t="shared" si="20"/>
        <v>26400</v>
      </c>
      <c r="AK69">
        <f t="shared" si="21"/>
        <v>2229.3746754048002</v>
      </c>
      <c r="AL69">
        <v>1</v>
      </c>
      <c r="AM69">
        <f t="shared" si="22"/>
        <v>2.9872776190320005</v>
      </c>
      <c r="AN69">
        <f t="shared" si="38"/>
        <v>3331.3518225221214</v>
      </c>
      <c r="AO69">
        <f t="shared" si="39"/>
        <v>-7722.298065136998</v>
      </c>
      <c r="AQ69">
        <f t="shared" si="23"/>
        <v>8.1566068515497552</v>
      </c>
      <c r="AR69">
        <f t="shared" si="24"/>
        <v>-285.48123980424145</v>
      </c>
      <c r="AT69">
        <f t="shared" si="52"/>
        <v>-640780.06946565479</v>
      </c>
      <c r="AU69">
        <f t="shared" si="53"/>
        <v>-1811750.8840266475</v>
      </c>
      <c r="AV69">
        <f t="shared" si="42"/>
        <v>-1.9107457817089686</v>
      </c>
      <c r="AW69">
        <f t="shared" si="25"/>
        <v>-2166419.7075154604</v>
      </c>
      <c r="AX69">
        <f t="shared" si="26"/>
        <v>-1059514.9844638116</v>
      </c>
      <c r="AY69">
        <f t="shared" si="50"/>
        <v>-2.6867331388223104</v>
      </c>
      <c r="BA69">
        <f t="shared" si="27"/>
        <v>0.79685964072185234</v>
      </c>
      <c r="BB69">
        <f t="shared" si="43"/>
        <v>-1.9723633745417499</v>
      </c>
      <c r="BC69">
        <f t="shared" si="44"/>
        <v>0.77598735711334177</v>
      </c>
      <c r="BD69">
        <f t="shared" si="28"/>
        <v>-135.53919943109062</v>
      </c>
      <c r="BF69">
        <f t="shared" si="29"/>
        <v>7.9598779457333606</v>
      </c>
      <c r="BG69">
        <f t="shared" si="30"/>
        <v>-129.53725670460582</v>
      </c>
      <c r="BH69">
        <f t="shared" si="45"/>
        <v>50.462743295394176</v>
      </c>
      <c r="BI69">
        <f t="shared" si="46"/>
        <v>50.462743295394176</v>
      </c>
      <c r="BJ69">
        <f t="shared" si="31"/>
        <v>0</v>
      </c>
      <c r="BK69">
        <f t="shared" si="47"/>
        <v>0</v>
      </c>
      <c r="BM69">
        <f t="shared" si="48"/>
        <v>9.932241320275109</v>
      </c>
      <c r="BN69">
        <f t="shared" si="32"/>
        <v>-173.9980572735152</v>
      </c>
      <c r="BQ69" s="56">
        <f t="shared" si="49"/>
        <v>14.929597425743388</v>
      </c>
      <c r="BR69" s="59"/>
      <c r="BS69" s="59"/>
      <c r="BT69" s="59">
        <v>389.04500000000002</v>
      </c>
      <c r="BU69" s="59">
        <v>22.955200000000001</v>
      </c>
      <c r="BV69" s="59">
        <v>-266.06720000000001</v>
      </c>
      <c r="BW69" s="61"/>
      <c r="BY69" s="59"/>
      <c r="BZ69" s="59"/>
      <c r="CA69" s="59"/>
      <c r="CC69" s="59"/>
    </row>
    <row r="70" spans="1:81" x14ac:dyDescent="0.2">
      <c r="A70">
        <f t="shared" si="54"/>
        <v>18000</v>
      </c>
      <c r="B70">
        <f t="shared" si="33"/>
        <v>18</v>
      </c>
      <c r="C70">
        <f t="shared" si="0"/>
        <v>1.0000024568936592</v>
      </c>
      <c r="D70">
        <f t="shared" si="1"/>
        <v>2.2167041430360621E-3</v>
      </c>
      <c r="F70">
        <f t="shared" si="2"/>
        <v>0.19554519023215611</v>
      </c>
      <c r="G70">
        <f t="shared" si="3"/>
        <v>9.8638218827619389E-2</v>
      </c>
      <c r="H70">
        <f t="shared" si="4"/>
        <v>-3.0429544311723808</v>
      </c>
      <c r="J70">
        <f t="shared" si="5"/>
        <v>15</v>
      </c>
      <c r="M70">
        <f t="shared" si="6"/>
        <v>6.9485895990400379E-2</v>
      </c>
      <c r="N70">
        <f t="shared" si="7"/>
        <v>-1.5707963250000001</v>
      </c>
      <c r="O70">
        <f t="shared" si="8"/>
        <v>3.673583475454262</v>
      </c>
      <c r="P70">
        <f t="shared" si="9"/>
        <v>1.2951033936565393</v>
      </c>
      <c r="Q70">
        <f t="shared" si="10"/>
        <v>3.231260641692836</v>
      </c>
      <c r="R70">
        <f t="shared" si="11"/>
        <v>1.2561536213756761</v>
      </c>
      <c r="S70">
        <f t="shared" si="12"/>
        <v>0.99624898963198838</v>
      </c>
      <c r="T70">
        <f t="shared" si="13"/>
        <v>-8.6641303425311761E-2</v>
      </c>
      <c r="U70">
        <f t="shared" si="14"/>
        <v>0.9961499317449739</v>
      </c>
      <c r="V70">
        <f t="shared" si="15"/>
        <v>-8.7778599884709957E-2</v>
      </c>
      <c r="X70">
        <f t="shared" si="34"/>
        <v>7.6078126651819673</v>
      </c>
      <c r="Y70">
        <f t="shared" si="16"/>
        <v>-128.03870331670376</v>
      </c>
      <c r="Z70">
        <f t="shared" si="35"/>
        <v>51.96129668329624</v>
      </c>
      <c r="AC70">
        <v>1</v>
      </c>
      <c r="AD70">
        <f t="shared" si="17"/>
        <v>3.5348572179269997</v>
      </c>
      <c r="AE70">
        <f t="shared" si="18"/>
        <v>-4.7973951884040106E-5</v>
      </c>
      <c r="AF70">
        <f t="shared" si="19"/>
        <v>5.4512915662799995E-4</v>
      </c>
      <c r="AG70">
        <f t="shared" si="36"/>
        <v>6274.4072492338091</v>
      </c>
      <c r="AH70">
        <f t="shared" si="37"/>
        <v>-2386.6052579598718</v>
      </c>
      <c r="AJ70">
        <f t="shared" si="20"/>
        <v>26400</v>
      </c>
      <c r="AK70">
        <f t="shared" si="21"/>
        <v>2293.0710947020802</v>
      </c>
      <c r="AL70">
        <v>1</v>
      </c>
      <c r="AM70">
        <f t="shared" si="22"/>
        <v>3.0726284081472004</v>
      </c>
      <c r="AN70">
        <f t="shared" si="38"/>
        <v>3203.2956773780779</v>
      </c>
      <c r="AO70">
        <f t="shared" si="39"/>
        <v>-7549.4662033049317</v>
      </c>
      <c r="AQ70">
        <f t="shared" si="23"/>
        <v>7.7101002313030067</v>
      </c>
      <c r="AR70">
        <f t="shared" si="24"/>
        <v>-277.56360832690825</v>
      </c>
      <c r="AT70">
        <f t="shared" si="52"/>
        <v>-614058.4582677068</v>
      </c>
      <c r="AU70">
        <f t="shared" si="53"/>
        <v>-1759948.0819612721</v>
      </c>
      <c r="AV70">
        <f t="shared" si="42"/>
        <v>-1.906497223224543</v>
      </c>
      <c r="AW70">
        <f t="shared" si="25"/>
        <v>-2059980.9054841758</v>
      </c>
      <c r="AX70">
        <f t="shared" si="26"/>
        <v>-991644.91169531038</v>
      </c>
      <c r="AY70">
        <f t="shared" si="50"/>
        <v>-2.6929472410904158</v>
      </c>
      <c r="BA70">
        <f t="shared" si="27"/>
        <v>0.81531215758350906</v>
      </c>
      <c r="BB70">
        <f t="shared" si="43"/>
        <v>-1.7735216323108833</v>
      </c>
      <c r="BC70">
        <f t="shared" si="44"/>
        <v>0.78645001786587287</v>
      </c>
      <c r="BD70">
        <f t="shared" si="28"/>
        <v>-134.93973312680845</v>
      </c>
      <c r="BF70">
        <f t="shared" si="29"/>
        <v>7.5732676531874619</v>
      </c>
      <c r="BG70">
        <f t="shared" si="30"/>
        <v>-129.16117169086988</v>
      </c>
      <c r="BH70">
        <f t="shared" si="45"/>
        <v>50.838828309130122</v>
      </c>
      <c r="BI70">
        <f t="shared" si="46"/>
        <v>50.838828309130122</v>
      </c>
      <c r="BJ70">
        <f t="shared" si="31"/>
        <v>0</v>
      </c>
      <c r="BK70">
        <f t="shared" si="47"/>
        <v>0</v>
      </c>
      <c r="BM70">
        <f t="shared" si="48"/>
        <v>9.3467892854983461</v>
      </c>
      <c r="BN70">
        <f t="shared" si="32"/>
        <v>-174.22143856406146</v>
      </c>
      <c r="BQ70" s="56">
        <f t="shared" si="49"/>
        <v>15.128439167974253</v>
      </c>
      <c r="BR70" s="59"/>
      <c r="BS70" s="59"/>
      <c r="BT70" s="59">
        <v>398.10700000000003</v>
      </c>
      <c r="BU70" s="59">
        <v>22.738499999999998</v>
      </c>
      <c r="BV70" s="59">
        <v>-265.2319</v>
      </c>
      <c r="BW70" s="61"/>
      <c r="BY70" s="59"/>
      <c r="BZ70" s="59"/>
      <c r="CA70" s="59"/>
      <c r="CC70" s="59"/>
    </row>
    <row r="71" spans="1:81" x14ac:dyDescent="0.2">
      <c r="A71">
        <f t="shared" si="54"/>
        <v>18500</v>
      </c>
      <c r="B71">
        <f t="shared" si="33"/>
        <v>18.5</v>
      </c>
      <c r="C71">
        <f t="shared" si="0"/>
        <v>1.0000025952833231</v>
      </c>
      <c r="D71">
        <f t="shared" si="1"/>
        <v>2.2782790479272622E-3</v>
      </c>
      <c r="F71">
        <f t="shared" si="2"/>
        <v>0.18326213336440578</v>
      </c>
      <c r="G71">
        <f t="shared" si="3"/>
        <v>9.4998993776702192E-2</v>
      </c>
      <c r="H71">
        <f t="shared" si="4"/>
        <v>-3.046593656223298</v>
      </c>
      <c r="J71">
        <f t="shared" si="5"/>
        <v>15</v>
      </c>
      <c r="M71">
        <f t="shared" si="6"/>
        <v>6.7607898801470626E-2</v>
      </c>
      <c r="N71">
        <f t="shared" si="7"/>
        <v>-1.5707963250000001</v>
      </c>
      <c r="O71">
        <f t="shared" si="8"/>
        <v>3.76816076659212</v>
      </c>
      <c r="P71">
        <f t="shared" si="9"/>
        <v>1.3021967810889614</v>
      </c>
      <c r="Q71">
        <f t="shared" si="10"/>
        <v>3.3125266203220276</v>
      </c>
      <c r="R71">
        <f t="shared" si="11"/>
        <v>1.2641277048106794</v>
      </c>
      <c r="S71">
        <f t="shared" si="12"/>
        <v>0.99603895961068867</v>
      </c>
      <c r="T71">
        <f t="shared" si="13"/>
        <v>-8.9035477518401032E-2</v>
      </c>
      <c r="U71">
        <f t="shared" si="14"/>
        <v>0.99593438911105425</v>
      </c>
      <c r="V71">
        <f t="shared" si="15"/>
        <v>-9.0203866268513469E-2</v>
      </c>
      <c r="X71">
        <f t="shared" si="34"/>
        <v>7.2391683562134981</v>
      </c>
      <c r="Y71">
        <f t="shared" si="16"/>
        <v>-127.65651868050941</v>
      </c>
      <c r="Z71">
        <f t="shared" si="35"/>
        <v>52.343481319490593</v>
      </c>
      <c r="AC71">
        <v>1</v>
      </c>
      <c r="AD71">
        <f t="shared" si="17"/>
        <v>3.63304769620275</v>
      </c>
      <c r="AE71">
        <f t="shared" si="18"/>
        <v>-5.0676188371335566E-5</v>
      </c>
      <c r="AF71">
        <f t="shared" si="19"/>
        <v>5.6027163320099998E-4</v>
      </c>
      <c r="AG71">
        <f t="shared" si="36"/>
        <v>6271.6922845318086</v>
      </c>
      <c r="AH71">
        <f t="shared" si="37"/>
        <v>-2352.1188322329535</v>
      </c>
      <c r="AJ71">
        <f t="shared" si="20"/>
        <v>26400</v>
      </c>
      <c r="AK71">
        <f t="shared" si="21"/>
        <v>2356.7675139993603</v>
      </c>
      <c r="AL71">
        <v>1</v>
      </c>
      <c r="AM71">
        <f t="shared" si="22"/>
        <v>3.1579791972624007</v>
      </c>
      <c r="AN71">
        <f t="shared" si="38"/>
        <v>3084.2193610150007</v>
      </c>
      <c r="AO71">
        <f t="shared" si="39"/>
        <v>-7383.1330678799459</v>
      </c>
      <c r="AQ71">
        <f t="shared" si="23"/>
        <v>7.2992700729927007</v>
      </c>
      <c r="AR71">
        <f t="shared" si="24"/>
        <v>-270.07299270072991</v>
      </c>
      <c r="AT71">
        <f t="shared" si="52"/>
        <v>-589464.99640939757</v>
      </c>
      <c r="AU71">
        <f t="shared" si="53"/>
        <v>-1710983.4551818236</v>
      </c>
      <c r="AV71">
        <f t="shared" si="42"/>
        <v>-1.9025792895820803</v>
      </c>
      <c r="AW71">
        <f t="shared" si="25"/>
        <v>-1960880.5886488357</v>
      </c>
      <c r="AX71">
        <f t="shared" si="26"/>
        <v>-930065.58033431298</v>
      </c>
      <c r="AY71">
        <f t="shared" si="50"/>
        <v>-2.698707317408013</v>
      </c>
      <c r="BA71">
        <f t="shared" si="27"/>
        <v>0.83384885751010951</v>
      </c>
      <c r="BB71">
        <f t="shared" si="43"/>
        <v>-1.5782532389941097</v>
      </c>
      <c r="BC71">
        <f t="shared" si="44"/>
        <v>0.79612802782593262</v>
      </c>
      <c r="BD71">
        <f t="shared" si="28"/>
        <v>-134.38522400137782</v>
      </c>
      <c r="BF71">
        <f t="shared" si="29"/>
        <v>7.2050492425142307</v>
      </c>
      <c r="BG71">
        <f t="shared" si="30"/>
        <v>-128.81164681961513</v>
      </c>
      <c r="BH71">
        <f t="shared" si="45"/>
        <v>51.188353180384865</v>
      </c>
      <c r="BI71">
        <f t="shared" si="46"/>
        <v>51.188353180384865</v>
      </c>
      <c r="BJ71">
        <f t="shared" si="31"/>
        <v>0</v>
      </c>
      <c r="BK71">
        <f t="shared" si="47"/>
        <v>0</v>
      </c>
      <c r="BM71">
        <f t="shared" si="48"/>
        <v>8.7833024815083398</v>
      </c>
      <c r="BN71">
        <f t="shared" si="32"/>
        <v>-174.42642281823734</v>
      </c>
      <c r="BQ71" s="56">
        <f t="shared" si="49"/>
        <v>15.323707561291027</v>
      </c>
      <c r="BR71" s="59"/>
      <c r="BS71" s="59"/>
      <c r="BT71" s="59">
        <v>407.38</v>
      </c>
      <c r="BU71" s="59">
        <v>22.7593</v>
      </c>
      <c r="BV71" s="59">
        <v>-265.7319</v>
      </c>
      <c r="BW71" s="61"/>
      <c r="BY71" s="59"/>
      <c r="BZ71" s="59"/>
      <c r="CA71" s="59"/>
      <c r="CC71" s="59"/>
    </row>
    <row r="72" spans="1:81" x14ac:dyDescent="0.2">
      <c r="A72">
        <f t="shared" si="54"/>
        <v>19000</v>
      </c>
      <c r="B72">
        <f t="shared" si="33"/>
        <v>19</v>
      </c>
      <c r="C72">
        <f t="shared" si="0"/>
        <v>1.0000027374644647</v>
      </c>
      <c r="D72">
        <f t="shared" si="1"/>
        <v>2.3398539355423895E-3</v>
      </c>
      <c r="F72">
        <f t="shared" si="2"/>
        <v>0.17215130373696816</v>
      </c>
      <c r="G72">
        <f t="shared" si="3"/>
        <v>9.1641686728603997E-2</v>
      </c>
      <c r="H72">
        <f t="shared" si="4"/>
        <v>-3.0499509632713964</v>
      </c>
      <c r="J72">
        <f t="shared" si="5"/>
        <v>15</v>
      </c>
      <c r="M72">
        <f t="shared" si="6"/>
        <v>6.5828743569852979E-2</v>
      </c>
      <c r="N72">
        <f t="shared" si="7"/>
        <v>-1.5707963250000001</v>
      </c>
      <c r="O72">
        <f t="shared" si="8"/>
        <v>3.8629183675927781</v>
      </c>
      <c r="P72">
        <f t="shared" si="9"/>
        <v>1.3089424918393333</v>
      </c>
      <c r="Q72">
        <f t="shared" si="10"/>
        <v>3.393993135016057</v>
      </c>
      <c r="R72">
        <f t="shared" si="11"/>
        <v>1.271719445681694</v>
      </c>
      <c r="S72">
        <f t="shared" si="12"/>
        <v>0.99582331362756393</v>
      </c>
      <c r="T72">
        <f t="shared" si="13"/>
        <v>-9.1428628629867781E-2</v>
      </c>
      <c r="U72">
        <f t="shared" si="14"/>
        <v>0.99571308685200977</v>
      </c>
      <c r="V72">
        <f t="shared" si="15"/>
        <v>-9.262806909022063E-2</v>
      </c>
      <c r="X72">
        <f t="shared" si="34"/>
        <v>6.8872264974602917</v>
      </c>
      <c r="Y72">
        <f t="shared" si="16"/>
        <v>-127.29988880521626</v>
      </c>
      <c r="Z72">
        <f t="shared" si="35"/>
        <v>52.700111194783744</v>
      </c>
      <c r="AC72">
        <v>1</v>
      </c>
      <c r="AD72">
        <f t="shared" si="17"/>
        <v>3.7312381744784999</v>
      </c>
      <c r="AE72">
        <f t="shared" si="18"/>
        <v>-5.3452458734995298E-5</v>
      </c>
      <c r="AF72">
        <f t="shared" si="19"/>
        <v>5.7541410977400001E-4</v>
      </c>
      <c r="AG72">
        <f t="shared" si="36"/>
        <v>6268.9053831420242</v>
      </c>
      <c r="AH72">
        <f t="shared" si="37"/>
        <v>-2320.2218778235369</v>
      </c>
      <c r="AJ72">
        <f t="shared" si="20"/>
        <v>26400</v>
      </c>
      <c r="AK72">
        <f t="shared" si="21"/>
        <v>2420.4639332966399</v>
      </c>
      <c r="AL72">
        <v>1</v>
      </c>
      <c r="AM72">
        <f t="shared" si="22"/>
        <v>3.2433299863776002</v>
      </c>
      <c r="AN72">
        <f t="shared" si="38"/>
        <v>2973.3310274603514</v>
      </c>
      <c r="AO72">
        <f t="shared" si="39"/>
        <v>-7223.0297474924382</v>
      </c>
      <c r="AQ72">
        <f t="shared" si="23"/>
        <v>6.9204152249134951</v>
      </c>
      <c r="AR72">
        <f t="shared" si="24"/>
        <v>-262.97577854671277</v>
      </c>
      <c r="AT72">
        <f t="shared" si="52"/>
        <v>-566778.72646472231</v>
      </c>
      <c r="AU72">
        <f t="shared" si="53"/>
        <v>-1664627.1725759199</v>
      </c>
      <c r="AV72">
        <f t="shared" si="42"/>
        <v>-1.8989685135877583</v>
      </c>
      <c r="AW72">
        <f t="shared" si="25"/>
        <v>-1868487.6375663891</v>
      </c>
      <c r="AX72">
        <f t="shared" si="26"/>
        <v>-874055.70708745858</v>
      </c>
      <c r="AY72">
        <f t="shared" si="50"/>
        <v>-2.7040452569580218</v>
      </c>
      <c r="BA72">
        <f t="shared" si="27"/>
        <v>0.85246063835295827</v>
      </c>
      <c r="BB72">
        <f t="shared" si="43"/>
        <v>-1.3865133010381112</v>
      </c>
      <c r="BC72">
        <f t="shared" si="44"/>
        <v>0.80507674337026347</v>
      </c>
      <c r="BD72">
        <f t="shared" si="28"/>
        <v>-133.87250036803869</v>
      </c>
      <c r="BF72">
        <f t="shared" si="29"/>
        <v>6.8535419784355938</v>
      </c>
      <c r="BG72">
        <f t="shared" si="30"/>
        <v>-128.48775472969299</v>
      </c>
      <c r="BH72">
        <f t="shared" si="45"/>
        <v>51.512245270307005</v>
      </c>
      <c r="BI72">
        <f t="shared" si="46"/>
        <v>51.512245270307005</v>
      </c>
      <c r="BJ72">
        <f t="shared" si="31"/>
        <v>0</v>
      </c>
      <c r="BK72">
        <f t="shared" si="47"/>
        <v>0</v>
      </c>
      <c r="BM72">
        <f t="shared" si="48"/>
        <v>8.2400552794737063</v>
      </c>
      <c r="BN72">
        <f t="shared" si="32"/>
        <v>-174.61525436165434</v>
      </c>
      <c r="BQ72" s="56">
        <f t="shared" si="49"/>
        <v>15.515447499247024</v>
      </c>
      <c r="BR72" s="59"/>
      <c r="BS72" s="59"/>
      <c r="BT72" s="59">
        <v>416.86900000000003</v>
      </c>
      <c r="BU72" s="59">
        <v>22.4206</v>
      </c>
      <c r="BV72" s="59">
        <v>-265.24939999999998</v>
      </c>
      <c r="BW72" s="61"/>
      <c r="BY72" s="59"/>
      <c r="BZ72" s="59"/>
      <c r="CA72" s="59"/>
      <c r="CC72" s="59"/>
    </row>
    <row r="73" spans="1:81" x14ac:dyDescent="0.2">
      <c r="A73">
        <f t="shared" si="54"/>
        <v>19500</v>
      </c>
      <c r="B73">
        <f t="shared" si="33"/>
        <v>19.5</v>
      </c>
      <c r="C73">
        <f t="shared" ref="C73:C136" si="55">SQRT((A73/Fesr)^2+1)</f>
        <v>1.0000028834370822</v>
      </c>
      <c r="D73">
        <f t="shared" ref="D73:D136" si="56">ATAN(A73/Fesr)</f>
        <v>2.4014288054145321E-3</v>
      </c>
      <c r="F73">
        <f t="shared" ref="F73:F136" si="57">(Ro/(Ro+Rdcr))/SQRT((A73/(Q*Fo))^2+(1-(A73^2/Fo^2))^2)</f>
        <v>0.16206296376531071</v>
      </c>
      <c r="G73">
        <f t="shared" ref="G73:G136" si="58">-ATAN(A73*Fo/(Q*(Fo^2-A73^2)))</f>
        <v>8.853336804134139E-2</v>
      </c>
      <c r="H73">
        <f t="shared" ref="H73:H136" si="59">IF(G73&gt;0,G73-Pi,G73)</f>
        <v>-3.0530592819586588</v>
      </c>
      <c r="J73">
        <f t="shared" ref="J73:J136" si="60">Vin/Vramp</f>
        <v>15</v>
      </c>
      <c r="M73">
        <f t="shared" ref="M73:M136" si="61">1/(2*Pi*_Rfb1*(Cc1ea_u+Cc2ea_u)*A73)</f>
        <v>6.4140827068061887E-2</v>
      </c>
      <c r="N73">
        <f t="shared" ref="N73:N136" si="62">-Pi/2</f>
        <v>-1.5707963250000001</v>
      </c>
      <c r="O73">
        <f t="shared" ref="O73:O136" si="63">SQRT(1+(A73/Fz1_u)^2)</f>
        <v>3.9578433276893663</v>
      </c>
      <c r="P73">
        <f t="shared" ref="P73:P136" si="64">ATAN2(Fz1_u,A73)</f>
        <v>1.3153649048688678</v>
      </c>
      <c r="Q73">
        <f t="shared" ref="Q73:Q136" si="65">SQRT(1+(A73/Fz2_u)^2)</f>
        <v>3.4756460845626025</v>
      </c>
      <c r="R73">
        <f t="shared" ref="R73:R136" si="66">ATAN2(Fz2_u,A73)</f>
        <v>1.2789548836334776</v>
      </c>
      <c r="S73">
        <f t="shared" ref="S73:S136" si="67">1/SQRT(1+(A73/Fp1_u)^2)</f>
        <v>0.99560206273716634</v>
      </c>
      <c r="T73">
        <f t="shared" ref="T73:T136" si="68">-ATAN2(Fp1_u,A73)</f>
        <v>-9.3820730021117155E-2</v>
      </c>
      <c r="U73">
        <f t="shared" ref="U73:U136" si="69">1/SQRT(1+(A73/Fp2_u)^2)</f>
        <v>0.99548603660695167</v>
      </c>
      <c r="V73">
        <f t="shared" ref="V73:V136" si="70">-ATAN2(Fp2_u,A73)</f>
        <v>-9.505118057544501E-2</v>
      </c>
      <c r="X73">
        <f t="shared" si="34"/>
        <v>6.5505189973881182</v>
      </c>
      <c r="Y73">
        <f t="shared" ref="Y73:Y136" si="71">(180/Pi)*(D73+H73+N73+P73+R73+T73+V73)</f>
        <v>-126.96780852366172</v>
      </c>
      <c r="Z73">
        <f t="shared" si="35"/>
        <v>53.032191476338284</v>
      </c>
      <c r="AC73">
        <v>1</v>
      </c>
      <c r="AD73">
        <f t="shared" ref="AD73:AD136" si="72">Rcea1_u*Cc1ea_u*A73*2*Pi</f>
        <v>3.8294286527542503</v>
      </c>
      <c r="AE73">
        <f t="shared" ref="AE73:AE136" si="73">-Rcea1_u*Cc1ea_u*Cc2ea_u*(A73*2*Pi)^2</f>
        <v>-5.6302762975019295E-5</v>
      </c>
      <c r="AF73">
        <f t="shared" ref="AF73:AF136" si="74">(Cc2ea_u+Cc1ea_u)*A73*2*Pi</f>
        <v>5.9055658634699993E-4</v>
      </c>
      <c r="AG73">
        <f t="shared" si="36"/>
        <v>6266.0467399447652</v>
      </c>
      <c r="AH73">
        <f t="shared" si="37"/>
        <v>-2290.7131605414443</v>
      </c>
      <c r="AJ73">
        <f t="shared" ref="AJ73:AJ136" si="75">_Rfb1</f>
        <v>26400</v>
      </c>
      <c r="AK73">
        <f t="shared" ref="AK73:AK136" si="76">_Rfb1*Rcea2_u*Cc3ea_u*A73*2*Pi</f>
        <v>2484.1603525939204</v>
      </c>
      <c r="AL73">
        <v>1</v>
      </c>
      <c r="AM73">
        <f t="shared" ref="AM73:AM136" si="77">(_Rfb1+Rcea2_u)*Cc3ea_u*A73*2*Pi</f>
        <v>3.3286807754928005</v>
      </c>
      <c r="AN73">
        <f t="shared" si="38"/>
        <v>2869.9209225440404</v>
      </c>
      <c r="AO73">
        <f t="shared" si="39"/>
        <v>-7068.8902494629901</v>
      </c>
      <c r="AQ73">
        <f t="shared" ref="AQ73:AQ136" si="78">Eadcg/(1+(Eadcg*A73/GBP)^2)</f>
        <v>6.5703022339027592</v>
      </c>
      <c r="AR73">
        <f t="shared" ref="AR73:AR136" si="79">-(A73*Eadcg*Eadcg/GBP)/(1+(Eadcg*A73/GBP)^2)</f>
        <v>-256.2417871222076</v>
      </c>
      <c r="AT73">
        <f t="shared" si="52"/>
        <v>-545806.61314830184</v>
      </c>
      <c r="AU73">
        <f t="shared" si="53"/>
        <v>-1620673.6926306654</v>
      </c>
      <c r="AV73">
        <f t="shared" si="42"/>
        <v>-1.8956435207746929</v>
      </c>
      <c r="AW73">
        <f t="shared" si="25"/>
        <v>-1782233.9432848038</v>
      </c>
      <c r="AX73">
        <f t="shared" si="26"/>
        <v>-822990.61635540158</v>
      </c>
      <c r="AY73">
        <f t="shared" si="50"/>
        <v>-2.708990109606713</v>
      </c>
      <c r="BA73">
        <f t="shared" ref="BA73:BA136" si="80">SQRT(AT73^2+AU73^2)/SQRT(AW73^2+AX73^2)</f>
        <v>0.87113926367778649</v>
      </c>
      <c r="BB73">
        <f t="shared" si="43"/>
        <v>-1.1982482290743806</v>
      </c>
      <c r="BC73">
        <f t="shared" si="44"/>
        <v>0.81334658883202016</v>
      </c>
      <c r="BD73">
        <f t="shared" ref="BD73:BD136" si="81">BC73*180/Pi-180</f>
        <v>-133.39867312531317</v>
      </c>
      <c r="BF73">
        <f t="shared" ref="BF73:BF136" si="82">20*LOG(BA73*J73*F73*C73)</f>
        <v>6.5172775353833146</v>
      </c>
      <c r="BG73">
        <f t="shared" ref="BG73:BG136" si="83">(180/Pi)*(D73+H73+BC73)</f>
        <v>-128.188493049161</v>
      </c>
      <c r="BH73">
        <f t="shared" si="45"/>
        <v>51.811506950839004</v>
      </c>
      <c r="BI73">
        <f t="shared" si="46"/>
        <v>51.811506950839004</v>
      </c>
      <c r="BJ73">
        <f t="shared" ref="BJ73:BJ136" si="84">SUM((BF74&lt;0)*(BF73&gt;0))*A73</f>
        <v>0</v>
      </c>
      <c r="BK73">
        <f t="shared" si="47"/>
        <v>0</v>
      </c>
      <c r="BM73">
        <f t="shared" si="48"/>
        <v>7.7155257644576931</v>
      </c>
      <c r="BN73">
        <f t="shared" ref="BN73:BN136" si="85">(H73+D73)*180/Pi</f>
        <v>-174.78981992384783</v>
      </c>
      <c r="BQ73" s="56">
        <f t="shared" si="49"/>
        <v>15.703712571210755</v>
      </c>
      <c r="BR73" s="59"/>
      <c r="BS73" s="59"/>
      <c r="BT73" s="59">
        <v>426.58</v>
      </c>
      <c r="BU73" s="59">
        <v>22.373699999999999</v>
      </c>
      <c r="BV73" s="59">
        <v>-265.14060000000001</v>
      </c>
      <c r="BW73" s="61"/>
      <c r="BY73" s="59"/>
      <c r="BZ73" s="59"/>
      <c r="CA73" s="59"/>
      <c r="CC73" s="59"/>
    </row>
    <row r="74" spans="1:81" x14ac:dyDescent="0.2">
      <c r="A74">
        <f t="shared" si="54"/>
        <v>20000</v>
      </c>
      <c r="B74">
        <f t="shared" ref="B74:B137" si="86">A74/1000</f>
        <v>20</v>
      </c>
      <c r="C74">
        <f t="shared" si="55"/>
        <v>1.0000030332011742</v>
      </c>
      <c r="D74">
        <f t="shared" si="56"/>
        <v>2.4630036570767806E-3</v>
      </c>
      <c r="F74">
        <f t="shared" si="57"/>
        <v>0.1528711882131486</v>
      </c>
      <c r="G74">
        <f t="shared" si="58"/>
        <v>8.5646144177817074E-2</v>
      </c>
      <c r="H74">
        <f t="shared" si="59"/>
        <v>-3.0559465058221833</v>
      </c>
      <c r="J74">
        <f t="shared" si="60"/>
        <v>15</v>
      </c>
      <c r="M74">
        <f t="shared" si="61"/>
        <v>6.2537306391360334E-2</v>
      </c>
      <c r="N74">
        <f t="shared" si="62"/>
        <v>-1.5707963250000001</v>
      </c>
      <c r="O74">
        <f t="shared" si="63"/>
        <v>4.0529238875696718</v>
      </c>
      <c r="P74">
        <f t="shared" si="64"/>
        <v>1.3214862242736938</v>
      </c>
      <c r="Q74">
        <f t="shared" si="65"/>
        <v>3.5574726315376974</v>
      </c>
      <c r="R74">
        <f t="shared" si="66"/>
        <v>1.2858578200830439</v>
      </c>
      <c r="S74">
        <f t="shared" si="67"/>
        <v>0.99537521826806263</v>
      </c>
      <c r="T74">
        <f t="shared" si="68"/>
        <v>-9.6211755025058313E-2</v>
      </c>
      <c r="U74">
        <f t="shared" si="69"/>
        <v>0.995253250302918</v>
      </c>
      <c r="V74">
        <f t="shared" si="70"/>
        <v>-9.7473173026062565E-2</v>
      </c>
      <c r="X74">
        <f t="shared" ref="X74:X137" si="87">20*LOG(C74*J74*O74*Q74*F74*M74*S74*U74)</f>
        <v>6.2277566608443715</v>
      </c>
      <c r="Y74">
        <f t="shared" si="71"/>
        <v>-126.65923698118789</v>
      </c>
      <c r="Z74">
        <f t="shared" ref="Z74:Z137" si="88">Y74+180</f>
        <v>53.340763018812112</v>
      </c>
      <c r="AC74">
        <v>1</v>
      </c>
      <c r="AD74">
        <f t="shared" si="72"/>
        <v>3.9276191310300002</v>
      </c>
      <c r="AE74">
        <f t="shared" si="73"/>
        <v>-5.922710109140753E-5</v>
      </c>
      <c r="AF74">
        <f t="shared" si="74"/>
        <v>6.0569906291999996E-4</v>
      </c>
      <c r="AG74">
        <f t="shared" ref="AG74:AG137" si="89">AC74*AE74/(AE74^2+AF74^2)+AD74*AF74/(AE74^2+AF74^2)</f>
        <v>6263.1165545656349</v>
      </c>
      <c r="AH74">
        <f t="shared" ref="AH74:AH137" si="90">AD74*AE74/(AE74^2+AF74^2)-AC74*AF74/(AE74^2+AF74^2)</f>
        <v>-2263.4115210866685</v>
      </c>
      <c r="AJ74">
        <f t="shared" si="75"/>
        <v>26400</v>
      </c>
      <c r="AK74">
        <f t="shared" si="76"/>
        <v>2547.8567718912004</v>
      </c>
      <c r="AL74">
        <v>1</v>
      </c>
      <c r="AM74">
        <f t="shared" si="77"/>
        <v>3.4140315646080008</v>
      </c>
      <c r="AN74">
        <f t="shared" ref="AN74:AN137" si="91">AJ74*AL74/(AL74^2+AM74^2)+AK74*AM74/(AL74^2+AM74^2)</f>
        <v>2773.3518348274815</v>
      </c>
      <c r="AO74">
        <f t="shared" ref="AO74:AO137" si="92">AK74*AL74/(AL74^2+AM74^2)-AJ74*AM74/(AL74^2+AM74^2)</f>
        <v>-6920.4539319733367</v>
      </c>
      <c r="AQ74">
        <f t="shared" si="78"/>
        <v>6.2460961898813245</v>
      </c>
      <c r="AR74">
        <f t="shared" si="79"/>
        <v>-249.84384759525295</v>
      </c>
      <c r="AT74">
        <f t="shared" si="52"/>
        <v>-526379.41467146226</v>
      </c>
      <c r="AU74">
        <f t="shared" si="53"/>
        <v>-1578938.6240081952</v>
      </c>
      <c r="AV74">
        <f t="shared" ref="AV74:AV137" si="93">ATAN2(AT74,AU74)</f>
        <v>-1.8925848087232418</v>
      </c>
      <c r="AW74">
        <f t="shared" ref="AW74:AW137" si="94">AG74-AH74*AO74/_Rfb2+AG74*AN74/_Rfb2+AN74-AO74*AR74+AQ74*AN74</f>
        <v>-1701607.5026095777</v>
      </c>
      <c r="AX74">
        <f t="shared" ref="AX74:AX137" si="95">AH74+AH74*AN74/_Rfb2+AG74*AO74/_Rfb2+AO74+AO74*AQ74+AN74*AR74</f>
        <v>-776327.60833935183</v>
      </c>
      <c r="AY74">
        <f t="shared" si="50"/>
        <v>-2.7135683858095234</v>
      </c>
      <c r="BA74">
        <f t="shared" si="80"/>
        <v>0.88987725480669533</v>
      </c>
      <c r="BB74">
        <f t="shared" ref="BB74:BB137" si="96">20*LOG(BA74)</f>
        <v>-1.0133978724152661</v>
      </c>
      <c r="BC74">
        <f t="shared" ref="BC74:BC137" si="97">AV74-AY74</f>
        <v>0.82098357708628167</v>
      </c>
      <c r="BD74">
        <f t="shared" si="81"/>
        <v>-132.961105929653</v>
      </c>
      <c r="BF74">
        <f t="shared" si="82"/>
        <v>6.1949664788325931</v>
      </c>
      <c r="BG74">
        <f t="shared" si="83"/>
        <v>-127.91282361645085</v>
      </c>
      <c r="BH74">
        <f t="shared" ref="BH74:BH137" si="98">IF(BG74&gt;180,BG74-180,BG74+180)</f>
        <v>52.087176383549149</v>
      </c>
      <c r="BI74">
        <f t="shared" ref="BI74:BI137" si="99">IF(BH74&gt;180,BH74-360,BH74)</f>
        <v>52.087176383549149</v>
      </c>
      <c r="BJ74">
        <f t="shared" si="84"/>
        <v>0</v>
      </c>
      <c r="BK74">
        <f t="shared" ref="BK74:BK137" si="100">IF(BJ74&gt;0,BI74,0)</f>
        <v>0</v>
      </c>
      <c r="BM74">
        <f t="shared" ref="BM74:BM137" si="101">20*LOG(J74*F74*C74)</f>
        <v>7.2083643512478588</v>
      </c>
      <c r="BN74">
        <f t="shared" si="85"/>
        <v>-174.95171768679785</v>
      </c>
      <c r="BQ74" s="56">
        <f t="shared" ref="BQ74:BQ137" si="102">20*LOG(BA74*7)</f>
        <v>15.888562927869872</v>
      </c>
      <c r="BR74" s="59"/>
      <c r="BS74" s="59"/>
      <c r="BT74" s="59">
        <v>436.51600000000002</v>
      </c>
      <c r="BU74" s="59">
        <v>22.074100000000001</v>
      </c>
      <c r="BV74" s="59">
        <v>-264.9151</v>
      </c>
      <c r="BW74" s="61"/>
      <c r="BY74" s="59"/>
      <c r="BZ74" s="59"/>
      <c r="CA74" s="59"/>
      <c r="CC74" s="59"/>
    </row>
    <row r="75" spans="1:81" x14ac:dyDescent="0.2">
      <c r="A75">
        <f t="shared" si="54"/>
        <v>20500</v>
      </c>
      <c r="B75">
        <f t="shared" si="86"/>
        <v>20.5</v>
      </c>
      <c r="C75">
        <f t="shared" si="55"/>
        <v>1.0000031867567392</v>
      </c>
      <c r="D75">
        <f t="shared" si="56"/>
        <v>2.5245784900622256E-3</v>
      </c>
      <c r="F75">
        <f t="shared" si="57"/>
        <v>0.14446936693407858</v>
      </c>
      <c r="G75">
        <f t="shared" si="58"/>
        <v>8.2956222271372032E-2</v>
      </c>
      <c r="H75">
        <f t="shared" si="59"/>
        <v>-3.058636427728628</v>
      </c>
      <c r="J75">
        <f t="shared" si="60"/>
        <v>15</v>
      </c>
      <c r="M75">
        <f t="shared" si="61"/>
        <v>6.1012006235473502E-2</v>
      </c>
      <c r="N75">
        <f t="shared" si="62"/>
        <v>-1.5707963250000001</v>
      </c>
      <c r="O75">
        <f t="shared" si="63"/>
        <v>4.1481493476463118</v>
      </c>
      <c r="P75">
        <f t="shared" si="64"/>
        <v>1.3273267106130933</v>
      </c>
      <c r="Q75">
        <f t="shared" si="65"/>
        <v>3.6394610669094023</v>
      </c>
      <c r="R75">
        <f t="shared" si="66"/>
        <v>1.2924500453699417</v>
      </c>
      <c r="S75">
        <f t="shared" si="67"/>
        <v>0.99514279182123877</v>
      </c>
      <c r="T75">
        <f t="shared" si="68"/>
        <v>-9.8601677047822675E-2</v>
      </c>
      <c r="U75">
        <f t="shared" si="69"/>
        <v>0.9950147401531535</v>
      </c>
      <c r="V75">
        <f t="shared" si="70"/>
        <v>-9.9894018822039563E-2</v>
      </c>
      <c r="X75">
        <f t="shared" si="87"/>
        <v>5.9178019347382707</v>
      </c>
      <c r="Y75">
        <f t="shared" si="71"/>
        <v>-126.37312496340694</v>
      </c>
      <c r="Z75">
        <f t="shared" si="88"/>
        <v>53.626875036593063</v>
      </c>
      <c r="AC75">
        <v>1</v>
      </c>
      <c r="AD75">
        <f t="shared" si="72"/>
        <v>4.0258096093057505</v>
      </c>
      <c r="AE75">
        <f t="shared" si="73"/>
        <v>-6.2225473084160044E-5</v>
      </c>
      <c r="AF75">
        <f t="shared" si="74"/>
        <v>6.2084153949299998E-4</v>
      </c>
      <c r="AG75">
        <f t="shared" si="89"/>
        <v>6260.1150313411081</v>
      </c>
      <c r="AH75">
        <f t="shared" si="90"/>
        <v>-2238.1534272355643</v>
      </c>
      <c r="AJ75">
        <f t="shared" si="75"/>
        <v>26400</v>
      </c>
      <c r="AK75">
        <f t="shared" si="76"/>
        <v>2611.55319118848</v>
      </c>
      <c r="AL75">
        <v>1</v>
      </c>
      <c r="AM75">
        <f t="shared" si="77"/>
        <v>3.4993823537232003</v>
      </c>
      <c r="AN75">
        <f t="shared" si="91"/>
        <v>2683.0507444245295</v>
      </c>
      <c r="AO75">
        <f t="shared" si="92"/>
        <v>-6777.4672379946142</v>
      </c>
      <c r="AQ75">
        <f t="shared" si="78"/>
        <v>5.9453032104637336</v>
      </c>
      <c r="AR75">
        <f t="shared" si="79"/>
        <v>-243.75743162901307</v>
      </c>
      <c r="AT75">
        <f t="shared" si="52"/>
        <v>-508348.24902090983</v>
      </c>
      <c r="AU75">
        <f t="shared" si="53"/>
        <v>-1539256.0624983411</v>
      </c>
      <c r="AV75">
        <f t="shared" si="93"/>
        <v>-1.889774552626021</v>
      </c>
      <c r="AW75">
        <f t="shared" si="94"/>
        <v>-1626146.2941727128</v>
      </c>
      <c r="AX75">
        <f t="shared" si="95"/>
        <v>-733593.77912912262</v>
      </c>
      <c r="AY75">
        <f t="shared" ref="AY75:AY138" si="103">ATAN2(AW75,AX75)</f>
        <v>-2.7178043204997757</v>
      </c>
      <c r="BA75">
        <f t="shared" si="80"/>
        <v>0.90866779863343194</v>
      </c>
      <c r="BB75">
        <f t="shared" si="96"/>
        <v>-0.83189724402513587</v>
      </c>
      <c r="BC75">
        <f t="shared" si="97"/>
        <v>0.82802976787375471</v>
      </c>
      <c r="BD75">
        <f t="shared" si="81"/>
        <v>-132.55738893542554</v>
      </c>
      <c r="BF75">
        <f t="shared" si="82"/>
        <v>5.8854710110522195</v>
      </c>
      <c r="BG75">
        <f t="shared" si="83"/>
        <v>-127.65969981680023</v>
      </c>
      <c r="BH75">
        <f t="shared" si="98"/>
        <v>52.340300183199773</v>
      </c>
      <c r="BI75">
        <f t="shared" si="99"/>
        <v>52.340300183199773</v>
      </c>
      <c r="BJ75">
        <f t="shared" si="84"/>
        <v>0</v>
      </c>
      <c r="BK75">
        <f t="shared" si="100"/>
        <v>0</v>
      </c>
      <c r="BM75">
        <f t="shared" si="101"/>
        <v>6.7173682550773552</v>
      </c>
      <c r="BN75">
        <f t="shared" si="85"/>
        <v>-175.10231088137471</v>
      </c>
      <c r="BQ75" s="56">
        <f t="shared" si="102"/>
        <v>16.070063556260003</v>
      </c>
      <c r="BR75" s="59"/>
      <c r="BS75" s="59"/>
      <c r="BT75" s="59">
        <v>446.68400000000003</v>
      </c>
      <c r="BU75" s="59">
        <v>21.761099999999999</v>
      </c>
      <c r="BV75" s="59">
        <v>-265.3082</v>
      </c>
      <c r="BW75" s="61"/>
      <c r="BY75" s="59"/>
      <c r="BZ75" s="59"/>
      <c r="CA75" s="59"/>
      <c r="CC75" s="59"/>
    </row>
    <row r="76" spans="1:81" x14ac:dyDescent="0.2">
      <c r="A76">
        <f t="shared" si="54"/>
        <v>21000</v>
      </c>
      <c r="B76">
        <f t="shared" si="86"/>
        <v>21</v>
      </c>
      <c r="C76">
        <f t="shared" si="55"/>
        <v>1.0000033441037748</v>
      </c>
      <c r="D76">
        <f t="shared" si="56"/>
        <v>2.5861533039039587E-3</v>
      </c>
      <c r="F76">
        <f t="shared" si="57"/>
        <v>0.13676668367068603</v>
      </c>
      <c r="G76">
        <f t="shared" si="58"/>
        <v>8.0443176439852257E-2</v>
      </c>
      <c r="H76">
        <f t="shared" si="59"/>
        <v>-3.0611494735601479</v>
      </c>
      <c r="J76">
        <f t="shared" si="60"/>
        <v>15</v>
      </c>
      <c r="M76">
        <f t="shared" si="61"/>
        <v>5.9559339420343173E-2</v>
      </c>
      <c r="N76">
        <f t="shared" si="62"/>
        <v>-1.5707963250000001</v>
      </c>
      <c r="O76">
        <f t="shared" si="63"/>
        <v>4.2435099531369342</v>
      </c>
      <c r="P76">
        <f t="shared" si="64"/>
        <v>1.3329048841167581</v>
      </c>
      <c r="Q76">
        <f t="shared" si="65"/>
        <v>3.7216006912838022</v>
      </c>
      <c r="R76">
        <f t="shared" si="66"/>
        <v>1.2987515398967833</v>
      </c>
      <c r="S76">
        <f t="shared" si="67"/>
        <v>0.99490479526847542</v>
      </c>
      <c r="T76">
        <f t="shared" si="68"/>
        <v>-0.1009904695704698</v>
      </c>
      <c r="U76">
        <f t="shared" si="69"/>
        <v>0.9947705186553526</v>
      </c>
      <c r="V76">
        <f t="shared" si="70"/>
        <v>-0.10231369042324703</v>
      </c>
      <c r="X76">
        <f t="shared" si="87"/>
        <v>5.6196465755029958</v>
      </c>
      <c r="Y76">
        <f t="shared" si="71"/>
        <v>-126.1084337660885</v>
      </c>
      <c r="Z76">
        <f t="shared" si="88"/>
        <v>53.891566233911504</v>
      </c>
      <c r="AC76">
        <v>1</v>
      </c>
      <c r="AD76">
        <f t="shared" si="72"/>
        <v>4.1240000875814999</v>
      </c>
      <c r="AE76">
        <f t="shared" si="73"/>
        <v>-6.5297878953276815E-5</v>
      </c>
      <c r="AF76">
        <f t="shared" si="74"/>
        <v>6.359840160659999E-4</v>
      </c>
      <c r="AG76">
        <f t="shared" si="89"/>
        <v>6257.0423792833553</v>
      </c>
      <c r="AH76">
        <f t="shared" si="90"/>
        <v>-2214.7908757219329</v>
      </c>
      <c r="AJ76">
        <f t="shared" si="75"/>
        <v>26400</v>
      </c>
      <c r="AK76">
        <f t="shared" si="76"/>
        <v>2675.2496104857601</v>
      </c>
      <c r="AL76">
        <v>1</v>
      </c>
      <c r="AM76">
        <f t="shared" si="77"/>
        <v>3.5847331428384006</v>
      </c>
      <c r="AN76">
        <f t="shared" si="91"/>
        <v>2598.5015146002283</v>
      </c>
      <c r="AO76">
        <f t="shared" si="92"/>
        <v>-6639.68489061746</v>
      </c>
      <c r="AQ76">
        <f t="shared" si="78"/>
        <v>5.6657223796033991</v>
      </c>
      <c r="AR76">
        <f t="shared" si="79"/>
        <v>-237.96033994334277</v>
      </c>
      <c r="AT76">
        <f t="shared" si="52"/>
        <v>-491581.72465177241</v>
      </c>
      <c r="AU76">
        <f t="shared" si="53"/>
        <v>-1501476.3218448889</v>
      </c>
      <c r="AV76">
        <f t="shared" si="93"/>
        <v>-1.8871964337112122</v>
      </c>
      <c r="AW76">
        <f t="shared" si="94"/>
        <v>-1555432.8537431217</v>
      </c>
      <c r="AX76">
        <f t="shared" si="95"/>
        <v>-694375.84529641608</v>
      </c>
      <c r="AY76">
        <f t="shared" si="103"/>
        <v>-2.7217201057279019</v>
      </c>
      <c r="BA76">
        <f t="shared" si="80"/>
        <v>0.9275046685872006</v>
      </c>
      <c r="BB76">
        <f t="shared" si="96"/>
        <v>-0.65367791379349605</v>
      </c>
      <c r="BC76">
        <f t="shared" si="97"/>
        <v>0.83452367201668975</v>
      </c>
      <c r="BD76">
        <f t="shared" si="81"/>
        <v>-132.18531563504769</v>
      </c>
      <c r="BF76">
        <f t="shared" si="82"/>
        <v>5.5877826386380338</v>
      </c>
      <c r="BG76">
        <f t="shared" si="83"/>
        <v>-127.42808545949448</v>
      </c>
      <c r="BH76">
        <f t="shared" si="98"/>
        <v>52.571914540505517</v>
      </c>
      <c r="BI76">
        <f t="shared" si="99"/>
        <v>52.571914540505517</v>
      </c>
      <c r="BJ76">
        <f t="shared" si="84"/>
        <v>0</v>
      </c>
      <c r="BK76">
        <f t="shared" si="100"/>
        <v>0</v>
      </c>
      <c r="BM76">
        <f t="shared" si="101"/>
        <v>6.241460552431529</v>
      </c>
      <c r="BN76">
        <f t="shared" si="85"/>
        <v>-175.24276982444684</v>
      </c>
      <c r="BQ76" s="56">
        <f t="shared" si="102"/>
        <v>16.248282886491641</v>
      </c>
      <c r="BR76" s="59"/>
      <c r="BS76" s="59"/>
      <c r="BT76" s="59">
        <v>457.08800000000002</v>
      </c>
      <c r="BU76" s="59">
        <v>21.6126</v>
      </c>
      <c r="BV76" s="59">
        <v>-265.65139999999997</v>
      </c>
      <c r="BW76" s="61"/>
      <c r="BY76" s="59"/>
      <c r="BZ76" s="59"/>
      <c r="CA76" s="59"/>
      <c r="CC76" s="59"/>
    </row>
    <row r="77" spans="1:81" x14ac:dyDescent="0.2">
      <c r="A77">
        <f t="shared" si="54"/>
        <v>21500</v>
      </c>
      <c r="B77">
        <f t="shared" si="86"/>
        <v>21.5</v>
      </c>
      <c r="C77">
        <f t="shared" si="55"/>
        <v>1.0000035052422798</v>
      </c>
      <c r="D77">
        <f t="shared" si="56"/>
        <v>2.6477280981350732E-3</v>
      </c>
      <c r="F77">
        <f t="shared" si="57"/>
        <v>0.12968533324738621</v>
      </c>
      <c r="G77">
        <f t="shared" si="58"/>
        <v>7.808936678758438E-2</v>
      </c>
      <c r="H77">
        <f t="shared" si="59"/>
        <v>-3.0635032832124161</v>
      </c>
      <c r="J77">
        <f t="shared" si="60"/>
        <v>15</v>
      </c>
      <c r="M77">
        <f t="shared" si="61"/>
        <v>5.8174238503591012E-2</v>
      </c>
      <c r="N77">
        <f t="shared" si="62"/>
        <v>-1.5707963250000001</v>
      </c>
      <c r="O77">
        <f t="shared" si="63"/>
        <v>4.3389967935473246</v>
      </c>
      <c r="P77">
        <f t="shared" si="64"/>
        <v>1.3382377035580093</v>
      </c>
      <c r="Q77">
        <f t="shared" si="65"/>
        <v>3.8038817105141423</v>
      </c>
      <c r="R77">
        <f t="shared" si="66"/>
        <v>1.3047806524983967</v>
      </c>
      <c r="S77">
        <f t="shared" si="67"/>
        <v>0.99466124075068341</v>
      </c>
      <c r="T77">
        <f t="shared" si="68"/>
        <v>-0.10337810615068077</v>
      </c>
      <c r="U77">
        <f t="shared" si="69"/>
        <v>0.99452059858986341</v>
      </c>
      <c r="V77">
        <f t="shared" si="70"/>
        <v>-0.10473216037126171</v>
      </c>
      <c r="X77">
        <f t="shared" si="87"/>
        <v>5.3323932183336265</v>
      </c>
      <c r="Y77">
        <f t="shared" si="71"/>
        <v>-125.86414801561465</v>
      </c>
      <c r="Z77">
        <f t="shared" si="88"/>
        <v>54.135851984385354</v>
      </c>
      <c r="AC77">
        <v>1</v>
      </c>
      <c r="AD77">
        <f t="shared" si="72"/>
        <v>4.2221905658572494</v>
      </c>
      <c r="AE77">
        <f t="shared" si="73"/>
        <v>-6.8444318698757838E-5</v>
      </c>
      <c r="AF77">
        <f t="shared" si="74"/>
        <v>6.5112649263900004E-4</v>
      </c>
      <c r="AG77">
        <f t="shared" si="89"/>
        <v>6253.8988120443373</v>
      </c>
      <c r="AH77">
        <f t="shared" si="90"/>
        <v>-2193.1895868858264</v>
      </c>
      <c r="AJ77">
        <f t="shared" si="75"/>
        <v>26400</v>
      </c>
      <c r="AK77">
        <f t="shared" si="76"/>
        <v>2738.9460297830401</v>
      </c>
      <c r="AL77">
        <v>1</v>
      </c>
      <c r="AM77">
        <f t="shared" si="77"/>
        <v>3.6700839319536005</v>
      </c>
      <c r="AN77">
        <f t="shared" si="91"/>
        <v>2519.2384903637844</v>
      </c>
      <c r="AO77">
        <f t="shared" si="92"/>
        <v>-6506.8706744601313</v>
      </c>
      <c r="AQ77">
        <f t="shared" si="78"/>
        <v>5.4054054054054053</v>
      </c>
      <c r="AR77">
        <f t="shared" si="79"/>
        <v>-232.43243243243242</v>
      </c>
      <c r="AT77">
        <f t="shared" si="52"/>
        <v>-475963.5320218713</v>
      </c>
      <c r="AU77">
        <f t="shared" si="53"/>
        <v>-1465463.9919177964</v>
      </c>
      <c r="AV77">
        <f t="shared" si="93"/>
        <v>-1.8848354875925826</v>
      </c>
      <c r="AW77">
        <f t="shared" si="94"/>
        <v>-1489089.4722349895</v>
      </c>
      <c r="AX77">
        <f t="shared" si="95"/>
        <v>-658311.61337318516</v>
      </c>
      <c r="AY77">
        <f t="shared" si="103"/>
        <v>-2.7253360961411626</v>
      </c>
      <c r="BA77">
        <f t="shared" si="80"/>
        <v>0.9463821566080125</v>
      </c>
      <c r="BB77">
        <f t="shared" si="96"/>
        <v>-0.47866913260108201</v>
      </c>
      <c r="BC77">
        <f t="shared" si="97"/>
        <v>0.84050060854858</v>
      </c>
      <c r="BD77">
        <f t="shared" si="81"/>
        <v>-131.84286239696149</v>
      </c>
      <c r="BF77">
        <f t="shared" si="82"/>
        <v>5.3010037418236458</v>
      </c>
      <c r="BG77">
        <f t="shared" si="83"/>
        <v>-127.21696760457665</v>
      </c>
      <c r="BH77">
        <f t="shared" si="98"/>
        <v>52.783032395423348</v>
      </c>
      <c r="BI77">
        <f t="shared" si="99"/>
        <v>52.783032395423348</v>
      </c>
      <c r="BJ77">
        <f t="shared" si="84"/>
        <v>0</v>
      </c>
      <c r="BK77">
        <f t="shared" si="100"/>
        <v>0</v>
      </c>
      <c r="BM77">
        <f t="shared" si="101"/>
        <v>5.7796728744247261</v>
      </c>
      <c r="BN77">
        <f t="shared" si="85"/>
        <v>-175.37410520761517</v>
      </c>
      <c r="BQ77" s="56">
        <f t="shared" si="102"/>
        <v>16.423291667684055</v>
      </c>
      <c r="BR77" s="58"/>
      <c r="BS77" s="58"/>
      <c r="BT77" s="58">
        <v>467.73500000000001</v>
      </c>
      <c r="BU77" s="58">
        <v>21.3672</v>
      </c>
      <c r="BV77" s="58">
        <v>-265.05009999999999</v>
      </c>
      <c r="BW77" s="61"/>
      <c r="BY77" s="58"/>
      <c r="BZ77" s="58"/>
      <c r="CA77" s="58"/>
      <c r="CC77" s="58"/>
    </row>
    <row r="78" spans="1:81" x14ac:dyDescent="0.2">
      <c r="A78">
        <f t="shared" si="54"/>
        <v>22000</v>
      </c>
      <c r="B78">
        <f t="shared" si="86"/>
        <v>22</v>
      </c>
      <c r="C78">
        <f t="shared" si="55"/>
        <v>1.0000036701722519</v>
      </c>
      <c r="D78">
        <f t="shared" si="56"/>
        <v>2.7093028722886621E-3</v>
      </c>
      <c r="F78">
        <f t="shared" si="57"/>
        <v>0.12315830325574063</v>
      </c>
      <c r="G78">
        <f t="shared" si="58"/>
        <v>7.5879475213327927E-2</v>
      </c>
      <c r="H78">
        <f t="shared" si="59"/>
        <v>-3.0657131747866724</v>
      </c>
      <c r="J78">
        <f t="shared" si="60"/>
        <v>15</v>
      </c>
      <c r="M78">
        <f t="shared" si="61"/>
        <v>5.6852096719418488E-2</v>
      </c>
      <c r="N78">
        <f t="shared" si="62"/>
        <v>-1.5707963250000001</v>
      </c>
      <c r="O78">
        <f t="shared" si="63"/>
        <v>4.4346017145290233</v>
      </c>
      <c r="P78">
        <f t="shared" si="64"/>
        <v>1.3433407240295259</v>
      </c>
      <c r="Q78">
        <f t="shared" si="65"/>
        <v>3.8862951437338236</v>
      </c>
      <c r="R78">
        <f t="shared" si="66"/>
        <v>1.3105542588557466</v>
      </c>
      <c r="S78">
        <f t="shared" si="67"/>
        <v>0.99441214067620654</v>
      </c>
      <c r="T78">
        <f t="shared" si="68"/>
        <v>-0.10576456042443882</v>
      </c>
      <c r="U78">
        <f t="shared" si="69"/>
        <v>0.99426499301785698</v>
      </c>
      <c r="V78">
        <f t="shared" si="70"/>
        <v>-0.10714940129115266</v>
      </c>
      <c r="X78">
        <f t="shared" si="87"/>
        <v>5.0552400653852541</v>
      </c>
      <c r="Y78">
        <f t="shared" si="71"/>
        <v>-125.6392841490912</v>
      </c>
      <c r="Z78">
        <f t="shared" si="88"/>
        <v>54.360715850908804</v>
      </c>
      <c r="AC78">
        <v>1</v>
      </c>
      <c r="AD78">
        <f t="shared" si="72"/>
        <v>4.3203810441329997</v>
      </c>
      <c r="AE78">
        <f t="shared" si="73"/>
        <v>-7.1664792320603112E-5</v>
      </c>
      <c r="AF78">
        <f t="shared" si="74"/>
        <v>6.6626896921199996E-4</v>
      </c>
      <c r="AG78">
        <f t="shared" si="89"/>
        <v>6250.6845478792075</v>
      </c>
      <c r="AH78">
        <f t="shared" si="90"/>
        <v>-2173.2274455132883</v>
      </c>
      <c r="AJ78">
        <f t="shared" si="75"/>
        <v>26400</v>
      </c>
      <c r="AK78">
        <f t="shared" si="76"/>
        <v>2802.6424490803201</v>
      </c>
      <c r="AL78">
        <v>1</v>
      </c>
      <c r="AM78">
        <f t="shared" si="77"/>
        <v>3.7554347210688004</v>
      </c>
      <c r="AN78">
        <f t="shared" si="91"/>
        <v>2444.8408856889728</v>
      </c>
      <c r="AO78">
        <f t="shared" si="92"/>
        <v>-6378.797900524648</v>
      </c>
      <c r="AQ78">
        <f t="shared" si="78"/>
        <v>5.1626226122870422</v>
      </c>
      <c r="AR78">
        <f t="shared" si="79"/>
        <v>-227.15539494062983</v>
      </c>
      <c r="AT78">
        <f t="shared" si="52"/>
        <v>-461390.41329223273</v>
      </c>
      <c r="AU78">
        <f t="shared" si="53"/>
        <v>-1431096.2702746433</v>
      </c>
      <c r="AV78">
        <f t="shared" si="93"/>
        <v>-1.8826779700097789</v>
      </c>
      <c r="AW78">
        <f t="shared" si="94"/>
        <v>-1426773.9460170441</v>
      </c>
      <c r="AX78">
        <f t="shared" si="95"/>
        <v>-625082.80407188972</v>
      </c>
      <c r="AY78">
        <f t="shared" si="103"/>
        <v>-2.7286709908170339</v>
      </c>
      <c r="BA78">
        <f t="shared" si="80"/>
        <v>0.96529501438467791</v>
      </c>
      <c r="BB78">
        <f t="shared" si="96"/>
        <v>-0.30679873750139691</v>
      </c>
      <c r="BC78">
        <f t="shared" si="97"/>
        <v>0.84599302080725503</v>
      </c>
      <c r="BD78">
        <f t="shared" si="81"/>
        <v>-131.52817035483389</v>
      </c>
      <c r="BF78">
        <f t="shared" si="82"/>
        <v>5.0243322627527922</v>
      </c>
      <c r="BG78">
        <f t="shared" si="83"/>
        <v>-127.02536504829264</v>
      </c>
      <c r="BH78">
        <f t="shared" si="98"/>
        <v>52.974634951707358</v>
      </c>
      <c r="BI78">
        <f t="shared" si="99"/>
        <v>52.974634951707358</v>
      </c>
      <c r="BJ78">
        <f t="shared" si="84"/>
        <v>0</v>
      </c>
      <c r="BK78">
        <f t="shared" si="100"/>
        <v>0</v>
      </c>
      <c r="BM78">
        <f t="shared" si="101"/>
        <v>5.3311310002541905</v>
      </c>
      <c r="BN78">
        <f t="shared" si="85"/>
        <v>-175.49719469345874</v>
      </c>
      <c r="BQ78" s="56">
        <f t="shared" si="102"/>
        <v>16.595162062783739</v>
      </c>
      <c r="BR78" s="58"/>
      <c r="BS78" s="58"/>
      <c r="BT78" s="58">
        <v>478.63</v>
      </c>
      <c r="BU78" s="58">
        <v>21.195799999999998</v>
      </c>
      <c r="BV78" s="58">
        <v>-264.35129999999998</v>
      </c>
      <c r="BW78" s="61"/>
      <c r="BY78" s="58"/>
      <c r="BZ78" s="58"/>
      <c r="CA78" s="58"/>
      <c r="CC78" s="58"/>
    </row>
    <row r="79" spans="1:81" x14ac:dyDescent="0.2">
      <c r="A79">
        <f t="shared" si="54"/>
        <v>22500</v>
      </c>
      <c r="B79">
        <f t="shared" si="86"/>
        <v>22.5</v>
      </c>
      <c r="C79">
        <f t="shared" si="55"/>
        <v>1.0000038388936896</v>
      </c>
      <c r="D79">
        <f t="shared" si="56"/>
        <v>2.770877625897819E-3</v>
      </c>
      <c r="F79">
        <f t="shared" si="57"/>
        <v>0.11712759150583985</v>
      </c>
      <c r="G79">
        <f t="shared" si="58"/>
        <v>7.3800131469088967E-2</v>
      </c>
      <c r="H79">
        <f t="shared" si="59"/>
        <v>-3.0677925185309114</v>
      </c>
      <c r="J79">
        <f t="shared" si="60"/>
        <v>15</v>
      </c>
      <c r="M79">
        <f t="shared" si="61"/>
        <v>5.5588716792320296E-2</v>
      </c>
      <c r="N79">
        <f t="shared" si="62"/>
        <v>-1.5707963250000001</v>
      </c>
      <c r="O79">
        <f t="shared" si="63"/>
        <v>4.5303172403973644</v>
      </c>
      <c r="P79">
        <f t="shared" si="64"/>
        <v>1.3482282363918892</v>
      </c>
      <c r="Q79">
        <f t="shared" si="65"/>
        <v>3.9688327421597611</v>
      </c>
      <c r="R79">
        <f t="shared" si="66"/>
        <v>1.3160879024032335</v>
      </c>
      <c r="S79">
        <f t="shared" si="67"/>
        <v>0.99415750771909206</v>
      </c>
      <c r="T79">
        <f t="shared" si="68"/>
        <v>-0.1081498061076967</v>
      </c>
      <c r="U79">
        <f t="shared" si="69"/>
        <v>0.99400371527945852</v>
      </c>
      <c r="V79">
        <f t="shared" si="70"/>
        <v>-0.10956538589325383</v>
      </c>
      <c r="X79">
        <f t="shared" si="87"/>
        <v>4.7874680864645969</v>
      </c>
      <c r="Y79">
        <f t="shared" si="71"/>
        <v>-125.4328957765901</v>
      </c>
      <c r="Z79">
        <f t="shared" si="88"/>
        <v>54.567104223409899</v>
      </c>
      <c r="AC79">
        <v>1</v>
      </c>
      <c r="AD79">
        <f t="shared" si="72"/>
        <v>4.4185715224087501</v>
      </c>
      <c r="AE79">
        <f t="shared" si="73"/>
        <v>-7.4959299818812665E-5</v>
      </c>
      <c r="AF79">
        <f t="shared" si="74"/>
        <v>6.8141144578499999E-4</v>
      </c>
      <c r="AG79">
        <f t="shared" si="89"/>
        <v>6247.3998096089517</v>
      </c>
      <c r="AH79">
        <f t="shared" si="90"/>
        <v>-2154.7931495705329</v>
      </c>
      <c r="AJ79">
        <f t="shared" si="75"/>
        <v>26400</v>
      </c>
      <c r="AK79">
        <f t="shared" si="76"/>
        <v>2866.3388683776002</v>
      </c>
      <c r="AL79">
        <v>1</v>
      </c>
      <c r="AM79">
        <f t="shared" si="77"/>
        <v>3.8407855101840007</v>
      </c>
      <c r="AN79">
        <f t="shared" si="91"/>
        <v>2374.9278564814558</v>
      </c>
      <c r="AO79">
        <f t="shared" si="92"/>
        <v>-6255.2496305287241</v>
      </c>
      <c r="AQ79">
        <f t="shared" si="78"/>
        <v>4.9358341559723593</v>
      </c>
      <c r="AR79">
        <f t="shared" si="79"/>
        <v>-222.11253701875617</v>
      </c>
      <c r="AT79">
        <f t="shared" si="52"/>
        <v>-447770.44383546413</v>
      </c>
      <c r="AU79">
        <f t="shared" si="53"/>
        <v>-1398261.523109444</v>
      </c>
      <c r="AV79">
        <f t="shared" si="93"/>
        <v>-1.8807112377644386</v>
      </c>
      <c r="AW79">
        <f t="shared" si="94"/>
        <v>-1368175.8156832275</v>
      </c>
      <c r="AX79">
        <f t="shared" si="95"/>
        <v>-594408.9962668916</v>
      </c>
      <c r="AY79">
        <f t="shared" si="103"/>
        <v>-2.7317419944721997</v>
      </c>
      <c r="BA79">
        <f t="shared" si="80"/>
        <v>0.98423840241705751</v>
      </c>
      <c r="BB79">
        <f t="shared" si="96"/>
        <v>-0.13799387865305882</v>
      </c>
      <c r="BC79">
        <f t="shared" si="97"/>
        <v>0.85103075670776107</v>
      </c>
      <c r="BD79">
        <f t="shared" si="81"/>
        <v>-131.23952934910358</v>
      </c>
      <c r="BF79">
        <f t="shared" si="82"/>
        <v>4.7570489062465562</v>
      </c>
      <c r="BG79">
        <f t="shared" si="83"/>
        <v>-126.85233368988987</v>
      </c>
      <c r="BH79">
        <f t="shared" si="98"/>
        <v>53.147666310110125</v>
      </c>
      <c r="BI79">
        <f t="shared" si="99"/>
        <v>53.147666310110125</v>
      </c>
      <c r="BJ79">
        <f t="shared" si="84"/>
        <v>0</v>
      </c>
      <c r="BK79">
        <f t="shared" si="100"/>
        <v>0</v>
      </c>
      <c r="BM79">
        <f t="shared" si="101"/>
        <v>4.8950427848996156</v>
      </c>
      <c r="BN79">
        <f t="shared" si="85"/>
        <v>-175.61280434078634</v>
      </c>
      <c r="BQ79" s="56">
        <f t="shared" si="102"/>
        <v>16.763966921632079</v>
      </c>
      <c r="BR79" s="59"/>
      <c r="BS79" s="59"/>
      <c r="BT79" s="59">
        <v>489.779</v>
      </c>
      <c r="BU79" s="59">
        <v>20.944800000000001</v>
      </c>
      <c r="BV79" s="59">
        <v>-263.91079999999999</v>
      </c>
      <c r="BW79" s="61"/>
      <c r="BY79" s="59"/>
      <c r="BZ79" s="59"/>
      <c r="CA79" s="59"/>
      <c r="CC79" s="59"/>
    </row>
    <row r="80" spans="1:81" x14ac:dyDescent="0.2">
      <c r="A80">
        <f t="shared" si="54"/>
        <v>23000</v>
      </c>
      <c r="B80">
        <f t="shared" si="86"/>
        <v>23</v>
      </c>
      <c r="C80">
        <f t="shared" si="55"/>
        <v>1.0000040114065909</v>
      </c>
      <c r="D80">
        <f t="shared" si="56"/>
        <v>2.8324523584956399E-3</v>
      </c>
      <c r="F80">
        <f t="shared" si="57"/>
        <v>0.11154276292772586</v>
      </c>
      <c r="G80">
        <f t="shared" si="58"/>
        <v>7.183960960053741E-2</v>
      </c>
      <c r="H80">
        <f t="shared" si="59"/>
        <v>-3.0697530403994628</v>
      </c>
      <c r="J80">
        <f t="shared" si="60"/>
        <v>15</v>
      </c>
      <c r="M80">
        <f t="shared" si="61"/>
        <v>5.4380266427269855E-2</v>
      </c>
      <c r="N80">
        <f t="shared" si="62"/>
        <v>-1.5707963250000001</v>
      </c>
      <c r="O80">
        <f t="shared" si="63"/>
        <v>4.6261365058575015</v>
      </c>
      <c r="P80">
        <f t="shared" si="64"/>
        <v>1.352913390770049</v>
      </c>
      <c r="Q80">
        <f t="shared" si="65"/>
        <v>4.051486917253321</v>
      </c>
      <c r="R80">
        <f t="shared" si="66"/>
        <v>1.3213959198588876</v>
      </c>
      <c r="S80">
        <f t="shared" si="67"/>
        <v>0.99389735481732489</v>
      </c>
      <c r="T80">
        <f t="shared" si="68"/>
        <v>-0.11053381699803086</v>
      </c>
      <c r="U80">
        <f t="shared" si="69"/>
        <v>0.99373677899184265</v>
      </c>
      <c r="V80">
        <f t="shared" si="70"/>
        <v>-0.11198008697492187</v>
      </c>
      <c r="X80">
        <f t="shared" si="87"/>
        <v>4.5284302582392062</v>
      </c>
      <c r="Y80">
        <f t="shared" si="71"/>
        <v>-125.24407680585099</v>
      </c>
      <c r="Z80">
        <f t="shared" si="88"/>
        <v>54.755923194149005</v>
      </c>
      <c r="AC80">
        <v>1</v>
      </c>
      <c r="AD80">
        <f t="shared" si="72"/>
        <v>4.5167620006845004</v>
      </c>
      <c r="AE80">
        <f t="shared" si="73"/>
        <v>-7.832784119338647E-5</v>
      </c>
      <c r="AF80">
        <f t="shared" si="74"/>
        <v>6.9655392235800002E-4</v>
      </c>
      <c r="AG80">
        <f t="shared" si="89"/>
        <v>6244.0448245823991</v>
      </c>
      <c r="AH80">
        <f t="shared" si="90"/>
        <v>-2137.7850351963848</v>
      </c>
      <c r="AJ80">
        <f t="shared" si="75"/>
        <v>26400</v>
      </c>
      <c r="AK80">
        <f t="shared" si="76"/>
        <v>2930.0352876748802</v>
      </c>
      <c r="AL80">
        <v>1</v>
      </c>
      <c r="AM80">
        <f t="shared" si="77"/>
        <v>3.9261362992992006</v>
      </c>
      <c r="AN80">
        <f t="shared" si="91"/>
        <v>2309.1541700521384</v>
      </c>
      <c r="AO80">
        <f t="shared" si="92"/>
        <v>-6136.0187200449409</v>
      </c>
      <c r="AQ80">
        <f t="shared" si="78"/>
        <v>4.7236655644780345</v>
      </c>
      <c r="AR80">
        <f t="shared" si="79"/>
        <v>-217.28861596598961</v>
      </c>
      <c r="AT80">
        <f t="shared" si="52"/>
        <v>-435021.57200968964</v>
      </c>
      <c r="AU80">
        <f t="shared" si="53"/>
        <v>-1366858.0395181235</v>
      </c>
      <c r="AV80">
        <f t="shared" si="93"/>
        <v>-1.8789236429528735</v>
      </c>
      <c r="AW80">
        <f t="shared" si="94"/>
        <v>-1313013.0359708876</v>
      </c>
      <c r="AX80">
        <f t="shared" si="95"/>
        <v>-566042.49972454284</v>
      </c>
      <c r="AY80">
        <f t="shared" si="103"/>
        <v>-2.7345649606504292</v>
      </c>
      <c r="BA80">
        <f t="shared" si="80"/>
        <v>1.0032078457140448</v>
      </c>
      <c r="BB80">
        <f t="shared" si="96"/>
        <v>2.7818399098701315E-2</v>
      </c>
      <c r="BC80">
        <f t="shared" si="97"/>
        <v>0.85564131769755569</v>
      </c>
      <c r="BD80">
        <f t="shared" si="81"/>
        <v>-130.97536366289881</v>
      </c>
      <c r="BF80">
        <f t="shared" si="82"/>
        <v>4.4985063790895889</v>
      </c>
      <c r="BG80">
        <f t="shared" si="83"/>
        <v>-126.69696966021804</v>
      </c>
      <c r="BH80">
        <f t="shared" si="98"/>
        <v>53.303030339781955</v>
      </c>
      <c r="BI80">
        <f t="shared" si="99"/>
        <v>53.303030339781955</v>
      </c>
      <c r="BJ80">
        <f t="shared" si="84"/>
        <v>0</v>
      </c>
      <c r="BK80">
        <f t="shared" si="100"/>
        <v>0</v>
      </c>
      <c r="BM80">
        <f t="shared" si="101"/>
        <v>4.4706879799908865</v>
      </c>
      <c r="BN80">
        <f t="shared" si="85"/>
        <v>-175.72160599731924</v>
      </c>
      <c r="BQ80" s="56">
        <f t="shared" si="102"/>
        <v>16.929779199383837</v>
      </c>
      <c r="BR80" s="59"/>
      <c r="BS80" s="59"/>
      <c r="BT80" s="59">
        <v>501.18700000000001</v>
      </c>
      <c r="BU80" s="59">
        <v>20.7819</v>
      </c>
      <c r="BV80" s="59">
        <v>-264.7826</v>
      </c>
      <c r="BW80" s="61"/>
      <c r="BY80" s="59"/>
      <c r="BZ80" s="59"/>
      <c r="CA80" s="59"/>
      <c r="CC80" s="59"/>
    </row>
    <row r="81" spans="1:81" x14ac:dyDescent="0.2">
      <c r="A81">
        <f t="shared" si="54"/>
        <v>23500</v>
      </c>
      <c r="B81">
        <f t="shared" si="86"/>
        <v>23.5</v>
      </c>
      <c r="C81">
        <f t="shared" si="55"/>
        <v>1.0000041877109538</v>
      </c>
      <c r="D81">
        <f t="shared" si="56"/>
        <v>2.8940270696152215E-3</v>
      </c>
      <c r="F81">
        <f t="shared" si="57"/>
        <v>0.10635977313266817</v>
      </c>
      <c r="G81">
        <f t="shared" si="58"/>
        <v>6.9987579749855006E-2</v>
      </c>
      <c r="H81">
        <f t="shared" si="59"/>
        <v>-3.0716050702501452</v>
      </c>
      <c r="J81">
        <f t="shared" si="60"/>
        <v>15</v>
      </c>
      <c r="M81">
        <f t="shared" si="61"/>
        <v>5.32232394820088E-2</v>
      </c>
      <c r="N81">
        <f t="shared" si="62"/>
        <v>-1.5707963250000001</v>
      </c>
      <c r="O81">
        <f t="shared" si="63"/>
        <v>4.7220531957043184</v>
      </c>
      <c r="P81">
        <f t="shared" si="64"/>
        <v>1.3574083061375031</v>
      </c>
      <c r="Q81">
        <f t="shared" si="65"/>
        <v>4.1342506770290841</v>
      </c>
      <c r="R81">
        <f t="shared" si="66"/>
        <v>1.3264915532303618</v>
      </c>
      <c r="S81">
        <f t="shared" si="67"/>
        <v>0.99363169517102967</v>
      </c>
      <c r="T81">
        <f t="shared" si="68"/>
        <v>-0.11291656697628211</v>
      </c>
      <c r="U81">
        <f t="shared" si="69"/>
        <v>0.99346419804729424</v>
      </c>
      <c r="V81">
        <f t="shared" si="70"/>
        <v>-0.11439347742227934</v>
      </c>
      <c r="X81">
        <f t="shared" si="87"/>
        <v>4.277542468502272</v>
      </c>
      <c r="Y81">
        <f t="shared" si="71"/>
        <v>-125.07196296694309</v>
      </c>
      <c r="Z81">
        <f t="shared" si="88"/>
        <v>54.92803703305691</v>
      </c>
      <c r="AC81">
        <v>1</v>
      </c>
      <c r="AD81">
        <f t="shared" si="72"/>
        <v>4.6149524789602498</v>
      </c>
      <c r="AE81">
        <f t="shared" si="73"/>
        <v>-8.1770416444324525E-5</v>
      </c>
      <c r="AF81">
        <f t="shared" si="74"/>
        <v>7.1169639893099994E-4</v>
      </c>
      <c r="AG81">
        <f t="shared" si="89"/>
        <v>6240.6198246375061</v>
      </c>
      <c r="AH81">
        <f t="shared" si="90"/>
        <v>-2122.1100517016134</v>
      </c>
      <c r="AJ81">
        <f t="shared" si="75"/>
        <v>26400</v>
      </c>
      <c r="AK81">
        <f t="shared" si="76"/>
        <v>2993.7317069721603</v>
      </c>
      <c r="AL81">
        <v>1</v>
      </c>
      <c r="AM81">
        <f t="shared" si="77"/>
        <v>4.0114870884144</v>
      </c>
      <c r="AN81">
        <f t="shared" si="91"/>
        <v>2247.2063937866878</v>
      </c>
      <c r="AO81">
        <f t="shared" si="92"/>
        <v>-6020.9077267054245</v>
      </c>
      <c r="AQ81">
        <f t="shared" si="78"/>
        <v>4.5248868778280542</v>
      </c>
      <c r="AR81">
        <f t="shared" si="79"/>
        <v>-212.66968325791856</v>
      </c>
      <c r="AT81">
        <f t="shared" si="52"/>
        <v>-423070.37377981143</v>
      </c>
      <c r="AU81">
        <f t="shared" si="53"/>
        <v>-1336792.9493649972</v>
      </c>
      <c r="AV81">
        <f t="shared" si="93"/>
        <v>-1.8773044388505082</v>
      </c>
      <c r="AW81">
        <f t="shared" si="94"/>
        <v>-1261029.0257447138</v>
      </c>
      <c r="AX81">
        <f t="shared" si="95"/>
        <v>-539764.000749183</v>
      </c>
      <c r="AY81">
        <f t="shared" si="103"/>
        <v>-2.73715451913549</v>
      </c>
      <c r="BA81">
        <f t="shared" si="80"/>
        <v>1.0221991951407707</v>
      </c>
      <c r="BB81">
        <f t="shared" si="96"/>
        <v>0.19071069329104262</v>
      </c>
      <c r="BC81">
        <f t="shared" si="97"/>
        <v>0.85985008028498178</v>
      </c>
      <c r="BD81">
        <f t="shared" si="81"/>
        <v>-130.73421932939118</v>
      </c>
      <c r="BF81">
        <f t="shared" si="82"/>
        <v>4.2481202943733543</v>
      </c>
      <c r="BG81">
        <f t="shared" si="83"/>
        <v>-126.55841084973208</v>
      </c>
      <c r="BH81">
        <f t="shared" si="98"/>
        <v>53.441589150267916</v>
      </c>
      <c r="BI81">
        <f t="shared" si="99"/>
        <v>53.441589150267916</v>
      </c>
      <c r="BJ81">
        <f t="shared" si="84"/>
        <v>0</v>
      </c>
      <c r="BK81">
        <f t="shared" si="100"/>
        <v>0</v>
      </c>
      <c r="BM81">
        <f t="shared" si="101"/>
        <v>4.0574096010823117</v>
      </c>
      <c r="BN81">
        <f t="shared" si="85"/>
        <v>-175.82419152034089</v>
      </c>
      <c r="BQ81" s="56">
        <f t="shared" si="102"/>
        <v>17.09267149357618</v>
      </c>
      <c r="BR81" s="59"/>
      <c r="BS81" s="59"/>
      <c r="BT81" s="59">
        <v>512.86099999999999</v>
      </c>
      <c r="BU81" s="59">
        <v>20.634799999999998</v>
      </c>
      <c r="BV81" s="59">
        <v>-265.04300000000001</v>
      </c>
      <c r="BW81" s="61"/>
      <c r="BY81" s="59"/>
      <c r="BZ81" s="59"/>
      <c r="CA81" s="59"/>
      <c r="CC81" s="59"/>
    </row>
    <row r="82" spans="1:81" x14ac:dyDescent="0.2">
      <c r="A82">
        <f t="shared" si="54"/>
        <v>24000</v>
      </c>
      <c r="B82">
        <f t="shared" si="86"/>
        <v>24</v>
      </c>
      <c r="C82">
        <f t="shared" si="55"/>
        <v>1.0000043678067763</v>
      </c>
      <c r="D82">
        <f t="shared" si="56"/>
        <v>2.95560175878966E-3</v>
      </c>
      <c r="F82">
        <f t="shared" si="57"/>
        <v>0.10154000310786489</v>
      </c>
      <c r="G82">
        <f t="shared" si="58"/>
        <v>6.8234903859432705E-2</v>
      </c>
      <c r="H82">
        <f t="shared" si="59"/>
        <v>-3.0733577461405677</v>
      </c>
      <c r="J82">
        <f t="shared" si="60"/>
        <v>15</v>
      </c>
      <c r="M82">
        <f t="shared" si="61"/>
        <v>5.2114421992800281E-2</v>
      </c>
      <c r="N82">
        <f t="shared" si="62"/>
        <v>-1.5707963250000001</v>
      </c>
      <c r="O82">
        <f t="shared" si="63"/>
        <v>4.8180614914448023</v>
      </c>
      <c r="P82">
        <f t="shared" si="64"/>
        <v>1.3617241677431648</v>
      </c>
      <c r="Q82">
        <f t="shared" si="65"/>
        <v>4.2171175694734</v>
      </c>
      <c r="R82">
        <f t="shared" si="66"/>
        <v>1.3313870499100973</v>
      </c>
      <c r="S82">
        <f t="shared" si="67"/>
        <v>0.99336054224064263</v>
      </c>
      <c r="T82">
        <f t="shared" si="68"/>
        <v>-0.11529803000818226</v>
      </c>
      <c r="U82">
        <f t="shared" si="69"/>
        <v>0.99318598661123381</v>
      </c>
      <c r="V82">
        <f t="shared" si="70"/>
        <v>-0.11680553021194257</v>
      </c>
      <c r="X82">
        <f t="shared" si="87"/>
        <v>4.0342757889814358</v>
      </c>
      <c r="Y82">
        <f t="shared" si="71"/>
        <v>-124.91573220059428</v>
      </c>
      <c r="Z82">
        <f t="shared" si="88"/>
        <v>55.084267799405723</v>
      </c>
      <c r="AC82">
        <v>1</v>
      </c>
      <c r="AD82">
        <f t="shared" si="72"/>
        <v>4.7131429572359993</v>
      </c>
      <c r="AE82">
        <f t="shared" si="73"/>
        <v>-8.5287025571626859E-5</v>
      </c>
      <c r="AF82">
        <f t="shared" si="74"/>
        <v>7.2683887550399997E-4</v>
      </c>
      <c r="AG82">
        <f t="shared" si="89"/>
        <v>6237.1250460619895</v>
      </c>
      <c r="AH82">
        <f t="shared" si="90"/>
        <v>-2107.682864699073</v>
      </c>
      <c r="AJ82">
        <f t="shared" si="75"/>
        <v>26400</v>
      </c>
      <c r="AK82">
        <f t="shared" si="76"/>
        <v>3057.4281262694403</v>
      </c>
      <c r="AL82">
        <v>1</v>
      </c>
      <c r="AM82">
        <f t="shared" si="77"/>
        <v>4.0968378775296008</v>
      </c>
      <c r="AN82">
        <f t="shared" si="91"/>
        <v>2188.7995360857499</v>
      </c>
      <c r="AO82">
        <f t="shared" si="92"/>
        <v>-5909.7287194858782</v>
      </c>
      <c r="AQ82">
        <f t="shared" si="78"/>
        <v>4.3383947939262475</v>
      </c>
      <c r="AR82">
        <f t="shared" si="79"/>
        <v>-208.24295010845987</v>
      </c>
      <c r="AT82">
        <f t="shared" si="52"/>
        <v>-411850.9868090825</v>
      </c>
      <c r="AU82">
        <f t="shared" si="53"/>
        <v>-1307981.2801547702</v>
      </c>
      <c r="AV82">
        <f t="shared" si="93"/>
        <v>-1.8758436960223539</v>
      </c>
      <c r="AW82">
        <f t="shared" si="94"/>
        <v>-1211990.0527605743</v>
      </c>
      <c r="AX82">
        <f t="shared" si="95"/>
        <v>-515378.85316497285</v>
      </c>
      <c r="AY82">
        <f t="shared" si="103"/>
        <v>-2.7395241895302762</v>
      </c>
      <c r="BA82">
        <f t="shared" si="80"/>
        <v>1.0412085935927171</v>
      </c>
      <c r="BB82">
        <f t="shared" si="96"/>
        <v>0.35075487784298498</v>
      </c>
      <c r="BC82">
        <f t="shared" si="97"/>
        <v>0.86368049350792231</v>
      </c>
      <c r="BD82">
        <f t="shared" si="81"/>
        <v>-130.51475281767483</v>
      </c>
      <c r="BF82">
        <f t="shared" si="82"/>
        <v>4.005361444384695</v>
      </c>
      <c r="BG82">
        <f t="shared" si="83"/>
        <v>-126.43583729968748</v>
      </c>
      <c r="BH82">
        <f t="shared" si="98"/>
        <v>53.564162700312522</v>
      </c>
      <c r="BI82">
        <f t="shared" si="99"/>
        <v>53.564162700312522</v>
      </c>
      <c r="BJ82">
        <f t="shared" si="84"/>
        <v>0</v>
      </c>
      <c r="BK82">
        <f t="shared" si="100"/>
        <v>0</v>
      </c>
      <c r="BM82">
        <f t="shared" si="101"/>
        <v>3.6546065665417116</v>
      </c>
      <c r="BN82">
        <f t="shared" si="85"/>
        <v>-175.92108448201267</v>
      </c>
      <c r="BQ82" s="56">
        <f t="shared" si="102"/>
        <v>17.252715678128119</v>
      </c>
      <c r="BR82" s="59"/>
      <c r="BS82" s="59"/>
      <c r="BT82" s="59">
        <v>524.80700000000002</v>
      </c>
      <c r="BU82" s="59">
        <v>20.243600000000001</v>
      </c>
      <c r="BV82" s="59">
        <v>-263.95569999999998</v>
      </c>
      <c r="BW82" s="61"/>
      <c r="BY82" s="59"/>
      <c r="BZ82" s="59"/>
      <c r="CA82" s="59"/>
      <c r="CC82" s="59"/>
    </row>
    <row r="83" spans="1:81" x14ac:dyDescent="0.2">
      <c r="A83">
        <f t="shared" si="54"/>
        <v>24500</v>
      </c>
      <c r="B83">
        <f t="shared" si="86"/>
        <v>24.5</v>
      </c>
      <c r="C83">
        <f t="shared" si="55"/>
        <v>1.0000045516940563</v>
      </c>
      <c r="D83">
        <f t="shared" si="56"/>
        <v>3.017176425552054E-3</v>
      </c>
      <c r="F83">
        <f t="shared" si="57"/>
        <v>9.7049462316195878E-2</v>
      </c>
      <c r="G83">
        <f t="shared" si="58"/>
        <v>6.6573466451530533E-2</v>
      </c>
      <c r="H83">
        <f t="shared" si="59"/>
        <v>-3.0750191835484695</v>
      </c>
      <c r="J83">
        <f t="shared" si="60"/>
        <v>15</v>
      </c>
      <c r="M83">
        <f t="shared" si="61"/>
        <v>5.1050862360294151E-2</v>
      </c>
      <c r="N83">
        <f t="shared" si="62"/>
        <v>-1.5707963250000001</v>
      </c>
      <c r="O83">
        <f t="shared" si="63"/>
        <v>4.9141560239448348</v>
      </c>
      <c r="P83">
        <f t="shared" si="64"/>
        <v>1.3658713138936109</v>
      </c>
      <c r="Q83">
        <f t="shared" si="65"/>
        <v>4.3000816321800466</v>
      </c>
      <c r="R83">
        <f t="shared" si="66"/>
        <v>1.3360937522657088</v>
      </c>
      <c r="S83">
        <f t="shared" si="67"/>
        <v>0.99308390974504723</v>
      </c>
      <c r="T83">
        <f t="shared" si="68"/>
        <v>-0.11767818014596695</v>
      </c>
      <c r="U83">
        <f t="shared" si="69"/>
        <v>0.99290215912020729</v>
      </c>
      <c r="V83">
        <f t="shared" si="70"/>
        <v>-0.11921621841273433</v>
      </c>
      <c r="X83">
        <f t="shared" si="87"/>
        <v>3.798149879593077</v>
      </c>
      <c r="Y83">
        <f t="shared" si="71"/>
        <v>-124.77460424858511</v>
      </c>
      <c r="Z83">
        <f t="shared" si="88"/>
        <v>55.225395751414894</v>
      </c>
      <c r="AC83">
        <v>1</v>
      </c>
      <c r="AD83">
        <f t="shared" si="72"/>
        <v>4.8113334355117496</v>
      </c>
      <c r="AE83">
        <f t="shared" si="73"/>
        <v>-8.8877668575293418E-5</v>
      </c>
      <c r="AF83">
        <f t="shared" si="74"/>
        <v>7.41981352077E-4</v>
      </c>
      <c r="AG83">
        <f t="shared" si="89"/>
        <v>6233.5607295532855</v>
      </c>
      <c r="AH83">
        <f t="shared" si="90"/>
        <v>-2094.4250690601325</v>
      </c>
      <c r="AJ83">
        <f t="shared" si="75"/>
        <v>26400</v>
      </c>
      <c r="AK83">
        <f t="shared" si="76"/>
        <v>3121.1245455667204</v>
      </c>
      <c r="AL83">
        <v>1</v>
      </c>
      <c r="AM83">
        <f t="shared" si="77"/>
        <v>4.1821886666447998</v>
      </c>
      <c r="AN83">
        <f t="shared" si="91"/>
        <v>2133.6740816562042</v>
      </c>
      <c r="AO83">
        <f t="shared" si="92"/>
        <v>-5802.3030170496068</v>
      </c>
      <c r="AQ83">
        <f t="shared" si="78"/>
        <v>4.1631973355537051</v>
      </c>
      <c r="AR83">
        <f t="shared" si="79"/>
        <v>-203.99666944213155</v>
      </c>
      <c r="AT83">
        <f t="shared" si="52"/>
        <v>-401304.19506408495</v>
      </c>
      <c r="AU83">
        <f t="shared" si="53"/>
        <v>-1280345.1324611618</v>
      </c>
      <c r="AV83">
        <f t="shared" si="93"/>
        <v>-1.8745322274223783</v>
      </c>
      <c r="AW83">
        <f t="shared" si="94"/>
        <v>-1165682.9132168221</v>
      </c>
      <c r="AX83">
        <f t="shared" si="95"/>
        <v>-492713.90982580121</v>
      </c>
      <c r="AY83">
        <f t="shared" si="103"/>
        <v>-2.7416864826825447</v>
      </c>
      <c r="BA83">
        <f t="shared" si="80"/>
        <v>1.0602324463084913</v>
      </c>
      <c r="BB83">
        <f t="shared" si="96"/>
        <v>0.50802181627856202</v>
      </c>
      <c r="BC83">
        <f t="shared" si="97"/>
        <v>0.86715425526016632</v>
      </c>
      <c r="BD83">
        <f t="shared" si="81"/>
        <v>-130.31572093000983</v>
      </c>
      <c r="BF83">
        <f t="shared" si="82"/>
        <v>3.7697492049412364</v>
      </c>
      <c r="BG83">
        <f t="shared" si="83"/>
        <v>-126.32847079499473</v>
      </c>
      <c r="BH83">
        <f t="shared" si="98"/>
        <v>53.671529205005271</v>
      </c>
      <c r="BI83">
        <f t="shared" si="99"/>
        <v>53.671529205005271</v>
      </c>
      <c r="BJ83">
        <f t="shared" si="84"/>
        <v>0</v>
      </c>
      <c r="BK83">
        <f t="shared" si="100"/>
        <v>0</v>
      </c>
      <c r="BM83">
        <f t="shared" si="101"/>
        <v>3.2617273886626736</v>
      </c>
      <c r="BN83">
        <f t="shared" si="85"/>
        <v>-176.0127498649849</v>
      </c>
      <c r="BQ83" s="56">
        <f t="shared" si="102"/>
        <v>17.409982616563696</v>
      </c>
      <c r="BR83" s="59"/>
      <c r="BS83" s="59"/>
      <c r="BT83" s="59">
        <v>537.03200000000004</v>
      </c>
      <c r="BU83" s="59">
        <v>20.2926</v>
      </c>
      <c r="BV83" s="59">
        <v>-264.56819999999999</v>
      </c>
      <c r="BW83" s="61"/>
      <c r="BY83" s="59"/>
      <c r="BZ83" s="59"/>
      <c r="CA83" s="59"/>
      <c r="CC83" s="59"/>
    </row>
    <row r="84" spans="1:81" x14ac:dyDescent="0.2">
      <c r="A84">
        <f t="shared" si="54"/>
        <v>25000</v>
      </c>
      <c r="B84">
        <f t="shared" si="86"/>
        <v>25</v>
      </c>
      <c r="C84">
        <f t="shared" si="55"/>
        <v>1.0000047393727918</v>
      </c>
      <c r="D84">
        <f t="shared" si="56"/>
        <v>3.0787510694355032E-3</v>
      </c>
      <c r="F84">
        <f t="shared" si="57"/>
        <v>9.2858127050974376E-2</v>
      </c>
      <c r="G84">
        <f t="shared" si="58"/>
        <v>6.4996033632217801E-2</v>
      </c>
      <c r="H84">
        <f t="shared" si="59"/>
        <v>-3.0765966163677825</v>
      </c>
      <c r="J84">
        <f t="shared" si="60"/>
        <v>15</v>
      </c>
      <c r="M84">
        <f t="shared" si="61"/>
        <v>5.0029845113088264E-2</v>
      </c>
      <c r="N84">
        <f t="shared" si="62"/>
        <v>-1.5707963250000001</v>
      </c>
      <c r="O84">
        <f t="shared" si="63"/>
        <v>5.0103318313312686</v>
      </c>
      <c r="P84">
        <f t="shared" si="64"/>
        <v>1.3698593133970285</v>
      </c>
      <c r="Q84">
        <f t="shared" si="65"/>
        <v>4.3831373474337259</v>
      </c>
      <c r="R84">
        <f t="shared" si="66"/>
        <v>1.3406221779522167</v>
      </c>
      <c r="S84">
        <f t="shared" si="67"/>
        <v>0.99280181165968162</v>
      </c>
      <c r="T84">
        <f t="shared" si="68"/>
        <v>-0.12005699152997408</v>
      </c>
      <c r="U84">
        <f t="shared" si="69"/>
        <v>0.99261273027984509</v>
      </c>
      <c r="V84">
        <f t="shared" si="70"/>
        <v>-0.12162551518738092</v>
      </c>
      <c r="X84">
        <f t="shared" si="87"/>
        <v>3.5687273332828608</v>
      </c>
      <c r="Y84">
        <f t="shared" si="71"/>
        <v>-124.64783969365421</v>
      </c>
      <c r="Z84">
        <f t="shared" si="88"/>
        <v>55.352160306345795</v>
      </c>
      <c r="AC84">
        <v>1</v>
      </c>
      <c r="AD84">
        <f t="shared" si="72"/>
        <v>4.9095239137875</v>
      </c>
      <c r="AE84">
        <f t="shared" si="73"/>
        <v>-9.2542345455324268E-5</v>
      </c>
      <c r="AF84">
        <f t="shared" si="74"/>
        <v>7.5712382865000003E-4</v>
      </c>
      <c r="AG84">
        <f t="shared" si="89"/>
        <v>6229.927120177882</v>
      </c>
      <c r="AH84">
        <f t="shared" si="90"/>
        <v>-2082.264496321628</v>
      </c>
      <c r="AJ84">
        <f t="shared" si="75"/>
        <v>26400</v>
      </c>
      <c r="AK84">
        <f t="shared" si="76"/>
        <v>3184.820964864</v>
      </c>
      <c r="AL84">
        <v>1</v>
      </c>
      <c r="AM84">
        <f t="shared" si="77"/>
        <v>4.2675394557600006</v>
      </c>
      <c r="AN84">
        <f t="shared" si="91"/>
        <v>2081.5933710240975</v>
      </c>
      <c r="AO84">
        <f t="shared" si="92"/>
        <v>-5698.4608768298003</v>
      </c>
      <c r="AQ84">
        <f t="shared" si="78"/>
        <v>3.9984006397441023</v>
      </c>
      <c r="AR84">
        <f t="shared" si="79"/>
        <v>-199.92003198720511</v>
      </c>
      <c r="AT84">
        <f t="shared" si="52"/>
        <v>-391376.64012756303</v>
      </c>
      <c r="AU84">
        <f t="shared" si="53"/>
        <v>-1253812.9568381275</v>
      </c>
      <c r="AV84">
        <f t="shared" si="93"/>
        <v>-1.873361521406995</v>
      </c>
      <c r="AW84">
        <f t="shared" si="94"/>
        <v>-1121912.870873668</v>
      </c>
      <c r="AX84">
        <f t="shared" si="95"/>
        <v>-471614.80826567643</v>
      </c>
      <c r="AY84">
        <f t="shared" si="103"/>
        <v>-2.7436529914144119</v>
      </c>
      <c r="BA84">
        <f t="shared" si="80"/>
        <v>1.0792673947429865</v>
      </c>
      <c r="BB84">
        <f t="shared" si="96"/>
        <v>0.66258113970976384</v>
      </c>
      <c r="BC84">
        <f t="shared" si="97"/>
        <v>0.87029147000741691</v>
      </c>
      <c r="BD84">
        <f t="shared" si="81"/>
        <v>-130.13597176536078</v>
      </c>
      <c r="BF84">
        <f t="shared" si="82"/>
        <v>3.5408458803143761</v>
      </c>
      <c r="BG84">
        <f t="shared" si="83"/>
        <v>-126.23557390623745</v>
      </c>
      <c r="BH84">
        <f t="shared" si="98"/>
        <v>53.764426093762552</v>
      </c>
      <c r="BI84">
        <f t="shared" si="99"/>
        <v>53.764426093762552</v>
      </c>
      <c r="BJ84">
        <f t="shared" si="84"/>
        <v>0</v>
      </c>
      <c r="BK84">
        <f t="shared" si="100"/>
        <v>0</v>
      </c>
      <c r="BM84">
        <f t="shared" si="101"/>
        <v>2.8782647406046125</v>
      </c>
      <c r="BN84">
        <f t="shared" si="85"/>
        <v>-176.09960214087667</v>
      </c>
      <c r="BQ84" s="56">
        <f t="shared" si="102"/>
        <v>17.5645419399949</v>
      </c>
      <c r="BR84" s="59"/>
      <c r="BS84" s="59"/>
      <c r="BT84" s="59">
        <v>549.54100000000005</v>
      </c>
      <c r="BU84" s="59">
        <v>19.992000000000001</v>
      </c>
      <c r="BV84" s="59">
        <v>-264.47620000000001</v>
      </c>
      <c r="BW84" s="61"/>
      <c r="BY84" s="59"/>
      <c r="BZ84" s="59"/>
      <c r="CA84" s="59"/>
      <c r="CC84" s="59"/>
    </row>
    <row r="85" spans="1:81" x14ac:dyDescent="0.2">
      <c r="A85">
        <f t="shared" si="54"/>
        <v>25500</v>
      </c>
      <c r="B85">
        <f t="shared" si="86"/>
        <v>25.5</v>
      </c>
      <c r="C85">
        <f t="shared" si="55"/>
        <v>1.0000049308429806</v>
      </c>
      <c r="D85">
        <f t="shared" si="56"/>
        <v>3.1403256899731071E-3</v>
      </c>
      <c r="F85">
        <f t="shared" si="57"/>
        <v>8.8939388128592867E-2</v>
      </c>
      <c r="G85">
        <f t="shared" si="58"/>
        <v>6.3496134958071604E-2</v>
      </c>
      <c r="H85">
        <f t="shared" si="59"/>
        <v>-3.0780965150419286</v>
      </c>
      <c r="J85">
        <f t="shared" si="60"/>
        <v>15</v>
      </c>
      <c r="M85">
        <f t="shared" si="61"/>
        <v>4.9048867757929673E-2</v>
      </c>
      <c r="N85">
        <f t="shared" si="62"/>
        <v>-1.5707963250000001</v>
      </c>
      <c r="O85">
        <f t="shared" si="63"/>
        <v>5.106584321489013</v>
      </c>
      <c r="P85">
        <f t="shared" si="64"/>
        <v>1.3736970347990787</v>
      </c>
      <c r="Q85">
        <f t="shared" si="65"/>
        <v>4.4662796020770674</v>
      </c>
      <c r="R85">
        <f t="shared" si="66"/>
        <v>1.3449820920174289</v>
      </c>
      <c r="S85">
        <f t="shared" si="67"/>
        <v>0.99251426221461447</v>
      </c>
      <c r="T85">
        <f t="shared" si="68"/>
        <v>-0.12243443839022768</v>
      </c>
      <c r="U85">
        <f t="shared" si="69"/>
        <v>0.99231771506278521</v>
      </c>
      <c r="V85">
        <f t="shared" si="70"/>
        <v>-0.12403339379419322</v>
      </c>
      <c r="X85">
        <f t="shared" si="87"/>
        <v>3.3456088068488379</v>
      </c>
      <c r="Y85">
        <f t="shared" si="71"/>
        <v>-124.53473862996729</v>
      </c>
      <c r="Z85">
        <f t="shared" si="88"/>
        <v>55.465261370032707</v>
      </c>
      <c r="AC85">
        <v>1</v>
      </c>
      <c r="AD85">
        <f t="shared" si="72"/>
        <v>5.0077143920632503</v>
      </c>
      <c r="AE85">
        <f t="shared" si="73"/>
        <v>-9.6281056211719384E-5</v>
      </c>
      <c r="AF85">
        <f t="shared" si="74"/>
        <v>7.7226630522299984E-4</v>
      </c>
      <c r="AG85">
        <f t="shared" si="89"/>
        <v>6226.2244673300047</v>
      </c>
      <c r="AH85">
        <f t="shared" si="90"/>
        <v>-2071.1346035794222</v>
      </c>
      <c r="AJ85">
        <f t="shared" si="75"/>
        <v>26400</v>
      </c>
      <c r="AK85">
        <f t="shared" si="76"/>
        <v>3248.5173841612805</v>
      </c>
      <c r="AL85">
        <v>1</v>
      </c>
      <c r="AM85">
        <f t="shared" si="77"/>
        <v>4.3528902448752005</v>
      </c>
      <c r="AN85">
        <f t="shared" si="91"/>
        <v>2032.341280867121</v>
      </c>
      <c r="AO85">
        <f t="shared" si="92"/>
        <v>-5598.0411515823798</v>
      </c>
      <c r="AQ85">
        <f t="shared" si="78"/>
        <v>3.8431975403535743</v>
      </c>
      <c r="AR85">
        <f t="shared" si="79"/>
        <v>-196.0030745580323</v>
      </c>
      <c r="AT85">
        <f t="shared" si="52"/>
        <v>-382020.13956656621</v>
      </c>
      <c r="AU85">
        <f t="shared" si="53"/>
        <v>-1228318.9178993455</v>
      </c>
      <c r="AV85">
        <f t="shared" si="93"/>
        <v>-1.8723236817277031</v>
      </c>
      <c r="AW85">
        <f t="shared" si="94"/>
        <v>-1080501.8247853022</v>
      </c>
      <c r="AX85">
        <f t="shared" si="95"/>
        <v>-451943.6390535048</v>
      </c>
      <c r="AY85">
        <f t="shared" si="103"/>
        <v>-2.7454344718213015</v>
      </c>
      <c r="BA85">
        <f t="shared" si="80"/>
        <v>1.0983102935132125</v>
      </c>
      <c r="BB85">
        <f t="shared" si="96"/>
        <v>0.81450107774250546</v>
      </c>
      <c r="BC85">
        <f t="shared" si="97"/>
        <v>0.87311079009359838</v>
      </c>
      <c r="BD85">
        <f t="shared" si="81"/>
        <v>-129.97443662314154</v>
      </c>
      <c r="BF85">
        <f t="shared" si="82"/>
        <v>3.3182518341360865</v>
      </c>
      <c r="BG85">
        <f t="shared" si="83"/>
        <v>-126.15644866195632</v>
      </c>
      <c r="BH85">
        <f t="shared" si="98"/>
        <v>53.843551338043682</v>
      </c>
      <c r="BI85">
        <f t="shared" si="99"/>
        <v>53.843551338043682</v>
      </c>
      <c r="BJ85">
        <f t="shared" si="84"/>
        <v>0</v>
      </c>
      <c r="BK85">
        <f t="shared" si="100"/>
        <v>0</v>
      </c>
      <c r="BM85">
        <f t="shared" si="101"/>
        <v>2.5037507563935808</v>
      </c>
      <c r="BN85">
        <f t="shared" si="85"/>
        <v>-176.18201203881478</v>
      </c>
      <c r="BQ85" s="56">
        <f t="shared" si="102"/>
        <v>17.716461878027644</v>
      </c>
      <c r="BR85" s="59"/>
      <c r="BS85" s="59"/>
      <c r="BT85" s="59">
        <v>562.34100000000001</v>
      </c>
      <c r="BU85" s="59">
        <v>19.682300000000001</v>
      </c>
      <c r="BV85" s="59">
        <v>-264.60399999999998</v>
      </c>
      <c r="BW85" s="61"/>
      <c r="BY85" s="59"/>
      <c r="BZ85" s="59"/>
      <c r="CA85" s="59"/>
      <c r="CC85" s="59"/>
    </row>
    <row r="86" spans="1:81" x14ac:dyDescent="0.2">
      <c r="A86">
        <f t="shared" si="54"/>
        <v>26000</v>
      </c>
      <c r="B86">
        <f t="shared" si="86"/>
        <v>26</v>
      </c>
      <c r="C86">
        <f t="shared" si="55"/>
        <v>1.0000051261046203</v>
      </c>
      <c r="D86">
        <f t="shared" si="56"/>
        <v>3.2019002866979676E-3</v>
      </c>
      <c r="F86">
        <f t="shared" si="57"/>
        <v>8.5269587509900727E-2</v>
      </c>
      <c r="G86">
        <f t="shared" si="58"/>
        <v>6.2067963939131561E-2</v>
      </c>
      <c r="H86">
        <f t="shared" si="59"/>
        <v>-3.0795246860608687</v>
      </c>
      <c r="J86">
        <f t="shared" si="60"/>
        <v>15</v>
      </c>
      <c r="M86">
        <f t="shared" si="61"/>
        <v>4.8105620301046419E-2</v>
      </c>
      <c r="N86">
        <f t="shared" si="62"/>
        <v>-1.5707963250000001</v>
      </c>
      <c r="O86">
        <f t="shared" si="63"/>
        <v>5.2029092385848443</v>
      </c>
      <c r="P86">
        <f t="shared" si="64"/>
        <v>1.3773927083904045</v>
      </c>
      <c r="Q86">
        <f t="shared" si="65"/>
        <v>4.5495036515862015</v>
      </c>
      <c r="R86">
        <f t="shared" si="66"/>
        <v>1.3491825717372743</v>
      </c>
      <c r="S86">
        <f t="shared" si="67"/>
        <v>0.99222127589258824</v>
      </c>
      <c r="T86">
        <f t="shared" si="68"/>
        <v>-0.12481049504800716</v>
      </c>
      <c r="U86">
        <f t="shared" si="69"/>
        <v>0.99201712870656389</v>
      </c>
      <c r="V86">
        <f t="shared" si="70"/>
        <v>-0.1264398275887319</v>
      </c>
      <c r="X86">
        <f t="shared" si="87"/>
        <v>3.1284288117712764</v>
      </c>
      <c r="Y86">
        <f t="shared" si="71"/>
        <v>-124.43463909650463</v>
      </c>
      <c r="Z86">
        <f t="shared" si="88"/>
        <v>55.565360903495375</v>
      </c>
      <c r="AC86">
        <v>1</v>
      </c>
      <c r="AD86">
        <f t="shared" si="72"/>
        <v>5.1059048703389998</v>
      </c>
      <c r="AE86">
        <f t="shared" si="73"/>
        <v>-1.0009380084447874E-4</v>
      </c>
      <c r="AF86">
        <f t="shared" si="74"/>
        <v>7.8740878179600008E-4</v>
      </c>
      <c r="AG86">
        <f t="shared" si="89"/>
        <v>6222.4530246896757</v>
      </c>
      <c r="AH86">
        <f t="shared" si="90"/>
        <v>-2060.9739328991268</v>
      </c>
      <c r="AJ86">
        <f t="shared" si="75"/>
        <v>26400</v>
      </c>
      <c r="AK86">
        <f t="shared" si="76"/>
        <v>3312.2138034585605</v>
      </c>
      <c r="AL86">
        <v>1</v>
      </c>
      <c r="AM86">
        <f t="shared" si="77"/>
        <v>4.4382410339904004</v>
      </c>
      <c r="AN86">
        <f t="shared" si="91"/>
        <v>1985.720167567107</v>
      </c>
      <c r="AO86">
        <f t="shared" si="92"/>
        <v>-5500.8909262600673</v>
      </c>
      <c r="AQ86">
        <f t="shared" si="78"/>
        <v>3.6968576709796674</v>
      </c>
      <c r="AR86">
        <f t="shared" si="79"/>
        <v>-192.2365988909427</v>
      </c>
      <c r="AT86">
        <f t="shared" ref="AT86:AT149" si="104">-AR86*AH86+AG86*AQ86</f>
        <v>-373191.09606678342</v>
      </c>
      <c r="AU86">
        <f t="shared" ref="AU86:AU149" si="105">AQ86*AH86+AG86*AR86</f>
        <v>-1203802.3335185298</v>
      </c>
      <c r="AV86">
        <f t="shared" si="93"/>
        <v>-1.8714113736884133</v>
      </c>
      <c r="AW86">
        <f t="shared" si="94"/>
        <v>-1041286.6784730604</v>
      </c>
      <c r="AX86">
        <f t="shared" si="95"/>
        <v>-433576.93759311893</v>
      </c>
      <c r="AY86">
        <f t="shared" si="103"/>
        <v>-2.7470409162416884</v>
      </c>
      <c r="BA86">
        <f t="shared" si="80"/>
        <v>1.1173581900040201</v>
      </c>
      <c r="BB86">
        <f t="shared" si="96"/>
        <v>0.9638483326028513</v>
      </c>
      <c r="BC86">
        <f t="shared" si="97"/>
        <v>0.87562954255327519</v>
      </c>
      <c r="BD86">
        <f t="shared" si="81"/>
        <v>-129.83012273739897</v>
      </c>
      <c r="BF86">
        <f t="shared" si="82"/>
        <v>3.1016012803137558</v>
      </c>
      <c r="BG86">
        <f t="shared" si="83"/>
        <v>-126.09043498359381</v>
      </c>
      <c r="BH86">
        <f t="shared" si="98"/>
        <v>53.909565016406191</v>
      </c>
      <c r="BI86">
        <f t="shared" si="99"/>
        <v>53.909565016406191</v>
      </c>
      <c r="BJ86">
        <f t="shared" si="84"/>
        <v>0</v>
      </c>
      <c r="BK86">
        <f t="shared" si="100"/>
        <v>0</v>
      </c>
      <c r="BM86">
        <f t="shared" si="101"/>
        <v>2.1377529477109043</v>
      </c>
      <c r="BN86">
        <f t="shared" si="85"/>
        <v>-176.26031224619484</v>
      </c>
      <c r="BQ86" s="56">
        <f t="shared" si="102"/>
        <v>17.865809132887989</v>
      </c>
      <c r="BR86" s="59"/>
      <c r="BS86" s="59"/>
      <c r="BT86" s="59">
        <v>575.44000000000005</v>
      </c>
      <c r="BU86" s="59">
        <v>19.596</v>
      </c>
      <c r="BV86" s="59">
        <v>-264.9076</v>
      </c>
      <c r="BW86" s="61"/>
      <c r="BY86" s="59"/>
      <c r="BZ86" s="59"/>
      <c r="CA86" s="59"/>
      <c r="CC86" s="59"/>
    </row>
    <row r="87" spans="1:81" x14ac:dyDescent="0.2">
      <c r="A87">
        <f t="shared" si="54"/>
        <v>26500</v>
      </c>
      <c r="B87">
        <f t="shared" si="86"/>
        <v>26.5</v>
      </c>
      <c r="C87">
        <f t="shared" si="55"/>
        <v>1.0000053251577092</v>
      </c>
      <c r="D87">
        <f t="shared" si="56"/>
        <v>3.2634748591431869E-3</v>
      </c>
      <c r="F87">
        <f t="shared" si="57"/>
        <v>8.1827627668787095E-2</v>
      </c>
      <c r="G87">
        <f t="shared" si="58"/>
        <v>6.070629382311396E-2</v>
      </c>
      <c r="H87">
        <f t="shared" si="59"/>
        <v>-3.0808863561768862</v>
      </c>
      <c r="J87">
        <f t="shared" si="60"/>
        <v>15</v>
      </c>
      <c r="M87">
        <f t="shared" si="61"/>
        <v>4.719796708781912E-2</v>
      </c>
      <c r="N87">
        <f t="shared" si="62"/>
        <v>-1.5707963250000001</v>
      </c>
      <c r="O87">
        <f t="shared" si="63"/>
        <v>5.2993026331276543</v>
      </c>
      <c r="P87">
        <f t="shared" si="64"/>
        <v>1.3809539818366556</v>
      </c>
      <c r="Q87">
        <f t="shared" si="65"/>
        <v>4.6328050878563678</v>
      </c>
      <c r="R87">
        <f t="shared" si="66"/>
        <v>1.3532320650013157</v>
      </c>
      <c r="S87">
        <f t="shared" si="67"/>
        <v>0.99192286742703517</v>
      </c>
      <c r="T87">
        <f t="shared" si="68"/>
        <v>-0.1271851359174016</v>
      </c>
      <c r="U87">
        <f t="shared" si="69"/>
        <v>0.99171098671147551</v>
      </c>
      <c r="V87">
        <f t="shared" si="70"/>
        <v>-0.12884479002545615</v>
      </c>
      <c r="X87">
        <f t="shared" si="87"/>
        <v>2.9168520618280698</v>
      </c>
      <c r="Y87">
        <f t="shared" si="71"/>
        <v>-124.3469153698438</v>
      </c>
      <c r="Z87">
        <f t="shared" si="88"/>
        <v>55.653084630156201</v>
      </c>
      <c r="AC87">
        <v>1</v>
      </c>
      <c r="AD87">
        <f t="shared" si="72"/>
        <v>5.2040953486147501</v>
      </c>
      <c r="AE87">
        <f t="shared" si="73"/>
        <v>-1.0398057935360237E-4</v>
      </c>
      <c r="AF87">
        <f t="shared" si="74"/>
        <v>8.02551258369E-4</v>
      </c>
      <c r="AG87">
        <f t="shared" si="89"/>
        <v>6218.6130501801936</v>
      </c>
      <c r="AH87">
        <f t="shared" si="90"/>
        <v>-2051.7256319303187</v>
      </c>
      <c r="AJ87">
        <f t="shared" si="75"/>
        <v>26400</v>
      </c>
      <c r="AK87">
        <f t="shared" si="76"/>
        <v>3375.9102227558406</v>
      </c>
      <c r="AL87">
        <v>1</v>
      </c>
      <c r="AM87">
        <f t="shared" si="77"/>
        <v>4.5235918231056003</v>
      </c>
      <c r="AN87">
        <f t="shared" si="91"/>
        <v>1941.5490413852172</v>
      </c>
      <c r="AO87">
        <f t="shared" si="92"/>
        <v>-5406.8651450128446</v>
      </c>
      <c r="AQ87">
        <f t="shared" si="78"/>
        <v>3.5587188612099645</v>
      </c>
      <c r="AR87">
        <f t="shared" si="79"/>
        <v>-188.61209964412811</v>
      </c>
      <c r="AT87">
        <f t="shared" si="104"/>
        <v>-364849.98377981031</v>
      </c>
      <c r="AU87">
        <f t="shared" si="105"/>
        <v>-1180207.1789732403</v>
      </c>
      <c r="AV87">
        <f t="shared" si="93"/>
        <v>-1.8706177757569231</v>
      </c>
      <c r="AW87">
        <f t="shared" si="94"/>
        <v>-1004117.8867084753</v>
      </c>
      <c r="AX87">
        <f t="shared" si="95"/>
        <v>-416403.9500594798</v>
      </c>
      <c r="AY87">
        <f t="shared" si="103"/>
        <v>-2.748481618857578</v>
      </c>
      <c r="BA87">
        <f t="shared" si="80"/>
        <v>1.1364083062831583</v>
      </c>
      <c r="BB87">
        <f t="shared" si="96"/>
        <v>1.1106879885180907</v>
      </c>
      <c r="BC87">
        <f t="shared" si="97"/>
        <v>0.87786384310065491</v>
      </c>
      <c r="BD87">
        <f t="shared" si="81"/>
        <v>-129.70210674572405</v>
      </c>
      <c r="BF87">
        <f t="shared" si="82"/>
        <v>2.8905586307319071</v>
      </c>
      <c r="BG87">
        <f t="shared" si="83"/>
        <v>-126.03690897961448</v>
      </c>
      <c r="BH87">
        <f t="shared" si="98"/>
        <v>53.963091020385519</v>
      </c>
      <c r="BI87">
        <f t="shared" si="99"/>
        <v>53.963091020385519</v>
      </c>
      <c r="BJ87">
        <f t="shared" si="84"/>
        <v>0</v>
      </c>
      <c r="BK87">
        <f t="shared" si="100"/>
        <v>0</v>
      </c>
      <c r="BM87">
        <f t="shared" si="101"/>
        <v>1.7798706422138162</v>
      </c>
      <c r="BN87">
        <f t="shared" si="85"/>
        <v>-176.3348022338904</v>
      </c>
      <c r="BQ87" s="56">
        <f t="shared" si="102"/>
        <v>18.012648788803226</v>
      </c>
      <c r="BR87" s="59"/>
      <c r="BS87" s="59"/>
      <c r="BT87" s="59">
        <v>588.84400000000005</v>
      </c>
      <c r="BU87" s="59">
        <v>19.373200000000001</v>
      </c>
      <c r="BV87" s="59">
        <v>-263.88170000000002</v>
      </c>
      <c r="BW87" s="61"/>
      <c r="BY87" s="59"/>
      <c r="BZ87" s="59"/>
      <c r="CA87" s="59"/>
      <c r="CC87" s="59"/>
    </row>
    <row r="88" spans="1:81" x14ac:dyDescent="0.2">
      <c r="A88">
        <f t="shared" si="54"/>
        <v>27000</v>
      </c>
      <c r="B88">
        <f t="shared" si="86"/>
        <v>27</v>
      </c>
      <c r="C88">
        <f t="shared" si="55"/>
        <v>1.0000055280022446</v>
      </c>
      <c r="D88">
        <f t="shared" si="56"/>
        <v>3.3250494068418688E-3</v>
      </c>
      <c r="F88">
        <f t="shared" si="57"/>
        <v>7.8594640795673423E-2</v>
      </c>
      <c r="G88">
        <f t="shared" si="58"/>
        <v>5.9406405980152718E-2</v>
      </c>
      <c r="H88">
        <f t="shared" si="59"/>
        <v>-3.0821862440198475</v>
      </c>
      <c r="J88">
        <f t="shared" si="60"/>
        <v>15</v>
      </c>
      <c r="M88">
        <f t="shared" si="61"/>
        <v>4.6323930660266917E-2</v>
      </c>
      <c r="N88">
        <f t="shared" si="62"/>
        <v>-1.5707963250000001</v>
      </c>
      <c r="O88">
        <f t="shared" si="63"/>
        <v>5.3957608351412203</v>
      </c>
      <c r="P88">
        <f t="shared" si="64"/>
        <v>1.3843879701714001</v>
      </c>
      <c r="Q88">
        <f t="shared" si="65"/>
        <v>4.7161798102643084</v>
      </c>
      <c r="R88">
        <f t="shared" si="66"/>
        <v>1.3571384429675675</v>
      </c>
      <c r="S88">
        <f t="shared" si="67"/>
        <v>0.99161905180006149</v>
      </c>
      <c r="T88">
        <f t="shared" si="68"/>
        <v>-0.12955833550684873</v>
      </c>
      <c r="U88">
        <f t="shared" si="69"/>
        <v>0.99139930483840066</v>
      </c>
      <c r="V88">
        <f t="shared" si="70"/>
        <v>-0.13124825465935583</v>
      </c>
      <c r="X88">
        <f t="shared" si="87"/>
        <v>2.7105702924737125</v>
      </c>
      <c r="Y88">
        <f t="shared" si="71"/>
        <v>-124.27097618631223</v>
      </c>
      <c r="Z88">
        <f t="shared" si="88"/>
        <v>55.729023813687775</v>
      </c>
      <c r="AC88">
        <v>1</v>
      </c>
      <c r="AD88">
        <f t="shared" si="72"/>
        <v>5.3022858268905004</v>
      </c>
      <c r="AE88">
        <f t="shared" si="73"/>
        <v>-1.0794139173909021E-4</v>
      </c>
      <c r="AF88">
        <f t="shared" si="74"/>
        <v>8.1769373494200003E-4</v>
      </c>
      <c r="AG88">
        <f t="shared" si="89"/>
        <v>6214.7048059249828</v>
      </c>
      <c r="AH88">
        <f t="shared" si="90"/>
        <v>-2043.3370277903236</v>
      </c>
      <c r="AJ88">
        <f t="shared" si="75"/>
        <v>26400</v>
      </c>
      <c r="AK88">
        <f t="shared" si="76"/>
        <v>3439.6066420531201</v>
      </c>
      <c r="AL88">
        <v>1</v>
      </c>
      <c r="AM88">
        <f t="shared" si="77"/>
        <v>4.608942612220801</v>
      </c>
      <c r="AN88">
        <f t="shared" si="91"/>
        <v>1899.6619429735811</v>
      </c>
      <c r="AO88">
        <f t="shared" si="92"/>
        <v>-5315.82623573198</v>
      </c>
      <c r="AQ88">
        <f t="shared" si="78"/>
        <v>3.4281796366129584</v>
      </c>
      <c r="AR88">
        <f t="shared" si="79"/>
        <v>-185.12170037709976</v>
      </c>
      <c r="AT88">
        <f t="shared" si="104"/>
        <v>-356960.90056480118</v>
      </c>
      <c r="AU88">
        <f t="shared" si="105"/>
        <v>-1157481.6474039746</v>
      </c>
      <c r="AV88">
        <f t="shared" si="93"/>
        <v>-1.8699365360097397</v>
      </c>
      <c r="AW88">
        <f t="shared" si="94"/>
        <v>-968858.15901348973</v>
      </c>
      <c r="AX88">
        <f t="shared" si="95"/>
        <v>-400325.13231845835</v>
      </c>
      <c r="AY88">
        <f t="shared" si="103"/>
        <v>-2.7497652347639008</v>
      </c>
      <c r="BA88">
        <f t="shared" si="80"/>
        <v>1.1554580230269333</v>
      </c>
      <c r="BB88">
        <f t="shared" si="96"/>
        <v>1.2550834498046994</v>
      </c>
      <c r="BC88">
        <f t="shared" si="97"/>
        <v>0.87982869875416103</v>
      </c>
      <c r="BD88">
        <f t="shared" si="81"/>
        <v>-129.58952880929709</v>
      </c>
      <c r="BF88">
        <f t="shared" si="82"/>
        <v>2.6848153147185689</v>
      </c>
      <c r="BG88">
        <f t="shared" si="83"/>
        <v>-125.99528116880207</v>
      </c>
      <c r="BH88">
        <f t="shared" si="98"/>
        <v>54.004718831197934</v>
      </c>
      <c r="BI88">
        <f t="shared" si="99"/>
        <v>54.004718831197934</v>
      </c>
      <c r="BJ88">
        <f t="shared" si="84"/>
        <v>0</v>
      </c>
      <c r="BK88">
        <f t="shared" si="100"/>
        <v>0</v>
      </c>
      <c r="BM88">
        <f t="shared" si="101"/>
        <v>1.4297318649138684</v>
      </c>
      <c r="BN88">
        <f t="shared" si="85"/>
        <v>-176.40575235950496</v>
      </c>
      <c r="BQ88" s="56">
        <f t="shared" si="102"/>
        <v>18.157044250089839</v>
      </c>
      <c r="BR88" s="59"/>
      <c r="BS88" s="59"/>
      <c r="BT88" s="59">
        <v>602.55999999999995</v>
      </c>
      <c r="BU88" s="59">
        <v>19.198</v>
      </c>
      <c r="BV88" s="59">
        <v>-264.00260000000003</v>
      </c>
      <c r="BW88" s="61"/>
      <c r="BY88" s="59"/>
      <c r="BZ88" s="59"/>
      <c r="CA88" s="59"/>
      <c r="CC88" s="59"/>
    </row>
    <row r="89" spans="1:81" x14ac:dyDescent="0.2">
      <c r="A89">
        <f t="shared" si="54"/>
        <v>27500</v>
      </c>
      <c r="B89">
        <f t="shared" si="86"/>
        <v>27.5</v>
      </c>
      <c r="C89">
        <f t="shared" si="55"/>
        <v>1.0000057346382243</v>
      </c>
      <c r="D89">
        <f t="shared" si="56"/>
        <v>3.3866239293271179E-3</v>
      </c>
      <c r="F89">
        <f t="shared" si="57"/>
        <v>7.5553707469593445E-2</v>
      </c>
      <c r="G89">
        <f t="shared" si="58"/>
        <v>5.816402873275589E-2</v>
      </c>
      <c r="H89">
        <f t="shared" si="59"/>
        <v>-3.0834286212672444</v>
      </c>
      <c r="J89">
        <f t="shared" si="60"/>
        <v>15</v>
      </c>
      <c r="M89">
        <f t="shared" si="61"/>
        <v>4.5481677375534789E-2</v>
      </c>
      <c r="N89">
        <f t="shared" si="62"/>
        <v>-1.5707963250000001</v>
      </c>
      <c r="O89">
        <f t="shared" si="63"/>
        <v>5.4922804300820367</v>
      </c>
      <c r="P89">
        <f t="shared" si="64"/>
        <v>1.3877013007973436</v>
      </c>
      <c r="Q89">
        <f t="shared" si="65"/>
        <v>4.7996239996302537</v>
      </c>
      <c r="R89">
        <f t="shared" si="66"/>
        <v>1.3609090476179753</v>
      </c>
      <c r="S89">
        <f t="shared" si="67"/>
        <v>0.99130984424040403</v>
      </c>
      <c r="T89">
        <f t="shared" si="68"/>
        <v>-0.1319300684206588</v>
      </c>
      <c r="U89">
        <f t="shared" si="69"/>
        <v>0.99108209910660194</v>
      </c>
      <c r="V89">
        <f t="shared" si="70"/>
        <v>-0.1336501951475669</v>
      </c>
      <c r="X89">
        <f t="shared" si="87"/>
        <v>2.5092994816015297</v>
      </c>
      <c r="Y89">
        <f t="shared" si="71"/>
        <v>-124.20626294384421</v>
      </c>
      <c r="Z89">
        <f t="shared" si="88"/>
        <v>55.793737056155791</v>
      </c>
      <c r="AC89">
        <v>1</v>
      </c>
      <c r="AD89">
        <f t="shared" si="72"/>
        <v>5.4004763051662499</v>
      </c>
      <c r="AE89">
        <f t="shared" si="73"/>
        <v>-1.1197623800094237E-4</v>
      </c>
      <c r="AF89">
        <f t="shared" si="74"/>
        <v>8.3283621151500006E-4</v>
      </c>
      <c r="AG89">
        <f t="shared" si="89"/>
        <v>6210.728558203883</v>
      </c>
      <c r="AH89">
        <f t="shared" si="90"/>
        <v>-2035.7592474377552</v>
      </c>
      <c r="AJ89">
        <f t="shared" si="75"/>
        <v>26400</v>
      </c>
      <c r="AK89">
        <f t="shared" si="76"/>
        <v>3503.3030613504002</v>
      </c>
      <c r="AL89">
        <v>1</v>
      </c>
      <c r="AM89">
        <f t="shared" si="77"/>
        <v>4.694293401336</v>
      </c>
      <c r="AN89">
        <f t="shared" si="91"/>
        <v>1859.906497653061</v>
      </c>
      <c r="AO89">
        <f t="shared" si="92"/>
        <v>-5227.6437376843141</v>
      </c>
      <c r="AQ89">
        <f t="shared" si="78"/>
        <v>3.3046926635822866</v>
      </c>
      <c r="AR89">
        <f t="shared" si="79"/>
        <v>-181.75809649702578</v>
      </c>
      <c r="AT89">
        <f t="shared" si="104"/>
        <v>-349491.17663870676</v>
      </c>
      <c r="AU89">
        <f t="shared" si="105"/>
        <v>-1135577.7592486823</v>
      </c>
      <c r="AV89">
        <f t="shared" si="93"/>
        <v>-1.8693617328670382</v>
      </c>
      <c r="AW89">
        <f t="shared" si="94"/>
        <v>-935381.30156295933</v>
      </c>
      <c r="AX89">
        <f t="shared" si="95"/>
        <v>-385250.84738481365</v>
      </c>
      <c r="AY89">
        <f t="shared" si="103"/>
        <v>-2.7508998332399197</v>
      </c>
      <c r="BA89">
        <f t="shared" si="80"/>
        <v>1.1745048652011636</v>
      </c>
      <c r="BB89">
        <f t="shared" si="96"/>
        <v>1.3970964022749186</v>
      </c>
      <c r="BC89">
        <f t="shared" si="97"/>
        <v>0.88153810037288149</v>
      </c>
      <c r="BD89">
        <f t="shared" si="81"/>
        <v>-129.49158731093968</v>
      </c>
      <c r="BF89">
        <f t="shared" si="82"/>
        <v>2.4840869998962152</v>
      </c>
      <c r="BG89">
        <f t="shared" si="83"/>
        <v>-125.96499468309692</v>
      </c>
      <c r="BH89">
        <f t="shared" si="98"/>
        <v>54.035005316903082</v>
      </c>
      <c r="BI89">
        <f t="shared" si="99"/>
        <v>54.035005316903082</v>
      </c>
      <c r="BJ89">
        <f t="shared" si="84"/>
        <v>0</v>
      </c>
      <c r="BK89">
        <f t="shared" si="100"/>
        <v>0</v>
      </c>
      <c r="BM89">
        <f t="shared" si="101"/>
        <v>1.0869905976212983</v>
      </c>
      <c r="BN89">
        <f t="shared" si="85"/>
        <v>-176.47340737215725</v>
      </c>
      <c r="BQ89" s="56">
        <f t="shared" si="102"/>
        <v>18.299057202560057</v>
      </c>
      <c r="BR89" s="59"/>
      <c r="BS89" s="59"/>
      <c r="BT89" s="59">
        <v>616.59500000000003</v>
      </c>
      <c r="BU89" s="59">
        <v>18.983699999999999</v>
      </c>
      <c r="BV89" s="59">
        <v>-264.13310000000001</v>
      </c>
      <c r="BW89" s="61"/>
      <c r="BY89" s="59"/>
      <c r="BZ89" s="59"/>
      <c r="CA89" s="59"/>
      <c r="CC89" s="59"/>
    </row>
    <row r="90" spans="1:81" x14ac:dyDescent="0.2">
      <c r="A90">
        <f t="shared" si="54"/>
        <v>28000</v>
      </c>
      <c r="B90">
        <f t="shared" si="86"/>
        <v>28</v>
      </c>
      <c r="C90">
        <f t="shared" si="55"/>
        <v>1.000005945065646</v>
      </c>
      <c r="D90">
        <f t="shared" si="56"/>
        <v>3.4481984261320394E-3</v>
      </c>
      <c r="F90">
        <f t="shared" si="57"/>
        <v>7.2689616428525103E-2</v>
      </c>
      <c r="G90">
        <f t="shared" si="58"/>
        <v>5.6975284887888021E-2</v>
      </c>
      <c r="H90">
        <f t="shared" si="59"/>
        <v>-3.0846173651121123</v>
      </c>
      <c r="J90">
        <f t="shared" si="60"/>
        <v>15</v>
      </c>
      <c r="M90">
        <f t="shared" si="61"/>
        <v>4.4669504565257381E-2</v>
      </c>
      <c r="N90">
        <f t="shared" si="62"/>
        <v>-1.5707963250000001</v>
      </c>
      <c r="O90">
        <f t="shared" si="63"/>
        <v>5.588858237183012</v>
      </c>
      <c r="P90">
        <f t="shared" si="64"/>
        <v>1.390900154059548</v>
      </c>
      <c r="Q90">
        <f t="shared" si="65"/>
        <v>4.8831340947504103</v>
      </c>
      <c r="R90">
        <f t="shared" si="66"/>
        <v>1.364550734769618</v>
      </c>
      <c r="S90">
        <f t="shared" si="67"/>
        <v>0.99099526022135853</v>
      </c>
      <c r="T90">
        <f t="shared" si="68"/>
        <v>-0.13430030936052245</v>
      </c>
      <c r="U90">
        <f t="shared" si="69"/>
        <v>0.99075938579149059</v>
      </c>
      <c r="V90">
        <f t="shared" si="70"/>
        <v>-0.13605058525096986</v>
      </c>
      <c r="X90">
        <f t="shared" si="87"/>
        <v>2.3127774131543086</v>
      </c>
      <c r="Y90">
        <f t="shared" si="71"/>
        <v>-124.15224791931418</v>
      </c>
      <c r="Z90">
        <f t="shared" si="88"/>
        <v>55.847752080685822</v>
      </c>
      <c r="AC90">
        <v>1</v>
      </c>
      <c r="AD90">
        <f t="shared" si="72"/>
        <v>5.4986667834420002</v>
      </c>
      <c r="AE90">
        <f t="shared" si="73"/>
        <v>-1.1608511813915877E-4</v>
      </c>
      <c r="AF90">
        <f t="shared" si="74"/>
        <v>8.4797868808799998E-4</v>
      </c>
      <c r="AG90">
        <f t="shared" si="89"/>
        <v>6206.6845774088679</v>
      </c>
      <c r="AH90">
        <f t="shared" si="90"/>
        <v>-2028.9468787244518</v>
      </c>
      <c r="AJ90">
        <f t="shared" si="75"/>
        <v>26400</v>
      </c>
      <c r="AK90">
        <f t="shared" si="76"/>
        <v>3566.9994806476802</v>
      </c>
      <c r="AL90">
        <v>1</v>
      </c>
      <c r="AM90">
        <f t="shared" si="77"/>
        <v>4.7796441904512008</v>
      </c>
      <c r="AN90">
        <f t="shared" si="91"/>
        <v>1822.1426260908229</v>
      </c>
      <c r="AO90">
        <f t="shared" si="92"/>
        <v>-5142.1939363208157</v>
      </c>
      <c r="AQ90">
        <f t="shared" si="78"/>
        <v>3.1877590054191902</v>
      </c>
      <c r="AR90">
        <f t="shared" si="79"/>
        <v>-178.51450430347467</v>
      </c>
      <c r="AT90">
        <f t="shared" si="104"/>
        <v>-342411.03165814612</v>
      </c>
      <c r="AU90">
        <f t="shared" si="105"/>
        <v>-1114451.0143883363</v>
      </c>
      <c r="AV90">
        <f t="shared" si="93"/>
        <v>-1.8688878396416624</v>
      </c>
      <c r="AW90">
        <f t="shared" si="94"/>
        <v>-903571.18143172527</v>
      </c>
      <c r="AX90">
        <f t="shared" si="95"/>
        <v>-371100.23250525218</v>
      </c>
      <c r="AY90">
        <f t="shared" si="103"/>
        <v>-2.7518929458649493</v>
      </c>
      <c r="BA90">
        <f t="shared" si="80"/>
        <v>1.1935464892785208</v>
      </c>
      <c r="BB90">
        <f t="shared" si="96"/>
        <v>1.5367867935235482</v>
      </c>
      <c r="BC90">
        <f t="shared" si="97"/>
        <v>0.88300510622328687</v>
      </c>
      <c r="BD90">
        <f t="shared" si="81"/>
        <v>-129.40753406709439</v>
      </c>
      <c r="BF90">
        <f t="shared" si="82"/>
        <v>2.2881111558822722</v>
      </c>
      <c r="BG90">
        <f t="shared" si="83"/>
        <v>-125.94552348576597</v>
      </c>
      <c r="BH90">
        <f t="shared" si="98"/>
        <v>54.054476514234025</v>
      </c>
      <c r="BI90">
        <f t="shared" si="99"/>
        <v>54.054476514234025</v>
      </c>
      <c r="BJ90">
        <f t="shared" si="84"/>
        <v>0</v>
      </c>
      <c r="BK90">
        <f t="shared" si="100"/>
        <v>0</v>
      </c>
      <c r="BM90">
        <f t="shared" si="101"/>
        <v>0.75132436235872468</v>
      </c>
      <c r="BN90">
        <f t="shared" si="85"/>
        <v>-176.53798941867157</v>
      </c>
      <c r="BQ90" s="56">
        <f t="shared" si="102"/>
        <v>18.438747593808685</v>
      </c>
      <c r="BR90" s="59"/>
      <c r="BS90" s="59"/>
      <c r="BT90" s="59">
        <v>630.95699999999999</v>
      </c>
      <c r="BU90" s="59">
        <v>18.802900000000001</v>
      </c>
      <c r="BV90" s="59">
        <v>-263.74850000000004</v>
      </c>
      <c r="BW90" s="61"/>
      <c r="BY90" s="59"/>
      <c r="BZ90" s="59"/>
      <c r="CA90" s="59"/>
      <c r="CC90" s="59"/>
    </row>
    <row r="91" spans="1:81" x14ac:dyDescent="0.2">
      <c r="A91">
        <f t="shared" si="54"/>
        <v>28500</v>
      </c>
      <c r="B91">
        <f t="shared" si="86"/>
        <v>28.5</v>
      </c>
      <c r="C91">
        <f t="shared" si="55"/>
        <v>1.0000061592845073</v>
      </c>
      <c r="D91">
        <f t="shared" si="56"/>
        <v>3.509772896789741E-3</v>
      </c>
      <c r="F91">
        <f t="shared" si="57"/>
        <v>6.9988658642365933E-2</v>
      </c>
      <c r="G91">
        <f t="shared" si="58"/>
        <v>5.5836646553586E-2</v>
      </c>
      <c r="H91">
        <f t="shared" si="59"/>
        <v>-3.0857560034464142</v>
      </c>
      <c r="J91">
        <f t="shared" si="60"/>
        <v>15</v>
      </c>
      <c r="M91">
        <f t="shared" si="61"/>
        <v>4.3885829046568653E-2</v>
      </c>
      <c r="N91">
        <f t="shared" si="62"/>
        <v>-1.5707963250000001</v>
      </c>
      <c r="O91">
        <f t="shared" si="63"/>
        <v>5.6854912899451984</v>
      </c>
      <c r="P91">
        <f t="shared" si="64"/>
        <v>1.3939902998838687</v>
      </c>
      <c r="Q91">
        <f t="shared" si="65"/>
        <v>4.9667067712123174</v>
      </c>
      <c r="R91">
        <f t="shared" si="66"/>
        <v>1.3680699130303287</v>
      </c>
      <c r="S91">
        <f t="shared" si="67"/>
        <v>0.99067531545867893</v>
      </c>
      <c r="T91">
        <f t="shared" si="68"/>
        <v>-0.13666903312700338</v>
      </c>
      <c r="U91">
        <f t="shared" si="69"/>
        <v>0.99043118142236342</v>
      </c>
      <c r="V91">
        <f t="shared" si="70"/>
        <v>-0.13844939883577084</v>
      </c>
      <c r="X91">
        <f t="shared" si="87"/>
        <v>2.1207615346821123</v>
      </c>
      <c r="Y91">
        <f t="shared" si="71"/>
        <v>-124.10843252630993</v>
      </c>
      <c r="Z91">
        <f t="shared" si="88"/>
        <v>55.891567473690074</v>
      </c>
      <c r="AC91">
        <v>1</v>
      </c>
      <c r="AD91">
        <f t="shared" si="72"/>
        <v>5.5968572617177497</v>
      </c>
      <c r="AE91">
        <f t="shared" si="73"/>
        <v>-1.2026803215373942E-4</v>
      </c>
      <c r="AF91">
        <f t="shared" si="74"/>
        <v>8.6312116466100001E-4</v>
      </c>
      <c r="AG91">
        <f t="shared" si="89"/>
        <v>6202.5731379991994</v>
      </c>
      <c r="AH91">
        <f t="shared" si="90"/>
        <v>-2022.8576671301494</v>
      </c>
      <c r="AJ91">
        <f t="shared" si="75"/>
        <v>26400</v>
      </c>
      <c r="AK91">
        <f t="shared" si="76"/>
        <v>3630.6958999449603</v>
      </c>
      <c r="AL91">
        <v>1</v>
      </c>
      <c r="AM91">
        <f t="shared" si="77"/>
        <v>4.8649949795664007</v>
      </c>
      <c r="AN91">
        <f t="shared" si="91"/>
        <v>1786.2413927755997</v>
      </c>
      <c r="AO91">
        <f t="shared" si="92"/>
        <v>-5059.3595082020283</v>
      </c>
      <c r="AQ91">
        <f t="shared" si="78"/>
        <v>3.0769230769230771</v>
      </c>
      <c r="AR91">
        <f t="shared" si="79"/>
        <v>-175.38461538461539</v>
      </c>
      <c r="AT91">
        <f t="shared" si="104"/>
        <v>-335693.27350282867</v>
      </c>
      <c r="AU91">
        <f t="shared" si="105"/>
        <v>-1094060.0816402601</v>
      </c>
      <c r="AV91">
        <f t="shared" si="93"/>
        <v>-1.8685096924842928</v>
      </c>
      <c r="AW91">
        <f t="shared" si="94"/>
        <v>-873320.79910229973</v>
      </c>
      <c r="AX91">
        <f t="shared" si="95"/>
        <v>-357800.21153020748</v>
      </c>
      <c r="AY91">
        <f t="shared" si="103"/>
        <v>-2.7527516100420684</v>
      </c>
      <c r="BA91">
        <f t="shared" si="80"/>
        <v>1.2125806718040115</v>
      </c>
      <c r="BB91">
        <f t="shared" si="96"/>
        <v>1.6742128284364386</v>
      </c>
      <c r="BC91">
        <f t="shared" si="97"/>
        <v>0.88424191755777559</v>
      </c>
      <c r="BD91">
        <f t="shared" si="81"/>
        <v>-129.33666999749329</v>
      </c>
      <c r="BF91">
        <f t="shared" si="82"/>
        <v>2.0966449119378532</v>
      </c>
      <c r="BG91">
        <f t="shared" si="83"/>
        <v>-125.93637062988822</v>
      </c>
      <c r="BH91">
        <f t="shared" si="98"/>
        <v>54.063629370111784</v>
      </c>
      <c r="BI91">
        <f t="shared" si="99"/>
        <v>54.063629370111784</v>
      </c>
      <c r="BJ91">
        <f t="shared" si="84"/>
        <v>0</v>
      </c>
      <c r="BK91">
        <f t="shared" si="100"/>
        <v>0</v>
      </c>
      <c r="BM91">
        <f t="shared" si="101"/>
        <v>0.42243208350141426</v>
      </c>
      <c r="BN91">
        <f t="shared" si="85"/>
        <v>-176.59970063239496</v>
      </c>
      <c r="BQ91" s="56">
        <f t="shared" si="102"/>
        <v>18.576173628721577</v>
      </c>
      <c r="BR91" s="59"/>
      <c r="BS91" s="59"/>
      <c r="BT91" s="59">
        <v>645.654</v>
      </c>
      <c r="BU91" s="59">
        <v>18.598600000000001</v>
      </c>
      <c r="BV91" s="59">
        <v>-263.7636</v>
      </c>
      <c r="BW91" s="61"/>
      <c r="BY91" s="59"/>
      <c r="BZ91" s="59"/>
      <c r="CA91" s="59"/>
      <c r="CC91" s="59"/>
    </row>
    <row r="92" spans="1:81" x14ac:dyDescent="0.2">
      <c r="A92">
        <f t="shared" si="54"/>
        <v>29000</v>
      </c>
      <c r="B92">
        <f t="shared" si="86"/>
        <v>29</v>
      </c>
      <c r="C92">
        <f t="shared" si="55"/>
        <v>1.0000063772948058</v>
      </c>
      <c r="D92">
        <f t="shared" si="56"/>
        <v>3.5713473408333306E-3</v>
      </c>
      <c r="F92">
        <f t="shared" si="57"/>
        <v>6.7438450142786779E-2</v>
      </c>
      <c r="G92">
        <f t="shared" si="58"/>
        <v>5.4744896081109849E-2</v>
      </c>
      <c r="H92">
        <f t="shared" si="59"/>
        <v>-3.0868477539188905</v>
      </c>
      <c r="J92">
        <f t="shared" si="60"/>
        <v>15</v>
      </c>
      <c r="M92">
        <f t="shared" si="61"/>
        <v>4.312917682162782E-2</v>
      </c>
      <c r="N92">
        <f t="shared" si="62"/>
        <v>-1.5707963250000001</v>
      </c>
      <c r="O92">
        <f t="shared" si="63"/>
        <v>5.7821768185351337</v>
      </c>
      <c r="P92">
        <f t="shared" si="64"/>
        <v>1.3969771309129391</v>
      </c>
      <c r="Q92">
        <f t="shared" si="65"/>
        <v>5.050338922241143</v>
      </c>
      <c r="R92">
        <f t="shared" si="66"/>
        <v>1.3714725791295999</v>
      </c>
      <c r="S92">
        <f t="shared" si="67"/>
        <v>0.99035002590844956</v>
      </c>
      <c r="T92">
        <f t="shared" si="68"/>
        <v>-0.13903621462101434</v>
      </c>
      <c r="U92">
        <f t="shared" si="69"/>
        <v>0.99009750278010955</v>
      </c>
      <c r="V92">
        <f t="shared" si="70"/>
        <v>-0.14084660987506539</v>
      </c>
      <c r="X92">
        <f t="shared" si="87"/>
        <v>1.9330270678204138</v>
      </c>
      <c r="Y92">
        <f t="shared" si="71"/>
        <v>-124.07434563029284</v>
      </c>
      <c r="Z92">
        <f t="shared" si="88"/>
        <v>55.925654369707161</v>
      </c>
      <c r="AC92">
        <v>1</v>
      </c>
      <c r="AD92">
        <f t="shared" si="72"/>
        <v>5.6950477399935</v>
      </c>
      <c r="AE92">
        <f t="shared" si="73"/>
        <v>-1.2452498004468437E-4</v>
      </c>
      <c r="AF92">
        <f t="shared" si="74"/>
        <v>8.7826364123400004E-4</v>
      </c>
      <c r="AG92">
        <f t="shared" si="89"/>
        <v>6198.3945184560544</v>
      </c>
      <c r="AH92">
        <f t="shared" si="90"/>
        <v>-2017.4522438732465</v>
      </c>
      <c r="AJ92">
        <f t="shared" si="75"/>
        <v>26400</v>
      </c>
      <c r="AK92">
        <f t="shared" si="76"/>
        <v>3694.3923192422403</v>
      </c>
      <c r="AL92">
        <v>1</v>
      </c>
      <c r="AM92">
        <f t="shared" si="77"/>
        <v>4.9503457686816006</v>
      </c>
      <c r="AN92">
        <f t="shared" si="91"/>
        <v>1752.0839760749159</v>
      </c>
      <c r="AO92">
        <f t="shared" si="92"/>
        <v>-4979.0291780950547</v>
      </c>
      <c r="AQ92">
        <f t="shared" si="78"/>
        <v>2.9717682020802378</v>
      </c>
      <c r="AR92">
        <f t="shared" si="79"/>
        <v>-172.3625557206538</v>
      </c>
      <c r="AT92">
        <f t="shared" si="104"/>
        <v>-329313.03306446434</v>
      </c>
      <c r="AU92">
        <f t="shared" si="105"/>
        <v>-1074366.5209935347</v>
      </c>
      <c r="AV92">
        <f t="shared" si="93"/>
        <v>-1.8682224613573899</v>
      </c>
      <c r="AW92">
        <f t="shared" si="94"/>
        <v>-844531.45687371574</v>
      </c>
      <c r="AX92">
        <f t="shared" si="95"/>
        <v>-345284.63203521568</v>
      </c>
      <c r="AY92">
        <f t="shared" si="103"/>
        <v>-2.7534824084253668</v>
      </c>
      <c r="BA92">
        <f t="shared" si="80"/>
        <v>1.2316052991463236</v>
      </c>
      <c r="BB92">
        <f t="shared" si="96"/>
        <v>1.8094309769040817</v>
      </c>
      <c r="BC92">
        <f t="shared" si="97"/>
        <v>0.88525994706797695</v>
      </c>
      <c r="BD92">
        <f t="shared" si="81"/>
        <v>-129.27834120307233</v>
      </c>
      <c r="BF92">
        <f t="shared" si="82"/>
        <v>1.9094631675380589</v>
      </c>
      <c r="BG92">
        <f t="shared" si="83"/>
        <v>-125.93706657411946</v>
      </c>
      <c r="BH92">
        <f t="shared" si="98"/>
        <v>54.062933425880544</v>
      </c>
      <c r="BI92">
        <f t="shared" si="99"/>
        <v>54.062933425880544</v>
      </c>
      <c r="BJ92">
        <f t="shared" si="84"/>
        <v>0</v>
      </c>
      <c r="BK92">
        <f t="shared" si="100"/>
        <v>0</v>
      </c>
      <c r="BM92">
        <f t="shared" si="101"/>
        <v>0.10003219063397745</v>
      </c>
      <c r="BN92">
        <f t="shared" si="85"/>
        <v>-176.65872537104715</v>
      </c>
      <c r="BQ92" s="56">
        <f t="shared" si="102"/>
        <v>18.71139177718922</v>
      </c>
      <c r="BR92" s="59"/>
      <c r="BS92" s="59"/>
      <c r="BT92" s="59">
        <v>660.69299999999998</v>
      </c>
      <c r="BU92" s="59">
        <v>18.468</v>
      </c>
      <c r="BV92" s="59">
        <v>-263.60980000000001</v>
      </c>
      <c r="BW92" s="61"/>
      <c r="BY92" s="59"/>
      <c r="BZ92" s="59"/>
      <c r="CA92" s="59"/>
      <c r="CC92" s="59"/>
    </row>
    <row r="93" spans="1:81" x14ac:dyDescent="0.2">
      <c r="A93">
        <f t="shared" si="54"/>
        <v>29500</v>
      </c>
      <c r="B93">
        <f t="shared" si="86"/>
        <v>29.5</v>
      </c>
      <c r="C93">
        <f t="shared" si="55"/>
        <v>1.000006599096539</v>
      </c>
      <c r="D93">
        <f t="shared" si="56"/>
        <v>3.6329217577959171E-3</v>
      </c>
      <c r="F93">
        <f t="shared" si="57"/>
        <v>6.5027779061852378E-2</v>
      </c>
      <c r="G93">
        <f t="shared" si="58"/>
        <v>5.3697092180265131E-2</v>
      </c>
      <c r="H93">
        <f t="shared" si="59"/>
        <v>-3.0878955578197349</v>
      </c>
      <c r="J93">
        <f t="shared" si="60"/>
        <v>15</v>
      </c>
      <c r="M93">
        <f t="shared" si="61"/>
        <v>4.2398173824651081E-2</v>
      </c>
      <c r="N93">
        <f t="shared" si="62"/>
        <v>-1.5707963250000001</v>
      </c>
      <c r="O93">
        <f t="shared" si="63"/>
        <v>5.8789122338758801</v>
      </c>
      <c r="P93">
        <f t="shared" si="64"/>
        <v>1.3998656925193445</v>
      </c>
      <c r="Q93">
        <f t="shared" si="65"/>
        <v>5.1340276413559121</v>
      </c>
      <c r="R93">
        <f t="shared" si="66"/>
        <v>1.3747643500052069</v>
      </c>
      <c r="S93">
        <f t="shared" si="67"/>
        <v>0.99001940776493147</v>
      </c>
      <c r="T93">
        <f t="shared" si="68"/>
        <v>-0.14140182884527769</v>
      </c>
      <c r="U93">
        <f t="shared" si="69"/>
        <v>0.98975836689488961</v>
      </c>
      <c r="V93">
        <f t="shared" si="70"/>
        <v>-0.14324219245038458</v>
      </c>
      <c r="X93">
        <f t="shared" si="87"/>
        <v>1.7493653371286437</v>
      </c>
      <c r="Y93">
        <f t="shared" si="71"/>
        <v>-124.04954193216264</v>
      </c>
      <c r="Z93">
        <f t="shared" si="88"/>
        <v>55.95045806783736</v>
      </c>
      <c r="AC93">
        <v>1</v>
      </c>
      <c r="AD93">
        <f t="shared" si="72"/>
        <v>5.7932382182692503</v>
      </c>
      <c r="AE93">
        <f t="shared" si="73"/>
        <v>-1.2885596181199351E-4</v>
      </c>
      <c r="AF93">
        <f t="shared" si="74"/>
        <v>8.9340611780699996E-4</v>
      </c>
      <c r="AG93">
        <f t="shared" si="89"/>
        <v>6194.1490012366103</v>
      </c>
      <c r="AH93">
        <f t="shared" si="90"/>
        <v>-2012.6938816749771</v>
      </c>
      <c r="AJ93">
        <f t="shared" si="75"/>
        <v>26400</v>
      </c>
      <c r="AK93">
        <f t="shared" si="76"/>
        <v>3758.0887385395199</v>
      </c>
      <c r="AL93">
        <v>1</v>
      </c>
      <c r="AM93">
        <f t="shared" si="77"/>
        <v>5.0356965577968005</v>
      </c>
      <c r="AN93">
        <f t="shared" si="91"/>
        <v>1719.5607457206938</v>
      </c>
      <c r="AO93">
        <f t="shared" si="92"/>
        <v>-4901.0973896086789</v>
      </c>
      <c r="AQ93">
        <f t="shared" si="78"/>
        <v>2.8719126938541066</v>
      </c>
      <c r="AR93">
        <f t="shared" si="79"/>
        <v>-169.44284893739231</v>
      </c>
      <c r="AT93">
        <f t="shared" si="104"/>
        <v>-323247.53020559176</v>
      </c>
      <c r="AU93">
        <f t="shared" si="105"/>
        <v>-1055334.5346198592</v>
      </c>
      <c r="AV93">
        <f t="shared" si="93"/>
        <v>-1.8680216237144285</v>
      </c>
      <c r="AW93">
        <f t="shared" si="94"/>
        <v>-817112.01231814479</v>
      </c>
      <c r="AX93">
        <f t="shared" si="95"/>
        <v>-333493.50981219253</v>
      </c>
      <c r="AY93">
        <f t="shared" si="103"/>
        <v>-2.7540915046870511</v>
      </c>
      <c r="BA93">
        <f t="shared" si="80"/>
        <v>1.2506183582946777</v>
      </c>
      <c r="BB93">
        <f t="shared" si="96"/>
        <v>1.9424959912518105</v>
      </c>
      <c r="BC93">
        <f t="shared" si="97"/>
        <v>0.88606988097262263</v>
      </c>
      <c r="BD93">
        <f t="shared" si="81"/>
        <v>-129.23193540859856</v>
      </c>
      <c r="BF93">
        <f t="shared" si="82"/>
        <v>1.7263569213036987</v>
      </c>
      <c r="BG93">
        <f t="shared" si="83"/>
        <v>-125.94716756676804</v>
      </c>
      <c r="BH93">
        <f t="shared" si="98"/>
        <v>54.052832433231956</v>
      </c>
      <c r="BI93">
        <f t="shared" si="99"/>
        <v>54.052832433231956</v>
      </c>
      <c r="BJ93">
        <f t="shared" si="84"/>
        <v>0</v>
      </c>
      <c r="BK93">
        <f t="shared" si="100"/>
        <v>0</v>
      </c>
      <c r="BM93">
        <f t="shared" si="101"/>
        <v>-0.2161390699481146</v>
      </c>
      <c r="BN93">
        <f t="shared" si="85"/>
        <v>-176.7152321581695</v>
      </c>
      <c r="BQ93" s="56">
        <f t="shared" si="102"/>
        <v>18.844456791536949</v>
      </c>
      <c r="BR93" s="59"/>
      <c r="BS93" s="59"/>
      <c r="BT93" s="59">
        <v>676.08299999999997</v>
      </c>
      <c r="BU93" s="59">
        <v>18.2744</v>
      </c>
      <c r="BV93" s="59">
        <v>-263.3252</v>
      </c>
      <c r="BW93" s="61"/>
      <c r="BY93" s="59"/>
      <c r="BZ93" s="59"/>
      <c r="CA93" s="59"/>
      <c r="CC93" s="59"/>
    </row>
    <row r="94" spans="1:81" x14ac:dyDescent="0.2">
      <c r="A94">
        <f t="shared" si="54"/>
        <v>30000</v>
      </c>
      <c r="B94">
        <f t="shared" si="86"/>
        <v>30</v>
      </c>
      <c r="C94">
        <f t="shared" si="55"/>
        <v>1.0000068246897043</v>
      </c>
      <c r="D94">
        <f t="shared" si="56"/>
        <v>3.694496147210612E-3</v>
      </c>
      <c r="F94">
        <f t="shared" si="57"/>
        <v>6.2746473131971098E-2</v>
      </c>
      <c r="G94">
        <f t="shared" si="58"/>
        <v>5.2690540421567039E-2</v>
      </c>
      <c r="H94">
        <f t="shared" si="59"/>
        <v>-3.088902109578433</v>
      </c>
      <c r="J94">
        <f t="shared" si="60"/>
        <v>15</v>
      </c>
      <c r="M94">
        <f t="shared" si="61"/>
        <v>4.169153759424022E-2</v>
      </c>
      <c r="N94">
        <f t="shared" si="62"/>
        <v>-1.5707963250000001</v>
      </c>
      <c r="O94">
        <f t="shared" si="63"/>
        <v>5.9756951132461502</v>
      </c>
      <c r="P94">
        <f t="shared" si="64"/>
        <v>1.4026607100299349</v>
      </c>
      <c r="Q94">
        <f t="shared" si="65"/>
        <v>5.2177702066413811</v>
      </c>
      <c r="R94">
        <f t="shared" si="66"/>
        <v>1.3779504919819294</v>
      </c>
      <c r="S94">
        <f t="shared" si="67"/>
        <v>0.98968347745838237</v>
      </c>
      <c r="T94">
        <f t="shared" si="68"/>
        <v>-0.14376585090576885</v>
      </c>
      <c r="U94">
        <f t="shared" si="69"/>
        <v>0.98941379104378713</v>
      </c>
      <c r="V94">
        <f t="shared" si="70"/>
        <v>-0.14563612075322308</v>
      </c>
      <c r="X94">
        <f t="shared" si="87"/>
        <v>1.5695822880643902</v>
      </c>
      <c r="Y94">
        <f t="shared" si="71"/>
        <v>-124.03360042687362</v>
      </c>
      <c r="Z94">
        <f t="shared" si="88"/>
        <v>55.966399573126381</v>
      </c>
      <c r="AC94">
        <v>1</v>
      </c>
      <c r="AD94">
        <f t="shared" si="72"/>
        <v>5.8914286965450007</v>
      </c>
      <c r="AE94">
        <f t="shared" si="73"/>
        <v>-1.3326097745566692E-4</v>
      </c>
      <c r="AF94">
        <f t="shared" si="74"/>
        <v>9.0854859437999999E-4</v>
      </c>
      <c r="AG94">
        <f t="shared" si="89"/>
        <v>6189.8368727276256</v>
      </c>
      <c r="AH94">
        <f t="shared" si="90"/>
        <v>-2008.5482749506778</v>
      </c>
      <c r="AJ94">
        <f t="shared" si="75"/>
        <v>26400</v>
      </c>
      <c r="AK94">
        <f t="shared" si="76"/>
        <v>3821.7851578368</v>
      </c>
      <c r="AL94">
        <v>1</v>
      </c>
      <c r="AM94">
        <f t="shared" si="77"/>
        <v>5.1210473469120013</v>
      </c>
      <c r="AN94">
        <f t="shared" si="91"/>
        <v>1688.570435353186</v>
      </c>
      <c r="AO94">
        <f t="shared" si="92"/>
        <v>-4825.4639902026756</v>
      </c>
      <c r="AQ94">
        <f t="shared" si="78"/>
        <v>2.7770063871146902</v>
      </c>
      <c r="AR94">
        <f t="shared" si="79"/>
        <v>-166.62038322688142</v>
      </c>
      <c r="AT94">
        <f t="shared" si="104"/>
        <v>-317475.86677121092</v>
      </c>
      <c r="AU94">
        <f t="shared" si="105"/>
        <v>-1036930.7432341244</v>
      </c>
      <c r="AV94">
        <f t="shared" si="93"/>
        <v>-1.8679029405991405</v>
      </c>
      <c r="AW94">
        <f t="shared" si="94"/>
        <v>-790978.20724694361</v>
      </c>
      <c r="AX94">
        <f t="shared" si="95"/>
        <v>-322372.36598689121</v>
      </c>
      <c r="AY94">
        <f t="shared" si="103"/>
        <v>-2.7545846760092538</v>
      </c>
      <c r="BA94">
        <f t="shared" si="80"/>
        <v>1.269617928579555</v>
      </c>
      <c r="BB94">
        <f t="shared" si="96"/>
        <v>2.0734609313345889</v>
      </c>
      <c r="BC94">
        <f t="shared" si="97"/>
        <v>0.8866817354101133</v>
      </c>
      <c r="BD94">
        <f t="shared" si="81"/>
        <v>-129.19687873161394</v>
      </c>
      <c r="BF94">
        <f t="shared" si="82"/>
        <v>1.5471317890697205</v>
      </c>
      <c r="BG94">
        <f t="shared" si="83"/>
        <v>-125.96625410484062</v>
      </c>
      <c r="BH94">
        <f t="shared" si="98"/>
        <v>54.033745895159385</v>
      </c>
      <c r="BI94">
        <f t="shared" si="99"/>
        <v>54.033745895159385</v>
      </c>
      <c r="BJ94">
        <f t="shared" si="84"/>
        <v>0</v>
      </c>
      <c r="BK94">
        <f t="shared" si="100"/>
        <v>0</v>
      </c>
      <c r="BM94">
        <f t="shared" si="101"/>
        <v>-0.52632914226486771</v>
      </c>
      <c r="BN94">
        <f t="shared" si="85"/>
        <v>-176.76937537322669</v>
      </c>
      <c r="BQ94" s="56">
        <f t="shared" si="102"/>
        <v>18.975421731619726</v>
      </c>
      <c r="BR94" s="59"/>
      <c r="BS94" s="59"/>
      <c r="BT94" s="59">
        <v>691.83100000000002</v>
      </c>
      <c r="BU94" s="59">
        <v>18.092600000000001</v>
      </c>
      <c r="BV94" s="59">
        <v>-263.57819999999998</v>
      </c>
      <c r="BW94" s="61"/>
      <c r="BY94" s="59"/>
      <c r="BZ94" s="59"/>
      <c r="CA94" s="59"/>
      <c r="CC94" s="59"/>
    </row>
    <row r="95" spans="1:81" x14ac:dyDescent="0.2">
      <c r="A95">
        <f t="shared" si="54"/>
        <v>30500</v>
      </c>
      <c r="B95">
        <f t="shared" si="86"/>
        <v>30.5</v>
      </c>
      <c r="C95">
        <f t="shared" si="55"/>
        <v>1.0000070540742994</v>
      </c>
      <c r="D95">
        <f t="shared" si="56"/>
        <v>3.7560705086105263E-3</v>
      </c>
      <c r="F95">
        <f t="shared" si="57"/>
        <v>6.0585284545647981E-2</v>
      </c>
      <c r="G95">
        <f t="shared" si="58"/>
        <v>5.1722767473026628E-2</v>
      </c>
      <c r="H95">
        <f t="shared" si="59"/>
        <v>-3.0898698825269735</v>
      </c>
      <c r="J95">
        <f t="shared" si="60"/>
        <v>15</v>
      </c>
      <c r="M95">
        <f t="shared" si="61"/>
        <v>4.1008069764826446E-2</v>
      </c>
      <c r="N95">
        <f t="shared" si="62"/>
        <v>-1.5707963250000001</v>
      </c>
      <c r="O95">
        <f t="shared" si="63"/>
        <v>6.0725231872245997</v>
      </c>
      <c r="P95">
        <f t="shared" si="64"/>
        <v>1.4053666134555463</v>
      </c>
      <c r="Q95">
        <f t="shared" si="65"/>
        <v>5.3015640664644907</v>
      </c>
      <c r="R95">
        <f t="shared" si="66"/>
        <v>1.3810359473402243</v>
      </c>
      <c r="S95">
        <f t="shared" si="67"/>
        <v>0.98934225165284806</v>
      </c>
      <c r="T95">
        <f t="shared" si="68"/>
        <v>-0.14612825601314391</v>
      </c>
      <c r="U95">
        <f t="shared" si="69"/>
        <v>0.98906379274843115</v>
      </c>
      <c r="V95">
        <f t="shared" si="70"/>
        <v>-0.14802836908654957</v>
      </c>
      <c r="X95">
        <f t="shared" si="87"/>
        <v>1.3934971692890157</v>
      </c>
      <c r="Y95">
        <f t="shared" si="71"/>
        <v>-124.02612294054462</v>
      </c>
      <c r="Z95">
        <f t="shared" si="88"/>
        <v>55.973877059455376</v>
      </c>
      <c r="AC95">
        <v>1</v>
      </c>
      <c r="AD95">
        <f t="shared" si="72"/>
        <v>5.9896191748207501</v>
      </c>
      <c r="AE95">
        <f t="shared" si="73"/>
        <v>-1.3774002697570465E-4</v>
      </c>
      <c r="AF95">
        <f t="shared" si="74"/>
        <v>9.2369107095300002E-4</v>
      </c>
      <c r="AG95">
        <f t="shared" si="89"/>
        <v>6185.4584231985173</v>
      </c>
      <c r="AH95">
        <f t="shared" si="90"/>
        <v>-2004.9833416249376</v>
      </c>
      <c r="AJ95">
        <f t="shared" si="75"/>
        <v>26400</v>
      </c>
      <c r="AK95">
        <f t="shared" si="76"/>
        <v>3885.48157713408</v>
      </c>
      <c r="AL95">
        <v>1</v>
      </c>
      <c r="AM95">
        <f t="shared" si="77"/>
        <v>5.2063981360272003</v>
      </c>
      <c r="AN95">
        <f t="shared" si="91"/>
        <v>1659.0193992974591</v>
      </c>
      <c r="AO95">
        <f t="shared" si="92"/>
        <v>-4752.0339310011768</v>
      </c>
      <c r="AQ95">
        <f t="shared" si="78"/>
        <v>2.6867275658248255</v>
      </c>
      <c r="AR95">
        <f t="shared" si="79"/>
        <v>-163.89038151531435</v>
      </c>
      <c r="AT95">
        <f t="shared" si="104"/>
        <v>-311978.84313789004</v>
      </c>
      <c r="AU95">
        <f t="shared" si="105"/>
        <v>-1019123.9848380829</v>
      </c>
      <c r="AV95">
        <f t="shared" si="93"/>
        <v>-1.8678624349127912</v>
      </c>
      <c r="AW95">
        <f t="shared" si="94"/>
        <v>-766052.06379621255</v>
      </c>
      <c r="AX95">
        <f t="shared" si="95"/>
        <v>-311871.64422398782</v>
      </c>
      <c r="AY95">
        <f t="shared" si="103"/>
        <v>-2.7549673426404993</v>
      </c>
      <c r="BA95">
        <f t="shared" si="80"/>
        <v>1.2886021742115683</v>
      </c>
      <c r="BB95">
        <f t="shared" si="96"/>
        <v>2.2023771956045008</v>
      </c>
      <c r="BC95">
        <f t="shared" si="97"/>
        <v>0.887104907727708</v>
      </c>
      <c r="BD95">
        <f t="shared" si="81"/>
        <v>-129.17263274378126</v>
      </c>
      <c r="BF95">
        <f t="shared" si="82"/>
        <v>1.371606686286122</v>
      </c>
      <c r="BG95">
        <f t="shared" si="83"/>
        <v>-125.99392947151115</v>
      </c>
      <c r="BH95">
        <f t="shared" si="98"/>
        <v>54.006070528488848</v>
      </c>
      <c r="BI95">
        <f t="shared" si="99"/>
        <v>54.006070528488848</v>
      </c>
      <c r="BJ95">
        <f t="shared" si="84"/>
        <v>0</v>
      </c>
      <c r="BK95">
        <f t="shared" si="100"/>
        <v>0</v>
      </c>
      <c r="BM95">
        <f t="shared" si="101"/>
        <v>-0.83077050931837726</v>
      </c>
      <c r="BN95">
        <f t="shared" si="85"/>
        <v>-176.8212967277299</v>
      </c>
      <c r="BQ95" s="56">
        <f t="shared" si="102"/>
        <v>19.104337995889637</v>
      </c>
      <c r="BR95" s="59"/>
      <c r="BS95" s="59"/>
      <c r="BT95" s="59">
        <v>707.94600000000003</v>
      </c>
      <c r="BU95" s="59">
        <v>17.887</v>
      </c>
      <c r="BV95" s="59">
        <v>-262.84989999999999</v>
      </c>
      <c r="BW95" s="61"/>
      <c r="BY95" s="59"/>
      <c r="BZ95" s="59"/>
      <c r="CA95" s="59"/>
      <c r="CC95" s="59"/>
    </row>
    <row r="96" spans="1:81" x14ac:dyDescent="0.2">
      <c r="A96">
        <f t="shared" si="54"/>
        <v>31000</v>
      </c>
      <c r="B96">
        <f t="shared" si="86"/>
        <v>31</v>
      </c>
      <c r="C96">
        <f t="shared" si="55"/>
        <v>1.0000072872503212</v>
      </c>
      <c r="D96">
        <f t="shared" si="56"/>
        <v>3.817644841528774E-3</v>
      </c>
      <c r="F96">
        <f t="shared" si="57"/>
        <v>5.8535789597146101E-2</v>
      </c>
      <c r="G96">
        <f t="shared" si="58"/>
        <v>5.0791498528211992E-2</v>
      </c>
      <c r="H96">
        <f t="shared" si="59"/>
        <v>-3.0908011514717884</v>
      </c>
      <c r="J96">
        <f t="shared" si="60"/>
        <v>15</v>
      </c>
      <c r="M96">
        <f t="shared" si="61"/>
        <v>4.0346649284748605E-2</v>
      </c>
      <c r="N96">
        <f t="shared" si="62"/>
        <v>-1.5707963250000001</v>
      </c>
      <c r="O96">
        <f t="shared" si="63"/>
        <v>6.1693943278359935</v>
      </c>
      <c r="P96">
        <f t="shared" si="64"/>
        <v>1.4079875599858693</v>
      </c>
      <c r="Q96">
        <f t="shared" si="65"/>
        <v>5.3854068264844903</v>
      </c>
      <c r="R96">
        <f t="shared" si="66"/>
        <v>1.3840253585389721</v>
      </c>
      <c r="S96">
        <f t="shared" si="67"/>
        <v>0.98899574724393491</v>
      </c>
      <c r="T96">
        <f t="shared" si="68"/>
        <v>-0.14848901948414994</v>
      </c>
      <c r="U96">
        <f t="shared" si="69"/>
        <v>0.98870838977259368</v>
      </c>
      <c r="V96">
        <f t="shared" si="70"/>
        <v>-0.15041891186629852</v>
      </c>
      <c r="X96">
        <f t="shared" si="87"/>
        <v>1.2209413581781214</v>
      </c>
      <c r="Y96">
        <f t="shared" si="71"/>
        <v>-124.02673274718029</v>
      </c>
      <c r="Z96">
        <f t="shared" si="88"/>
        <v>55.97326725281971</v>
      </c>
      <c r="AC96">
        <v>1</v>
      </c>
      <c r="AD96">
        <f t="shared" si="72"/>
        <v>6.0878096530964996</v>
      </c>
      <c r="AE96">
        <f t="shared" si="73"/>
        <v>-1.4229311037210662E-4</v>
      </c>
      <c r="AF96">
        <f t="shared" si="74"/>
        <v>9.3883354752600004E-4</v>
      </c>
      <c r="AG96">
        <f t="shared" si="89"/>
        <v>6181.0139467539484</v>
      </c>
      <c r="AH96">
        <f t="shared" si="90"/>
        <v>-2001.9690441291336</v>
      </c>
      <c r="AJ96">
        <f t="shared" si="75"/>
        <v>26400</v>
      </c>
      <c r="AK96">
        <f t="shared" si="76"/>
        <v>3949.1779964313605</v>
      </c>
      <c r="AL96">
        <v>1</v>
      </c>
      <c r="AM96">
        <f t="shared" si="77"/>
        <v>5.291748925142401</v>
      </c>
      <c r="AN96">
        <f t="shared" si="91"/>
        <v>1630.8209440852422</v>
      </c>
      <c r="AO96">
        <f t="shared" si="92"/>
        <v>-4680.7169815314346</v>
      </c>
      <c r="AQ96">
        <f t="shared" si="78"/>
        <v>2.6007802340702209</v>
      </c>
      <c r="AR96">
        <f t="shared" si="79"/>
        <v>-161.24837451235371</v>
      </c>
      <c r="AT96">
        <f t="shared" si="104"/>
        <v>-306738.79529064323</v>
      </c>
      <c r="AU96">
        <f t="shared" si="105"/>
        <v>-1001885.1332714537</v>
      </c>
      <c r="AV96">
        <f t="shared" si="93"/>
        <v>-1.8678963716265862</v>
      </c>
      <c r="AW96">
        <f t="shared" si="94"/>
        <v>-742261.34024510707</v>
      </c>
      <c r="AX96">
        <f t="shared" si="95"/>
        <v>-301946.1973308454</v>
      </c>
      <c r="AY96">
        <f t="shared" si="103"/>
        <v>-2.7552445948176301</v>
      </c>
      <c r="BA96">
        <f t="shared" si="80"/>
        <v>1.3075693375463926</v>
      </c>
      <c r="BB96">
        <f t="shared" si="96"/>
        <v>2.3292945567573557</v>
      </c>
      <c r="BC96">
        <f t="shared" si="97"/>
        <v>0.88734822319104389</v>
      </c>
      <c r="BD96">
        <f t="shared" si="81"/>
        <v>-129.15869179462592</v>
      </c>
      <c r="BF96">
        <f t="shared" si="82"/>
        <v>1.1996126536246956</v>
      </c>
      <c r="BG96">
        <f t="shared" si="83"/>
        <v>-126.0298183531397</v>
      </c>
      <c r="BH96">
        <f t="shared" si="98"/>
        <v>53.970181646860297</v>
      </c>
      <c r="BI96">
        <f t="shared" si="99"/>
        <v>53.970181646860297</v>
      </c>
      <c r="BJ96">
        <f t="shared" si="84"/>
        <v>0</v>
      </c>
      <c r="BK96">
        <f t="shared" si="100"/>
        <v>0</v>
      </c>
      <c r="BM96">
        <f t="shared" si="101"/>
        <v>-1.1296819031326613</v>
      </c>
      <c r="BN96">
        <f t="shared" si="85"/>
        <v>-176.87112655851379</v>
      </c>
      <c r="BQ96" s="56">
        <f t="shared" si="102"/>
        <v>19.231255357042492</v>
      </c>
      <c r="BR96" s="59"/>
      <c r="BS96" s="59"/>
      <c r="BT96" s="59">
        <v>724.43600000000004</v>
      </c>
      <c r="BU96" s="59">
        <v>17.753599999999999</v>
      </c>
      <c r="BV96" s="59">
        <v>-262.81690000000003</v>
      </c>
      <c r="BW96" s="61"/>
      <c r="BY96" s="59"/>
      <c r="BZ96" s="59"/>
      <c r="CA96" s="59"/>
      <c r="CC96" s="59"/>
    </row>
    <row r="97" spans="1:81" x14ac:dyDescent="0.2">
      <c r="A97">
        <f t="shared" si="54"/>
        <v>31500</v>
      </c>
      <c r="B97">
        <f t="shared" si="86"/>
        <v>31.5</v>
      </c>
      <c r="C97">
        <f t="shared" si="55"/>
        <v>1.0000075242177673</v>
      </c>
      <c r="D97">
        <f t="shared" si="56"/>
        <v>3.8792191454984689E-3</v>
      </c>
      <c r="F97">
        <f t="shared" si="57"/>
        <v>5.6590300954661214E-2</v>
      </c>
      <c r="G97">
        <f t="shared" si="58"/>
        <v>4.9894637471044563E-2</v>
      </c>
      <c r="H97">
        <f t="shared" si="59"/>
        <v>-3.0916980125289557</v>
      </c>
      <c r="J97">
        <f t="shared" si="60"/>
        <v>15</v>
      </c>
      <c r="M97">
        <f t="shared" si="61"/>
        <v>3.9706226280228782E-2</v>
      </c>
      <c r="N97">
        <f t="shared" si="62"/>
        <v>-1.5707963250000001</v>
      </c>
      <c r="O97">
        <f t="shared" si="63"/>
        <v>6.2663065377730689</v>
      </c>
      <c r="P97">
        <f t="shared" si="64"/>
        <v>1.4105274544791147</v>
      </c>
      <c r="Q97">
        <f t="shared" si="65"/>
        <v>5.4692962378233974</v>
      </c>
      <c r="R97">
        <f t="shared" si="66"/>
        <v>1.3869230903268224</v>
      </c>
      <c r="S97">
        <f t="shared" si="67"/>
        <v>0.98864398135654963</v>
      </c>
      <c r="T97">
        <f t="shared" si="68"/>
        <v>-0.15084811674301879</v>
      </c>
      <c r="U97">
        <f t="shared" si="69"/>
        <v>0.98834760011976053</v>
      </c>
      <c r="V97">
        <f t="shared" si="70"/>
        <v>-0.15280772362284376</v>
      </c>
      <c r="X97">
        <f t="shared" si="87"/>
        <v>1.0517573114822751</v>
      </c>
      <c r="Y97">
        <f t="shared" si="71"/>
        <v>-124.03507326445035</v>
      </c>
      <c r="Z97">
        <f t="shared" si="88"/>
        <v>55.964926735549653</v>
      </c>
      <c r="AC97">
        <v>1</v>
      </c>
      <c r="AD97">
        <f t="shared" si="72"/>
        <v>6.1860001313722499</v>
      </c>
      <c r="AE97">
        <f t="shared" si="73"/>
        <v>-1.4692022764487282E-4</v>
      </c>
      <c r="AF97">
        <f t="shared" si="74"/>
        <v>9.5397602409899997E-4</v>
      </c>
      <c r="AG97">
        <f t="shared" si="89"/>
        <v>6176.5037412859529</v>
      </c>
      <c r="AH97">
        <f t="shared" si="90"/>
        <v>-1999.4772274498932</v>
      </c>
      <c r="AJ97">
        <f t="shared" si="75"/>
        <v>26400</v>
      </c>
      <c r="AK97">
        <f t="shared" si="76"/>
        <v>4012.8744157286405</v>
      </c>
      <c r="AL97">
        <v>1</v>
      </c>
      <c r="AM97">
        <f t="shared" si="77"/>
        <v>5.3770997142576</v>
      </c>
      <c r="AN97">
        <f t="shared" si="91"/>
        <v>1603.8947263966384</v>
      </c>
      <c r="AO97">
        <f t="shared" si="92"/>
        <v>-4611.4274592779957</v>
      </c>
      <c r="AQ97">
        <f t="shared" si="78"/>
        <v>2.5188916876574305</v>
      </c>
      <c r="AR97">
        <f t="shared" si="79"/>
        <v>-158.69017632241813</v>
      </c>
      <c r="AT97">
        <f t="shared" si="104"/>
        <v>-301739.4498439731</v>
      </c>
      <c r="AU97">
        <f t="shared" si="105"/>
        <v>-985186.93432862696</v>
      </c>
      <c r="AV97">
        <f t="shared" si="93"/>
        <v>-1.8680012397417323</v>
      </c>
      <c r="AW97">
        <f t="shared" si="94"/>
        <v>-719539.04005688883</v>
      </c>
      <c r="AX97">
        <f t="shared" si="95"/>
        <v>-292554.83412634034</v>
      </c>
      <c r="AY97">
        <f t="shared" si="103"/>
        <v>-2.7554212173197397</v>
      </c>
      <c r="BA97">
        <f t="shared" si="80"/>
        <v>1.3265177329953153</v>
      </c>
      <c r="BB97">
        <f t="shared" si="96"/>
        <v>2.4542612008115392</v>
      </c>
      <c r="BC97">
        <f t="shared" si="97"/>
        <v>0.88741997757800739</v>
      </c>
      <c r="BD97">
        <f t="shared" si="81"/>
        <v>-129.15458057108668</v>
      </c>
      <c r="BF97">
        <f t="shared" si="82"/>
        <v>1.0309918077369769</v>
      </c>
      <c r="BG97">
        <f t="shared" si="83"/>
        <v>-126.07356553529654</v>
      </c>
      <c r="BH97">
        <f t="shared" si="98"/>
        <v>53.926434464703462</v>
      </c>
      <c r="BI97">
        <f t="shared" si="99"/>
        <v>53.926434464703462</v>
      </c>
      <c r="BJ97">
        <f t="shared" si="84"/>
        <v>0</v>
      </c>
      <c r="BK97">
        <f t="shared" si="100"/>
        <v>0</v>
      </c>
      <c r="BM97">
        <f t="shared" si="101"/>
        <v>-1.4232693930745617</v>
      </c>
      <c r="BN97">
        <f t="shared" si="85"/>
        <v>-176.9189849642099</v>
      </c>
      <c r="BQ97" s="56">
        <f t="shared" si="102"/>
        <v>19.356222001096675</v>
      </c>
      <c r="BR97" s="59"/>
      <c r="BS97" s="59"/>
      <c r="BT97" s="59">
        <v>741.31</v>
      </c>
      <c r="BU97" s="59">
        <v>17.416399999999999</v>
      </c>
      <c r="BV97" s="59">
        <v>-262.19720000000001</v>
      </c>
      <c r="BW97" s="61"/>
      <c r="BY97" s="59"/>
      <c r="BZ97" s="59"/>
      <c r="CA97" s="59"/>
      <c r="CC97" s="59"/>
    </row>
    <row r="98" spans="1:81" x14ac:dyDescent="0.2">
      <c r="A98">
        <f t="shared" si="54"/>
        <v>32000</v>
      </c>
      <c r="B98">
        <f t="shared" si="86"/>
        <v>32</v>
      </c>
      <c r="C98">
        <f t="shared" si="55"/>
        <v>1.0000077649766352</v>
      </c>
      <c r="D98">
        <f t="shared" si="56"/>
        <v>3.9407934200527267E-3</v>
      </c>
      <c r="F98">
        <f t="shared" si="57"/>
        <v>5.47417907605601E-2</v>
      </c>
      <c r="G98">
        <f t="shared" si="58"/>
        <v>4.9030249395563337E-2</v>
      </c>
      <c r="H98">
        <f t="shared" si="59"/>
        <v>-3.0925624006044368</v>
      </c>
      <c r="J98">
        <f t="shared" si="60"/>
        <v>15</v>
      </c>
      <c r="M98">
        <f t="shared" si="61"/>
        <v>3.908581649460021E-2</v>
      </c>
      <c r="N98">
        <f t="shared" si="62"/>
        <v>-1.5707963250000001</v>
      </c>
      <c r="O98">
        <f t="shared" si="63"/>
        <v>6.3632579405826473</v>
      </c>
      <c r="P98">
        <f t="shared" si="64"/>
        <v>1.412989968149835</v>
      </c>
      <c r="Q98">
        <f t="shared" si="65"/>
        <v>5.5532301862787712</v>
      </c>
      <c r="R98">
        <f t="shared" si="66"/>
        <v>1.3897332499506925</v>
      </c>
      <c r="S98">
        <f t="shared" si="67"/>
        <v>0.98828697134262289</v>
      </c>
      <c r="T98">
        <f t="shared" si="68"/>
        <v>-0.1532055233228436</v>
      </c>
      <c r="U98">
        <f t="shared" si="69"/>
        <v>0.98798144203067595</v>
      </c>
      <c r="V98">
        <f t="shared" si="70"/>
        <v>-0.1551947790024534</v>
      </c>
      <c r="X98">
        <f t="shared" si="87"/>
        <v>0.88579762565865927</v>
      </c>
      <c r="Y98">
        <f t="shared" si="71"/>
        <v>-124.05080682680095</v>
      </c>
      <c r="Z98">
        <f t="shared" si="88"/>
        <v>55.949193173199049</v>
      </c>
      <c r="AC98">
        <v>1</v>
      </c>
      <c r="AD98">
        <f t="shared" si="72"/>
        <v>6.2841906096480002</v>
      </c>
      <c r="AE98">
        <f t="shared" si="73"/>
        <v>-1.5162137879400328E-4</v>
      </c>
      <c r="AF98">
        <f t="shared" si="74"/>
        <v>9.6911850067199999E-4</v>
      </c>
      <c r="AG98">
        <f t="shared" si="89"/>
        <v>6171.9281084255899</v>
      </c>
      <c r="AH98">
        <f t="shared" si="90"/>
        <v>-1997.4814723634363</v>
      </c>
      <c r="AJ98">
        <f t="shared" si="75"/>
        <v>26400</v>
      </c>
      <c r="AK98">
        <f t="shared" si="76"/>
        <v>4076.5708350259206</v>
      </c>
      <c r="AL98">
        <v>1</v>
      </c>
      <c r="AM98">
        <f t="shared" si="77"/>
        <v>5.4624505033728008</v>
      </c>
      <c r="AN98">
        <f t="shared" si="91"/>
        <v>1578.1662101055599</v>
      </c>
      <c r="AO98">
        <f t="shared" si="92"/>
        <v>-4544.0839737711403</v>
      </c>
      <c r="AQ98">
        <f t="shared" si="78"/>
        <v>2.4408103490358801</v>
      </c>
      <c r="AR98">
        <f t="shared" si="79"/>
        <v>-156.21186233829633</v>
      </c>
      <c r="AT98">
        <f t="shared" si="104"/>
        <v>-296965.79478358396</v>
      </c>
      <c r="AU98">
        <f t="shared" si="105"/>
        <v>-969003.85748499201</v>
      </c>
      <c r="AV98">
        <f t="shared" si="93"/>
        <v>-1.8681737358219348</v>
      </c>
      <c r="AW98">
        <f t="shared" si="94"/>
        <v>-697822.96839933645</v>
      </c>
      <c r="AX98">
        <f t="shared" si="95"/>
        <v>-283659.918752264</v>
      </c>
      <c r="AY98">
        <f t="shared" si="103"/>
        <v>-2.7555017118906897</v>
      </c>
      <c r="BA98">
        <f t="shared" si="80"/>
        <v>1.3454457415110437</v>
      </c>
      <c r="BB98">
        <f t="shared" si="96"/>
        <v>2.5773237686772079</v>
      </c>
      <c r="BC98">
        <f t="shared" si="97"/>
        <v>0.88732797606875491</v>
      </c>
      <c r="BD98">
        <f t="shared" si="81"/>
        <v>-129.15985186928168</v>
      </c>
      <c r="BF98">
        <f t="shared" si="82"/>
        <v>0.86559640168411567</v>
      </c>
      <c r="BG98">
        <f t="shared" si="83"/>
        <v>-126.12483467607207</v>
      </c>
      <c r="BH98">
        <f t="shared" si="98"/>
        <v>53.875165323927931</v>
      </c>
      <c r="BI98">
        <f t="shared" si="99"/>
        <v>53.875165323927931</v>
      </c>
      <c r="BJ98">
        <f t="shared" si="84"/>
        <v>0</v>
      </c>
      <c r="BK98">
        <f t="shared" si="100"/>
        <v>0</v>
      </c>
      <c r="BM98">
        <f t="shared" si="101"/>
        <v>-1.7117273669930932</v>
      </c>
      <c r="BN98">
        <f t="shared" si="85"/>
        <v>-176.96498280679037</v>
      </c>
      <c r="BQ98" s="56">
        <f t="shared" si="102"/>
        <v>19.479284568962342</v>
      </c>
      <c r="BR98" s="59"/>
      <c r="BS98" s="59"/>
      <c r="BT98" s="59">
        <v>758.57799999999997</v>
      </c>
      <c r="BU98" s="59">
        <v>17.283200000000001</v>
      </c>
      <c r="BV98" s="59">
        <v>-262.56690000000003</v>
      </c>
      <c r="BW98" s="61"/>
      <c r="BY98" s="59"/>
      <c r="BZ98" s="59"/>
      <c r="CA98" s="59"/>
      <c r="CC98" s="59"/>
    </row>
    <row r="99" spans="1:81" x14ac:dyDescent="0.2">
      <c r="A99">
        <f t="shared" si="54"/>
        <v>32500</v>
      </c>
      <c r="B99">
        <f t="shared" si="86"/>
        <v>32.5</v>
      </c>
      <c r="C99">
        <f t="shared" si="55"/>
        <v>1.0000080095269219</v>
      </c>
      <c r="D99">
        <f t="shared" si="56"/>
        <v>4.0023676647246648E-3</v>
      </c>
      <c r="F99">
        <f t="shared" si="57"/>
        <v>5.2983823043956574E-2</v>
      </c>
      <c r="G99">
        <f t="shared" si="58"/>
        <v>4.8196545158785582E-2</v>
      </c>
      <c r="H99">
        <f t="shared" si="59"/>
        <v>-3.0933961048412146</v>
      </c>
      <c r="J99">
        <f t="shared" si="60"/>
        <v>15</v>
      </c>
      <c r="M99">
        <f t="shared" si="61"/>
        <v>3.8484496240837128E-2</v>
      </c>
      <c r="N99">
        <f t="shared" si="62"/>
        <v>-1.5707963250000001</v>
      </c>
      <c r="O99">
        <f t="shared" si="63"/>
        <v>6.4602467717175287</v>
      </c>
      <c r="P99">
        <f t="shared" si="64"/>
        <v>1.4153785556352902</v>
      </c>
      <c r="Q99">
        <f t="shared" si="65"/>
        <v>5.6372066824741784</v>
      </c>
      <c r="R99">
        <f t="shared" si="66"/>
        <v>1.3924597056471211</v>
      </c>
      <c r="S99">
        <f t="shared" si="67"/>
        <v>0.98792473477880383</v>
      </c>
      <c r="T99">
        <f t="shared" si="68"/>
        <v>-0.1555612148669383</v>
      </c>
      <c r="U99">
        <f t="shared" si="69"/>
        <v>0.98760993398086416</v>
      </c>
      <c r="V99">
        <f t="shared" si="70"/>
        <v>-0.15758005276872608</v>
      </c>
      <c r="X99">
        <f t="shared" si="87"/>
        <v>0.72292419356136339</v>
      </c>
      <c r="Y99">
        <f t="shared" si="71"/>
        <v>-124.07361353336299</v>
      </c>
      <c r="Z99">
        <f t="shared" si="88"/>
        <v>55.926386466637013</v>
      </c>
      <c r="AC99">
        <v>1</v>
      </c>
      <c r="AD99">
        <f t="shared" si="72"/>
        <v>6.3823810879237497</v>
      </c>
      <c r="AE99">
        <f t="shared" si="73"/>
        <v>-1.5639656381949803E-4</v>
      </c>
      <c r="AF99">
        <f t="shared" si="74"/>
        <v>9.8426097724500002E-4</v>
      </c>
      <c r="AG99">
        <f t="shared" si="89"/>
        <v>6167.2873534941555</v>
      </c>
      <c r="AH99">
        <f t="shared" si="90"/>
        <v>-1995.956962220318</v>
      </c>
      <c r="AJ99">
        <f t="shared" si="75"/>
        <v>26400</v>
      </c>
      <c r="AK99">
        <f t="shared" si="76"/>
        <v>4140.2672543232002</v>
      </c>
      <c r="AL99">
        <v>1</v>
      </c>
      <c r="AM99">
        <f t="shared" si="77"/>
        <v>5.5478012924880007</v>
      </c>
      <c r="AN99">
        <f t="shared" si="91"/>
        <v>1553.5661759909203</v>
      </c>
      <c r="AO99">
        <f t="shared" si="92"/>
        <v>-4478.6091848048682</v>
      </c>
      <c r="AQ99">
        <f t="shared" si="78"/>
        <v>2.3663038334122102</v>
      </c>
      <c r="AR99">
        <f t="shared" si="79"/>
        <v>-153.80974917179367</v>
      </c>
      <c r="AT99">
        <f t="shared" si="104"/>
        <v>-292403.9640104745</v>
      </c>
      <c r="AU99">
        <f t="shared" si="105"/>
        <v>-953311.96152233903</v>
      </c>
      <c r="AV99">
        <f t="shared" si="93"/>
        <v>-1.8684107489426338</v>
      </c>
      <c r="AW99">
        <f t="shared" si="94"/>
        <v>-677055.33107205492</v>
      </c>
      <c r="AX99">
        <f t="shared" si="95"/>
        <v>-275227.01571278577</v>
      </c>
      <c r="AY99">
        <f t="shared" si="103"/>
        <v>-2.755490317740493</v>
      </c>
      <c r="BA99">
        <f t="shared" si="80"/>
        <v>1.3643518055870103</v>
      </c>
      <c r="BB99">
        <f t="shared" si="96"/>
        <v>2.6985273994434618</v>
      </c>
      <c r="BC99">
        <f t="shared" si="97"/>
        <v>0.88707956879785921</v>
      </c>
      <c r="BD99">
        <f t="shared" si="81"/>
        <v>-129.17408455752064</v>
      </c>
      <c r="BF99">
        <f t="shared" si="82"/>
        <v>0.70328798172620055</v>
      </c>
      <c r="BG99">
        <f t="shared" si="83"/>
        <v>-126.18330715414471</v>
      </c>
      <c r="BH99">
        <f t="shared" si="98"/>
        <v>53.816692845855286</v>
      </c>
      <c r="BI99">
        <f t="shared" si="99"/>
        <v>53.816692845855286</v>
      </c>
      <c r="BJ99">
        <f t="shared" si="84"/>
        <v>0</v>
      </c>
      <c r="BK99">
        <f t="shared" si="100"/>
        <v>0</v>
      </c>
      <c r="BM99">
        <f t="shared" si="101"/>
        <v>-1.9952394177172594</v>
      </c>
      <c r="BN99">
        <f t="shared" si="85"/>
        <v>-177.00922259662408</v>
      </c>
      <c r="BQ99" s="56">
        <f t="shared" si="102"/>
        <v>19.600488199728598</v>
      </c>
      <c r="BR99" s="59"/>
      <c r="BS99" s="59"/>
      <c r="BT99" s="59">
        <v>776.24699999999996</v>
      </c>
      <c r="BU99" s="59">
        <v>17.007100000000001</v>
      </c>
      <c r="BV99" s="59">
        <v>-262.71769999999998</v>
      </c>
      <c r="BW99" s="61"/>
      <c r="BY99" s="59"/>
      <c r="BZ99" s="59"/>
      <c r="CA99" s="59"/>
      <c r="CC99" s="59"/>
    </row>
    <row r="100" spans="1:81" x14ac:dyDescent="0.2">
      <c r="A100">
        <f t="shared" si="54"/>
        <v>33000</v>
      </c>
      <c r="B100">
        <f t="shared" si="86"/>
        <v>33</v>
      </c>
      <c r="C100">
        <f t="shared" si="55"/>
        <v>1.0000082578686247</v>
      </c>
      <c r="D100">
        <f t="shared" si="56"/>
        <v>4.0639418790474014E-3</v>
      </c>
      <c r="F100">
        <f t="shared" si="57"/>
        <v>5.1310494166463681E-2</v>
      </c>
      <c r="G100">
        <f t="shared" si="58"/>
        <v>4.739186769429693E-2</v>
      </c>
      <c r="H100">
        <f t="shared" si="59"/>
        <v>-3.0942007823057032</v>
      </c>
      <c r="J100">
        <f t="shared" si="60"/>
        <v>15</v>
      </c>
      <c r="M100">
        <f t="shared" si="61"/>
        <v>3.7901397812945659E-2</v>
      </c>
      <c r="N100">
        <f t="shared" si="62"/>
        <v>-1.5707963250000001</v>
      </c>
      <c r="O100">
        <f t="shared" si="63"/>
        <v>6.5572713703669043</v>
      </c>
      <c r="P100">
        <f t="shared" si="64"/>
        <v>1.4176964706006054</v>
      </c>
      <c r="Q100">
        <f t="shared" si="65"/>
        <v>5.7212238528544281</v>
      </c>
      <c r="R100">
        <f t="shared" si="66"/>
        <v>1.3951061035820622</v>
      </c>
      <c r="S100">
        <f t="shared" si="67"/>
        <v>0.98755728946413479</v>
      </c>
      <c r="T100">
        <f t="shared" si="68"/>
        <v>-0.15791516713017939</v>
      </c>
      <c r="U100">
        <f t="shared" si="69"/>
        <v>0.9872330946781247</v>
      </c>
      <c r="V100">
        <f t="shared" si="70"/>
        <v>-0.15996351980400805</v>
      </c>
      <c r="X100">
        <f t="shared" si="87"/>
        <v>0.56300744600775965</v>
      </c>
      <c r="Y100">
        <f t="shared" si="71"/>
        <v>-124.1031901675959</v>
      </c>
      <c r="Z100">
        <f t="shared" si="88"/>
        <v>55.896809832404102</v>
      </c>
      <c r="AC100">
        <v>1</v>
      </c>
      <c r="AD100">
        <f t="shared" si="72"/>
        <v>6.4805715661995</v>
      </c>
      <c r="AE100">
        <f t="shared" si="73"/>
        <v>-1.6124578272135701E-4</v>
      </c>
      <c r="AF100">
        <f t="shared" si="74"/>
        <v>9.9940345381799994E-4</v>
      </c>
      <c r="AG100">
        <f t="shared" si="89"/>
        <v>6162.5817854539882</v>
      </c>
      <c r="AH100">
        <f t="shared" si="90"/>
        <v>-1994.8803618433108</v>
      </c>
      <c r="AJ100">
        <f t="shared" si="75"/>
        <v>26400</v>
      </c>
      <c r="AK100">
        <f t="shared" si="76"/>
        <v>4203.9636736204802</v>
      </c>
      <c r="AL100">
        <v>1</v>
      </c>
      <c r="AM100">
        <f t="shared" si="77"/>
        <v>5.6331520816032006</v>
      </c>
      <c r="AN100">
        <f t="shared" si="91"/>
        <v>1530.0302784405585</v>
      </c>
      <c r="AO100">
        <f t="shared" si="92"/>
        <v>-4414.9295742928762</v>
      </c>
      <c r="AQ100">
        <f t="shared" si="78"/>
        <v>2.2951572182694515</v>
      </c>
      <c r="AR100">
        <f t="shared" si="79"/>
        <v>-151.4803764057838</v>
      </c>
      <c r="AT100">
        <f t="shared" si="104"/>
        <v>-288041.13402847032</v>
      </c>
      <c r="AU100">
        <f t="shared" si="105"/>
        <v>-938088.77255406603</v>
      </c>
      <c r="AV100">
        <f t="shared" si="93"/>
        <v>-1.8687093469184259</v>
      </c>
      <c r="AW100">
        <f t="shared" si="94"/>
        <v>-657182.37135576305</v>
      </c>
      <c r="AX100">
        <f t="shared" si="95"/>
        <v>-267224.57486595155</v>
      </c>
      <c r="AY100">
        <f t="shared" si="103"/>
        <v>-2.7553910303127425</v>
      </c>
      <c r="BA100">
        <f t="shared" si="80"/>
        <v>1.3832344247159334</v>
      </c>
      <c r="BB100">
        <f t="shared" si="96"/>
        <v>2.8179157747524366</v>
      </c>
      <c r="BC100">
        <f t="shared" si="97"/>
        <v>0.88668168339431652</v>
      </c>
      <c r="BD100">
        <f t="shared" si="81"/>
        <v>-129.19688171189955</v>
      </c>
      <c r="BF100">
        <f t="shared" si="82"/>
        <v>0.5439366289886236</v>
      </c>
      <c r="BG100">
        <f t="shared" si="83"/>
        <v>-126.24868098854922</v>
      </c>
      <c r="BH100">
        <f t="shared" si="98"/>
        <v>53.751319011450775</v>
      </c>
      <c r="BI100">
        <f t="shared" si="99"/>
        <v>53.751319011450775</v>
      </c>
      <c r="BJ100">
        <f t="shared" si="84"/>
        <v>0</v>
      </c>
      <c r="BK100">
        <f t="shared" si="100"/>
        <v>0</v>
      </c>
      <c r="BM100">
        <f t="shared" si="101"/>
        <v>-2.273979145763811</v>
      </c>
      <c r="BN100">
        <f t="shared" si="85"/>
        <v>-177.05179927664969</v>
      </c>
      <c r="BQ100" s="56">
        <f t="shared" si="102"/>
        <v>19.719876575037574</v>
      </c>
      <c r="BR100" s="59"/>
      <c r="BS100" s="59"/>
      <c r="BT100" s="59">
        <v>794.32799999999997</v>
      </c>
      <c r="BU100" s="59">
        <v>16.8354</v>
      </c>
      <c r="BV100" s="59">
        <v>-262.79380000000003</v>
      </c>
      <c r="BW100" s="61"/>
      <c r="BY100" s="59"/>
      <c r="BZ100" s="59"/>
      <c r="CA100" s="59"/>
      <c r="CC100" s="59"/>
    </row>
    <row r="101" spans="1:81" x14ac:dyDescent="0.2">
      <c r="A101">
        <f t="shared" si="54"/>
        <v>33500</v>
      </c>
      <c r="B101">
        <f t="shared" si="86"/>
        <v>33.5</v>
      </c>
      <c r="C101">
        <f t="shared" si="55"/>
        <v>1.0000085100017408</v>
      </c>
      <c r="D101">
        <f t="shared" si="56"/>
        <v>4.1255160625540566E-3</v>
      </c>
      <c r="F101">
        <f t="shared" si="57"/>
        <v>4.9716380217911159E-2</v>
      </c>
      <c r="G101">
        <f t="shared" si="58"/>
        <v>4.6614679855284294E-2</v>
      </c>
      <c r="H101">
        <f t="shared" si="59"/>
        <v>-3.0949779701447158</v>
      </c>
      <c r="J101">
        <f t="shared" si="60"/>
        <v>15</v>
      </c>
      <c r="M101">
        <f t="shared" si="61"/>
        <v>3.7335705308274826E-2</v>
      </c>
      <c r="N101">
        <f t="shared" si="62"/>
        <v>-1.5707963250000001</v>
      </c>
      <c r="O101">
        <f t="shared" si="63"/>
        <v>6.6543301719878754</v>
      </c>
      <c r="P101">
        <f t="shared" si="64"/>
        <v>1.4199467800252954</v>
      </c>
      <c r="Q101">
        <f t="shared" si="65"/>
        <v>5.8052799314429784</v>
      </c>
      <c r="R101">
        <f t="shared" si="66"/>
        <v>1.3976758833869676</v>
      </c>
      <c r="S101">
        <f t="shared" si="67"/>
        <v>0.98718465341770256</v>
      </c>
      <c r="T101">
        <f t="shared" si="68"/>
        <v>-0.16026735598033068</v>
      </c>
      <c r="U101">
        <f t="shared" si="69"/>
        <v>0.98685094306000576</v>
      </c>
      <c r="V101">
        <f t="shared" si="70"/>
        <v>-0.16234515511079137</v>
      </c>
      <c r="X101">
        <f t="shared" si="87"/>
        <v>0.405925668288113</v>
      </c>
      <c r="Y101">
        <f t="shared" si="71"/>
        <v>-124.1392491852767</v>
      </c>
      <c r="Z101">
        <f t="shared" si="88"/>
        <v>55.860750814723303</v>
      </c>
      <c r="AC101">
        <v>1</v>
      </c>
      <c r="AD101">
        <f t="shared" si="72"/>
        <v>6.5787620444752495</v>
      </c>
      <c r="AE101">
        <f t="shared" si="73"/>
        <v>-1.6616903549958027E-4</v>
      </c>
      <c r="AF101">
        <f t="shared" si="74"/>
        <v>1.0145459303909999E-3</v>
      </c>
      <c r="AG101">
        <f t="shared" si="89"/>
        <v>6157.8117168588087</v>
      </c>
      <c r="AH101">
        <f t="shared" si="90"/>
        <v>-1994.2297072727888</v>
      </c>
      <c r="AJ101">
        <f t="shared" si="75"/>
        <v>26400</v>
      </c>
      <c r="AK101">
        <f t="shared" si="76"/>
        <v>4267.6600929177603</v>
      </c>
      <c r="AL101">
        <v>1</v>
      </c>
      <c r="AM101">
        <f t="shared" si="77"/>
        <v>5.7185028707184005</v>
      </c>
      <c r="AN101">
        <f t="shared" si="91"/>
        <v>1507.4986441421188</v>
      </c>
      <c r="AO101">
        <f t="shared" si="92"/>
        <v>-4352.9752312130431</v>
      </c>
      <c r="AQ101">
        <f t="shared" si="78"/>
        <v>2.2271714922048997</v>
      </c>
      <c r="AR101">
        <f t="shared" si="79"/>
        <v>-149.22048997772828</v>
      </c>
      <c r="AT101">
        <f t="shared" si="104"/>
        <v>-283865.43133723392</v>
      </c>
      <c r="AU101">
        <f t="shared" si="105"/>
        <v>-923313.17313321366</v>
      </c>
      <c r="AV101">
        <f t="shared" si="93"/>
        <v>-1.8690667636852043</v>
      </c>
      <c r="AW101">
        <f t="shared" si="94"/>
        <v>-638154.0408136663</v>
      </c>
      <c r="AX101">
        <f t="shared" si="95"/>
        <v>-259623.65138797901</v>
      </c>
      <c r="AY101">
        <f t="shared" si="103"/>
        <v>-2.7552076184849623</v>
      </c>
      <c r="BA101">
        <f t="shared" si="80"/>
        <v>1.402092151259825</v>
      </c>
      <c r="BB101">
        <f t="shared" si="96"/>
        <v>2.935531163746155</v>
      </c>
      <c r="BC101">
        <f t="shared" si="97"/>
        <v>0.88614085479975802</v>
      </c>
      <c r="BD101">
        <f t="shared" si="81"/>
        <v>-129.22786890784315</v>
      </c>
      <c r="BF101">
        <f t="shared" si="82"/>
        <v>0.38742027607248347</v>
      </c>
      <c r="BG101">
        <f t="shared" si="83"/>
        <v>-126.32066982676211</v>
      </c>
      <c r="BH101">
        <f t="shared" si="98"/>
        <v>53.679330173237886</v>
      </c>
      <c r="BI101">
        <f t="shared" si="99"/>
        <v>53.679330173237886</v>
      </c>
      <c r="BJ101">
        <f t="shared" si="84"/>
        <v>0</v>
      </c>
      <c r="BK101">
        <f t="shared" si="100"/>
        <v>0</v>
      </c>
      <c r="BM101">
        <f t="shared" si="101"/>
        <v>-2.54811088767367</v>
      </c>
      <c r="BN101">
        <f t="shared" si="85"/>
        <v>-177.09280091891895</v>
      </c>
      <c r="BQ101" s="56">
        <f t="shared" si="102"/>
        <v>19.83749196403129</v>
      </c>
      <c r="BR101" s="59"/>
      <c r="BS101" s="59"/>
      <c r="BT101" s="59">
        <v>812.83100000000002</v>
      </c>
      <c r="BU101" s="59">
        <v>16.6614</v>
      </c>
      <c r="BV101" s="59">
        <v>-262.23689999999999</v>
      </c>
      <c r="BW101" s="61"/>
      <c r="BY101" s="59"/>
      <c r="BZ101" s="59"/>
      <c r="CA101" s="59"/>
      <c r="CC101" s="59"/>
    </row>
    <row r="102" spans="1:81" x14ac:dyDescent="0.2">
      <c r="A102">
        <f t="shared" ref="A102:A165" si="106">A101+500</f>
        <v>34000</v>
      </c>
      <c r="B102">
        <f t="shared" si="86"/>
        <v>34</v>
      </c>
      <c r="C102">
        <f t="shared" si="55"/>
        <v>1.0000087659262673</v>
      </c>
      <c r="D102">
        <f t="shared" si="56"/>
        <v>4.1870902147777512E-3</v>
      </c>
      <c r="F102">
        <f t="shared" si="57"/>
        <v>4.8196490441741485E-2</v>
      </c>
      <c r="G102">
        <f t="shared" si="58"/>
        <v>4.586355358994755E-2</v>
      </c>
      <c r="H102">
        <f t="shared" si="59"/>
        <v>-3.0957290964100528</v>
      </c>
      <c r="J102">
        <f t="shared" si="60"/>
        <v>15</v>
      </c>
      <c r="M102">
        <f t="shared" si="61"/>
        <v>3.6786650818447258E-2</v>
      </c>
      <c r="N102">
        <f t="shared" si="62"/>
        <v>-1.5707963250000001</v>
      </c>
      <c r="O102">
        <f t="shared" si="63"/>
        <v>6.751421701469325</v>
      </c>
      <c r="P102">
        <f t="shared" si="64"/>
        <v>1.4221323772982091</v>
      </c>
      <c r="Q102">
        <f t="shared" si="65"/>
        <v>5.8893732522878768</v>
      </c>
      <c r="R102">
        <f t="shared" si="66"/>
        <v>1.4001722924233388</v>
      </c>
      <c r="S102">
        <f t="shared" si="67"/>
        <v>0.98680684487626835</v>
      </c>
      <c r="T102">
        <f t="shared" si="68"/>
        <v>-0.16261775739934975</v>
      </c>
      <c r="U102">
        <f t="shared" si="69"/>
        <v>0.9864634982912539</v>
      </c>
      <c r="V102">
        <f t="shared" si="70"/>
        <v>-0.16472493381309258</v>
      </c>
      <c r="X102">
        <f t="shared" si="87"/>
        <v>0.25156438300298939</v>
      </c>
      <c r="Y102">
        <f t="shared" si="71"/>
        <v>-124.18151776727339</v>
      </c>
      <c r="Z102">
        <f t="shared" si="88"/>
        <v>55.818482232726609</v>
      </c>
      <c r="AC102">
        <v>1</v>
      </c>
      <c r="AD102">
        <f t="shared" si="72"/>
        <v>6.6769525227510007</v>
      </c>
      <c r="AE102">
        <f t="shared" si="73"/>
        <v>-1.7116632215416778E-4</v>
      </c>
      <c r="AF102">
        <f t="shared" si="74"/>
        <v>1.029688406964E-3</v>
      </c>
      <c r="AG102">
        <f t="shared" si="89"/>
        <v>6152.9774638037179</v>
      </c>
      <c r="AH102">
        <f t="shared" si="90"/>
        <v>-1993.9843052428819</v>
      </c>
      <c r="AJ102">
        <f t="shared" si="75"/>
        <v>26400</v>
      </c>
      <c r="AK102">
        <f t="shared" si="76"/>
        <v>4331.3565122150403</v>
      </c>
      <c r="AL102">
        <v>1</v>
      </c>
      <c r="AM102">
        <f t="shared" si="77"/>
        <v>5.8038536598336012</v>
      </c>
      <c r="AN102">
        <f t="shared" si="91"/>
        <v>1485.9155083378646</v>
      </c>
      <c r="AO102">
        <f t="shared" si="92"/>
        <v>-4292.6796490551824</v>
      </c>
      <c r="AQ102">
        <f t="shared" si="78"/>
        <v>2.1621621621621623</v>
      </c>
      <c r="AR102">
        <f t="shared" si="79"/>
        <v>-147.02702702702703</v>
      </c>
      <c r="AT102">
        <f t="shared" si="104"/>
        <v>-279865.84928154002</v>
      </c>
      <c r="AU102">
        <f t="shared" si="105"/>
        <v>-908965.30128409888</v>
      </c>
      <c r="AV102">
        <f t="shared" si="93"/>
        <v>-1.8694803877268253</v>
      </c>
      <c r="AW102">
        <f t="shared" si="94"/>
        <v>-619923.70052689826</v>
      </c>
      <c r="AX102">
        <f t="shared" si="95"/>
        <v>-252397.6564091061</v>
      </c>
      <c r="AY102">
        <f t="shared" si="103"/>
        <v>-2.754943640350846</v>
      </c>
      <c r="BA102">
        <f t="shared" si="80"/>
        <v>1.4209235866892695</v>
      </c>
      <c r="BB102">
        <f t="shared" si="96"/>
        <v>3.0514144681693773</v>
      </c>
      <c r="BC102">
        <f t="shared" si="97"/>
        <v>0.8854632526240207</v>
      </c>
      <c r="BD102">
        <f t="shared" si="81"/>
        <v>-129.26669265274614</v>
      </c>
      <c r="BF102">
        <f t="shared" si="82"/>
        <v>0.23362408999359779</v>
      </c>
      <c r="BG102">
        <f t="shared" si="83"/>
        <v>-126.39900199754595</v>
      </c>
      <c r="BH102">
        <f t="shared" si="98"/>
        <v>53.600998002454048</v>
      </c>
      <c r="BI102">
        <f t="shared" si="99"/>
        <v>53.600998002454048</v>
      </c>
      <c r="BJ102">
        <f t="shared" si="84"/>
        <v>0</v>
      </c>
      <c r="BK102">
        <f t="shared" si="100"/>
        <v>0</v>
      </c>
      <c r="BM102">
        <f t="shared" si="101"/>
        <v>-2.81779037817578</v>
      </c>
      <c r="BN102">
        <f t="shared" si="85"/>
        <v>-177.13230934479981</v>
      </c>
      <c r="BQ102" s="56">
        <f t="shared" si="102"/>
        <v>19.953375268454515</v>
      </c>
      <c r="BR102" s="59"/>
      <c r="BS102" s="59"/>
      <c r="BT102" s="59">
        <v>831.76400000000001</v>
      </c>
      <c r="BU102" s="59">
        <v>16.509799999999998</v>
      </c>
      <c r="BV102" s="59">
        <v>-262.34320000000002</v>
      </c>
      <c r="BW102" s="61"/>
      <c r="BY102" s="59"/>
      <c r="BZ102" s="59"/>
      <c r="CA102" s="59"/>
      <c r="CC102" s="59"/>
    </row>
    <row r="103" spans="1:81" x14ac:dyDescent="0.2">
      <c r="A103">
        <f t="shared" si="106"/>
        <v>34500</v>
      </c>
      <c r="B103">
        <f t="shared" si="86"/>
        <v>34.5</v>
      </c>
      <c r="C103">
        <f t="shared" si="55"/>
        <v>1.0000090256422014</v>
      </c>
      <c r="D103">
        <f t="shared" si="56"/>
        <v>4.2486643352516087E-3</v>
      </c>
      <c r="F103">
        <f t="shared" si="57"/>
        <v>4.674622590575201E-2</v>
      </c>
      <c r="G103">
        <f t="shared" si="58"/>
        <v>4.5137160280840548E-2</v>
      </c>
      <c r="H103">
        <f t="shared" si="59"/>
        <v>-3.0964554897191596</v>
      </c>
      <c r="J103">
        <f t="shared" si="60"/>
        <v>15</v>
      </c>
      <c r="M103">
        <f t="shared" si="61"/>
        <v>3.6253510951513239E-2</v>
      </c>
      <c r="N103">
        <f t="shared" si="62"/>
        <v>-1.5707963250000001</v>
      </c>
      <c r="O103">
        <f t="shared" si="63"/>
        <v>6.848544566866873</v>
      </c>
      <c r="P103">
        <f t="shared" si="64"/>
        <v>1.424255994234269</v>
      </c>
      <c r="Q103">
        <f t="shared" si="65"/>
        <v>5.9735022425306195</v>
      </c>
      <c r="R103">
        <f t="shared" si="66"/>
        <v>1.4025983988940876</v>
      </c>
      <c r="S103">
        <f t="shared" si="67"/>
        <v>0.98642388229187683</v>
      </c>
      <c r="T103">
        <f t="shared" si="68"/>
        <v>-0.16496634748467717</v>
      </c>
      <c r="U103">
        <f t="shared" si="69"/>
        <v>0.98607077976124202</v>
      </c>
      <c r="V103">
        <f t="shared" si="70"/>
        <v>-0.16710283115781241</v>
      </c>
      <c r="X103">
        <f t="shared" si="87"/>
        <v>9.9815791735640841E-2</v>
      </c>
      <c r="Y103">
        <f t="shared" si="71"/>
        <v>-124.22973693347777</v>
      </c>
      <c r="Z103">
        <f t="shared" si="88"/>
        <v>55.770263066522233</v>
      </c>
      <c r="AC103">
        <v>1</v>
      </c>
      <c r="AD103">
        <f t="shared" si="72"/>
        <v>6.7751430010267502</v>
      </c>
      <c r="AE103">
        <f t="shared" si="73"/>
        <v>-1.7623764268511952E-4</v>
      </c>
      <c r="AF103">
        <f t="shared" si="74"/>
        <v>1.0448308835369999E-3</v>
      </c>
      <c r="AG103">
        <f t="shared" si="89"/>
        <v>6148.0793458747612</v>
      </c>
      <c r="AH103">
        <f t="shared" si="90"/>
        <v>-1994.1246414011241</v>
      </c>
      <c r="AJ103">
        <f t="shared" si="75"/>
        <v>26400</v>
      </c>
      <c r="AK103">
        <f t="shared" si="76"/>
        <v>4395.0529315123204</v>
      </c>
      <c r="AL103">
        <v>1</v>
      </c>
      <c r="AM103">
        <f t="shared" si="77"/>
        <v>5.8892044489488002</v>
      </c>
      <c r="AN103">
        <f t="shared" si="91"/>
        <v>1465.2288847300315</v>
      </c>
      <c r="AO103">
        <f t="shared" si="92"/>
        <v>-4233.9795351680696</v>
      </c>
      <c r="AQ103">
        <f t="shared" si="78"/>
        <v>2.0999580008399832</v>
      </c>
      <c r="AR103">
        <f t="shared" si="79"/>
        <v>-144.89710205795885</v>
      </c>
      <c r="AT103">
        <f t="shared" si="104"/>
        <v>-276032.17326922051</v>
      </c>
      <c r="AU103">
        <f t="shared" si="105"/>
        <v>-895026.45843502658</v>
      </c>
      <c r="AV103">
        <f t="shared" si="93"/>
        <v>-1.8699477514478366</v>
      </c>
      <c r="AW103">
        <f t="shared" si="94"/>
        <v>-602447.84964282578</v>
      </c>
      <c r="AX103">
        <f t="shared" si="95"/>
        <v>-245522.13459793228</v>
      </c>
      <c r="AY103">
        <f t="shared" si="103"/>
        <v>-2.7546024577175561</v>
      </c>
      <c r="BA103">
        <f t="shared" si="80"/>
        <v>1.4397273781546729</v>
      </c>
      <c r="BB103">
        <f t="shared" si="96"/>
        <v>3.1656052672924972</v>
      </c>
      <c r="BC103">
        <f t="shared" si="97"/>
        <v>0.88465470626971943</v>
      </c>
      <c r="BD103">
        <f t="shared" si="81"/>
        <v>-129.31301894644122</v>
      </c>
      <c r="BF103">
        <f t="shared" si="82"/>
        <v>8.2439913957260982E-2</v>
      </c>
      <c r="BG103">
        <f t="shared" si="83"/>
        <v>-126.48341962493255</v>
      </c>
      <c r="BH103">
        <f t="shared" si="98"/>
        <v>53.516580375067448</v>
      </c>
      <c r="BI103">
        <f t="shared" si="99"/>
        <v>53.516580375067448</v>
      </c>
      <c r="BJ103">
        <f t="shared" si="84"/>
        <v>34500</v>
      </c>
      <c r="BK103">
        <f t="shared" si="100"/>
        <v>53.516580375067448</v>
      </c>
      <c r="BM103">
        <f t="shared" si="101"/>
        <v>-3.0831653533352386</v>
      </c>
      <c r="BN103">
        <f t="shared" si="85"/>
        <v>-177.17040067849135</v>
      </c>
      <c r="BQ103" s="56">
        <f t="shared" si="102"/>
        <v>20.067566067577634</v>
      </c>
      <c r="BR103" s="59"/>
      <c r="BS103" s="59"/>
      <c r="BT103" s="59">
        <v>851.13800000000003</v>
      </c>
      <c r="BU103" s="59">
        <v>16.276800000000001</v>
      </c>
      <c r="BV103" s="59">
        <v>-262.197</v>
      </c>
      <c r="BW103" s="61"/>
      <c r="BY103" s="59"/>
      <c r="BZ103" s="59"/>
      <c r="CA103" s="59"/>
      <c r="CC103" s="59"/>
    </row>
    <row r="104" spans="1:81" x14ac:dyDescent="0.2">
      <c r="A104">
        <f t="shared" si="106"/>
        <v>35000</v>
      </c>
      <c r="B104">
        <f t="shared" si="86"/>
        <v>35</v>
      </c>
      <c r="C104">
        <f t="shared" si="55"/>
        <v>1.0000092891495402</v>
      </c>
      <c r="D104">
        <f t="shared" si="56"/>
        <v>4.3102384235087525E-3</v>
      </c>
      <c r="F104">
        <f t="shared" si="57"/>
        <v>4.5361342747696244E-2</v>
      </c>
      <c r="G104">
        <f t="shared" si="58"/>
        <v>4.4434262103703999E-2</v>
      </c>
      <c r="H104">
        <f t="shared" si="59"/>
        <v>-3.0971583878962963</v>
      </c>
      <c r="J104">
        <f t="shared" si="60"/>
        <v>15</v>
      </c>
      <c r="M104">
        <f t="shared" si="61"/>
        <v>3.5735603652205905E-2</v>
      </c>
      <c r="N104">
        <f t="shared" si="62"/>
        <v>-1.5707963250000001</v>
      </c>
      <c r="O104">
        <f t="shared" si="63"/>
        <v>6.9456974536543576</v>
      </c>
      <c r="P104">
        <f t="shared" si="64"/>
        <v>1.4263202121143272</v>
      </c>
      <c r="Q104">
        <f t="shared" si="65"/>
        <v>6.0576654160392502</v>
      </c>
      <c r="R104">
        <f t="shared" si="66"/>
        <v>1.4049571039077711</v>
      </c>
      <c r="S104">
        <f t="shared" si="67"/>
        <v>0.98603578432944394</v>
      </c>
      <c r="T104">
        <f t="shared" si="68"/>
        <v>-0.16731310245050723</v>
      </c>
      <c r="U104">
        <f t="shared" si="69"/>
        <v>0.98567280708137406</v>
      </c>
      <c r="V104">
        <f t="shared" si="70"/>
        <v>-0.16947882251607532</v>
      </c>
      <c r="X104">
        <f t="shared" si="87"/>
        <v>-4.9421730973619765E-2</v>
      </c>
      <c r="Y104">
        <f t="shared" si="71"/>
        <v>-124.28366071429053</v>
      </c>
      <c r="Z104">
        <f t="shared" si="88"/>
        <v>55.716339285709466</v>
      </c>
      <c r="AC104">
        <v>1</v>
      </c>
      <c r="AD104">
        <f t="shared" si="72"/>
        <v>6.8733334793025005</v>
      </c>
      <c r="AE104">
        <f t="shared" si="73"/>
        <v>-1.8138299709243556E-4</v>
      </c>
      <c r="AF104">
        <f t="shared" si="74"/>
        <v>1.0599733601099998E-3</v>
      </c>
      <c r="AG104">
        <f t="shared" si="89"/>
        <v>6143.1176860981423</v>
      </c>
      <c r="AH104">
        <f t="shared" si="90"/>
        <v>-1994.6322963971656</v>
      </c>
      <c r="AJ104">
        <f t="shared" si="75"/>
        <v>26400</v>
      </c>
      <c r="AK104">
        <f t="shared" si="76"/>
        <v>4458.7493508096004</v>
      </c>
      <c r="AL104">
        <v>1</v>
      </c>
      <c r="AM104">
        <f t="shared" si="77"/>
        <v>5.974555238064001</v>
      </c>
      <c r="AN104">
        <f t="shared" si="91"/>
        <v>1445.3902655696338</v>
      </c>
      <c r="AO104">
        <f t="shared" si="92"/>
        <v>-4176.8146313961734</v>
      </c>
      <c r="AQ104">
        <f t="shared" si="78"/>
        <v>2.0403999183840034</v>
      </c>
      <c r="AR104">
        <f t="shared" si="79"/>
        <v>-142.82799428688023</v>
      </c>
      <c r="AT104">
        <f t="shared" si="104"/>
        <v>-272354.91340890317</v>
      </c>
      <c r="AU104">
        <f t="shared" si="105"/>
        <v>-881479.02534843318</v>
      </c>
      <c r="AV104">
        <f t="shared" si="93"/>
        <v>-1.8704665214041447</v>
      </c>
      <c r="AW104">
        <f t="shared" si="94"/>
        <v>-585685.87846391136</v>
      </c>
      <c r="AX104">
        <f t="shared" si="95"/>
        <v>-238974.56546532028</v>
      </c>
      <c r="AY104">
        <f t="shared" si="103"/>
        <v>-2.7541872494373094</v>
      </c>
      <c r="BA104">
        <f t="shared" si="80"/>
        <v>1.4585022153564382</v>
      </c>
      <c r="BB104">
        <f t="shared" si="96"/>
        <v>3.2781418623856897</v>
      </c>
      <c r="BC104">
        <f t="shared" si="97"/>
        <v>0.8837207280331647</v>
      </c>
      <c r="BD104">
        <f t="shared" si="81"/>
        <v>-129.36653195761403</v>
      </c>
      <c r="BF104">
        <f t="shared" si="82"/>
        <v>-6.6234238564242653E-2</v>
      </c>
      <c r="BG104">
        <f t="shared" si="83"/>
        <v>-126.57367779974022</v>
      </c>
      <c r="BH104">
        <f t="shared" si="98"/>
        <v>53.426322200259776</v>
      </c>
      <c r="BI104">
        <f t="shared" si="99"/>
        <v>53.426322200259776</v>
      </c>
      <c r="BJ104">
        <f t="shared" si="84"/>
        <v>0</v>
      </c>
      <c r="BK104">
        <f t="shared" si="100"/>
        <v>0</v>
      </c>
      <c r="BM104">
        <f t="shared" si="101"/>
        <v>-3.3443761009499307</v>
      </c>
      <c r="BN104">
        <f t="shared" si="85"/>
        <v>-177.20714584212618</v>
      </c>
      <c r="BQ104" s="56">
        <f t="shared" si="102"/>
        <v>20.180102662670826</v>
      </c>
      <c r="BR104" s="59"/>
      <c r="BS104" s="59"/>
      <c r="BT104" s="59">
        <v>870.96400000000006</v>
      </c>
      <c r="BU104" s="59">
        <v>16.106100000000001</v>
      </c>
      <c r="BV104" s="59">
        <v>-261.76800000000003</v>
      </c>
      <c r="BW104" s="61"/>
      <c r="BY104" s="59"/>
      <c r="BZ104" s="59"/>
      <c r="CA104" s="59"/>
      <c r="CC104" s="59"/>
    </row>
    <row r="105" spans="1:81" x14ac:dyDescent="0.2">
      <c r="A105">
        <f t="shared" si="106"/>
        <v>35500</v>
      </c>
      <c r="B105">
        <f t="shared" si="86"/>
        <v>35.5</v>
      </c>
      <c r="C105">
        <f t="shared" si="55"/>
        <v>1.0000095564482803</v>
      </c>
      <c r="D105">
        <f t="shared" si="56"/>
        <v>4.3718124790823078E-3</v>
      </c>
      <c r="F105">
        <f t="shared" si="57"/>
        <v>4.4037919420909219E-2</v>
      </c>
      <c r="G105">
        <f t="shared" si="58"/>
        <v>4.3753704281570258E-2</v>
      </c>
      <c r="H105">
        <f t="shared" si="59"/>
        <v>-3.0978389457184301</v>
      </c>
      <c r="J105">
        <f t="shared" si="60"/>
        <v>15</v>
      </c>
      <c r="M105">
        <f t="shared" si="61"/>
        <v>3.5232285290907231E-2</v>
      </c>
      <c r="N105">
        <f t="shared" si="62"/>
        <v>-1.5707963250000001</v>
      </c>
      <c r="O105">
        <f t="shared" si="63"/>
        <v>7.0428791194430929</v>
      </c>
      <c r="P105">
        <f t="shared" si="64"/>
        <v>1.4283274718388161</v>
      </c>
      <c r="Q105">
        <f t="shared" si="65"/>
        <v>6.1418613675532265</v>
      </c>
      <c r="R105">
        <f t="shared" si="66"/>
        <v>1.4072511525909122</v>
      </c>
      <c r="S105">
        <f t="shared" si="67"/>
        <v>0.98564256986432586</v>
      </c>
      <c r="T105">
        <f t="shared" si="68"/>
        <v>-0.16965799862904102</v>
      </c>
      <c r="U105">
        <f t="shared" si="69"/>
        <v>0.98526960008247255</v>
      </c>
      <c r="V105">
        <f t="shared" si="70"/>
        <v>-0.17185288338454988</v>
      </c>
      <c r="X105">
        <f t="shared" si="87"/>
        <v>-0.1962440970608936</v>
      </c>
      <c r="Y105">
        <f t="shared" si="71"/>
        <v>-124.34305537612515</v>
      </c>
      <c r="Z105">
        <f t="shared" si="88"/>
        <v>55.65694462387485</v>
      </c>
      <c r="AC105">
        <v>1</v>
      </c>
      <c r="AD105">
        <f t="shared" si="72"/>
        <v>6.9715239575782499</v>
      </c>
      <c r="AE105">
        <f t="shared" si="73"/>
        <v>-1.8660238537611588E-4</v>
      </c>
      <c r="AF105">
        <f t="shared" si="74"/>
        <v>1.075115836683E-3</v>
      </c>
      <c r="AG105">
        <f t="shared" si="89"/>
        <v>6138.092810889073</v>
      </c>
      <c r="AH105">
        <f t="shared" si="90"/>
        <v>-1995.4898690646482</v>
      </c>
      <c r="AJ105">
        <f t="shared" si="75"/>
        <v>26400</v>
      </c>
      <c r="AK105">
        <f t="shared" si="76"/>
        <v>4522.4457701068804</v>
      </c>
      <c r="AL105">
        <v>1</v>
      </c>
      <c r="AM105">
        <f t="shared" si="77"/>
        <v>6.0599060271792009</v>
      </c>
      <c r="AN105">
        <f t="shared" si="91"/>
        <v>1426.3543488529788</v>
      </c>
      <c r="AO105">
        <f t="shared" si="92"/>
        <v>-4121.1275454005499</v>
      </c>
      <c r="AQ105">
        <f t="shared" si="78"/>
        <v>1.9833399444664817</v>
      </c>
      <c r="AR105">
        <f t="shared" si="79"/>
        <v>-140.81713605712019</v>
      </c>
      <c r="AT105">
        <f t="shared" si="104"/>
        <v>-268825.24373800267</v>
      </c>
      <c r="AU105">
        <f t="shared" si="105"/>
        <v>-868306.385248292</v>
      </c>
      <c r="AV105">
        <f t="shared" si="93"/>
        <v>-1.8710344893126667</v>
      </c>
      <c r="AW105">
        <f t="shared" si="94"/>
        <v>-569599.84361181385</v>
      </c>
      <c r="AX105">
        <f t="shared" si="95"/>
        <v>-232734.18558210201</v>
      </c>
      <c r="AY105">
        <f t="shared" si="103"/>
        <v>-2.7537010236801112</v>
      </c>
      <c r="BA105">
        <f t="shared" si="80"/>
        <v>1.4772468276847401</v>
      </c>
      <c r="BB105">
        <f t="shared" si="96"/>
        <v>3.3890613205312348</v>
      </c>
      <c r="BC105">
        <f t="shared" si="97"/>
        <v>0.88266653436744447</v>
      </c>
      <c r="BD105">
        <f t="shared" si="81"/>
        <v>-129.42693280551825</v>
      </c>
      <c r="BF105">
        <f t="shared" si="82"/>
        <v>-0.21249464316130368</v>
      </c>
      <c r="BG105">
        <f t="shared" si="83"/>
        <v>-126.66954380509598</v>
      </c>
      <c r="BH105">
        <f t="shared" si="98"/>
        <v>53.330456194904016</v>
      </c>
      <c r="BI105">
        <f t="shared" si="99"/>
        <v>53.330456194904016</v>
      </c>
      <c r="BJ105">
        <f t="shared" si="84"/>
        <v>0</v>
      </c>
      <c r="BK105">
        <f t="shared" si="100"/>
        <v>0</v>
      </c>
      <c r="BM105">
        <f t="shared" si="101"/>
        <v>-3.6015559636925381</v>
      </c>
      <c r="BN105">
        <f t="shared" si="85"/>
        <v>-177.24261099957775</v>
      </c>
      <c r="BQ105" s="56">
        <f t="shared" si="102"/>
        <v>20.291022120816372</v>
      </c>
      <c r="BR105" s="59"/>
      <c r="BS105" s="59"/>
      <c r="BT105" s="59">
        <v>891.25099999999998</v>
      </c>
      <c r="BU105" s="59">
        <v>15.882400000000001</v>
      </c>
      <c r="BV105" s="59">
        <v>-261.38310000000001</v>
      </c>
      <c r="BW105" s="61"/>
      <c r="BY105" s="59"/>
      <c r="BZ105" s="59"/>
      <c r="CA105" s="59"/>
      <c r="CC105" s="59"/>
    </row>
    <row r="106" spans="1:81" x14ac:dyDescent="0.2">
      <c r="A106">
        <f t="shared" si="106"/>
        <v>36000</v>
      </c>
      <c r="B106">
        <f t="shared" si="86"/>
        <v>36</v>
      </c>
      <c r="C106">
        <f t="shared" si="55"/>
        <v>1.000009827538419</v>
      </c>
      <c r="D106">
        <f t="shared" si="56"/>
        <v>4.4333865015054024E-3</v>
      </c>
      <c r="F106">
        <f t="shared" si="57"/>
        <v>4.2772327445745571E-2</v>
      </c>
      <c r="G106">
        <f t="shared" si="58"/>
        <v>4.3094408127000543E-2</v>
      </c>
      <c r="H106">
        <f t="shared" si="59"/>
        <v>-3.0984982418729996</v>
      </c>
      <c r="J106">
        <f t="shared" si="60"/>
        <v>15</v>
      </c>
      <c r="M106">
        <f t="shared" si="61"/>
        <v>3.4742947995200189E-2</v>
      </c>
      <c r="N106">
        <f t="shared" si="62"/>
        <v>-1.5707963250000001</v>
      </c>
      <c r="O106">
        <f t="shared" si="63"/>
        <v>7.1400883891253377</v>
      </c>
      <c r="P106">
        <f t="shared" si="64"/>
        <v>1.4302800832764566</v>
      </c>
      <c r="Q106">
        <f t="shared" si="65"/>
        <v>6.2260887672930583</v>
      </c>
      <c r="R106">
        <f t="shared" si="66"/>
        <v>1.4094831443339546</v>
      </c>
      <c r="S106">
        <f t="shared" si="67"/>
        <v>0.98524425797986781</v>
      </c>
      <c r="T106">
        <f t="shared" si="68"/>
        <v>-0.17200101247172087</v>
      </c>
      <c r="U106">
        <f t="shared" si="69"/>
        <v>0.98486117881214019</v>
      </c>
      <c r="V106">
        <f t="shared" si="70"/>
        <v>-0.17422498938674885</v>
      </c>
      <c r="X106">
        <f t="shared" si="87"/>
        <v>-0.34074192278260962</v>
      </c>
      <c r="Y106">
        <f t="shared" si="71"/>
        <v>-124.40769869751236</v>
      </c>
      <c r="Z106">
        <f t="shared" si="88"/>
        <v>55.592301302487641</v>
      </c>
      <c r="AC106">
        <v>1</v>
      </c>
      <c r="AD106">
        <f t="shared" si="72"/>
        <v>7.0697144358539994</v>
      </c>
      <c r="AE106">
        <f t="shared" si="73"/>
        <v>-1.9189580753616042E-4</v>
      </c>
      <c r="AF106">
        <f t="shared" si="74"/>
        <v>1.0902583132559999E-3</v>
      </c>
      <c r="AG106">
        <f t="shared" si="89"/>
        <v>6133.0050500002853</v>
      </c>
      <c r="AH106">
        <f t="shared" si="90"/>
        <v>-1996.6809060065425</v>
      </c>
      <c r="AJ106">
        <f t="shared" si="75"/>
        <v>26400</v>
      </c>
      <c r="AK106">
        <f t="shared" si="76"/>
        <v>4586.1421894041605</v>
      </c>
      <c r="AL106">
        <v>1</v>
      </c>
      <c r="AM106">
        <f t="shared" si="77"/>
        <v>6.1452568162944008</v>
      </c>
      <c r="AN106">
        <f t="shared" si="91"/>
        <v>1408.078789893716</v>
      </c>
      <c r="AO106">
        <f t="shared" si="92"/>
        <v>-4066.8635920697702</v>
      </c>
      <c r="AQ106">
        <f t="shared" si="78"/>
        <v>1.9286403085824493</v>
      </c>
      <c r="AR106">
        <f t="shared" si="79"/>
        <v>-138.86210221793635</v>
      </c>
      <c r="AT106">
        <f t="shared" si="104"/>
        <v>-265434.94731431198</v>
      </c>
      <c r="AU106">
        <f t="shared" si="105"/>
        <v>-855492.85343496059</v>
      </c>
      <c r="AV106">
        <f t="shared" si="93"/>
        <v>-1.8716495637691182</v>
      </c>
      <c r="AW106">
        <f t="shared" si="94"/>
        <v>-554154.26307190477</v>
      </c>
      <c r="AX106">
        <f t="shared" si="95"/>
        <v>-226781.82926797765</v>
      </c>
      <c r="AY106">
        <f t="shared" si="103"/>
        <v>-2.7531466292435658</v>
      </c>
      <c r="BA106">
        <f t="shared" si="80"/>
        <v>1.4959599816028264</v>
      </c>
      <c r="BB106">
        <f t="shared" si="96"/>
        <v>3.4983995176072473</v>
      </c>
      <c r="BC106">
        <f t="shared" si="97"/>
        <v>0.88149706547444762</v>
      </c>
      <c r="BD106">
        <f t="shared" si="81"/>
        <v>-129.49393843743536</v>
      </c>
      <c r="BF106">
        <f t="shared" si="82"/>
        <v>-0.35643228222638818</v>
      </c>
      <c r="BG106">
        <f t="shared" si="83"/>
        <v>-126.77079639254576</v>
      </c>
      <c r="BH106">
        <f t="shared" si="98"/>
        <v>53.229203607454238</v>
      </c>
      <c r="BI106">
        <f t="shared" si="99"/>
        <v>53.229203607454238</v>
      </c>
      <c r="BJ106">
        <f t="shared" si="84"/>
        <v>0</v>
      </c>
      <c r="BK106">
        <f t="shared" si="100"/>
        <v>0</v>
      </c>
      <c r="BM106">
        <f t="shared" si="101"/>
        <v>-3.8548317998336348</v>
      </c>
      <c r="BN106">
        <f t="shared" si="85"/>
        <v>-177.27685795511042</v>
      </c>
      <c r="BQ106" s="56">
        <f t="shared" si="102"/>
        <v>20.400360317892385</v>
      </c>
      <c r="BR106" s="59"/>
      <c r="BS106" s="59"/>
      <c r="BT106" s="59">
        <v>912.01099999999997</v>
      </c>
      <c r="BU106" s="59">
        <v>15.6715</v>
      </c>
      <c r="BV106" s="59">
        <v>-261.74869999999999</v>
      </c>
      <c r="BW106" s="61"/>
      <c r="BY106" s="59"/>
      <c r="BZ106" s="59"/>
      <c r="CA106" s="59"/>
      <c r="CC106" s="59"/>
    </row>
    <row r="107" spans="1:81" x14ac:dyDescent="0.2">
      <c r="A107">
        <f t="shared" si="106"/>
        <v>36500</v>
      </c>
      <c r="B107">
        <f t="shared" si="86"/>
        <v>36.5</v>
      </c>
      <c r="C107">
        <f t="shared" si="55"/>
        <v>1.000010102419953</v>
      </c>
      <c r="D107">
        <f t="shared" si="56"/>
        <v>4.4949604903111642E-3</v>
      </c>
      <c r="F107">
        <f t="shared" si="57"/>
        <v>4.1561205240788122E-2</v>
      </c>
      <c r="G107">
        <f t="shared" si="58"/>
        <v>4.2455364779789499E-2</v>
      </c>
      <c r="H107">
        <f t="shared" si="59"/>
        <v>-3.0991372852202108</v>
      </c>
      <c r="J107">
        <f t="shared" si="60"/>
        <v>15</v>
      </c>
      <c r="M107">
        <f t="shared" si="61"/>
        <v>3.4267017200745389E-2</v>
      </c>
      <c r="N107">
        <f t="shared" si="62"/>
        <v>-1.5707963250000001</v>
      </c>
      <c r="O107">
        <f t="shared" si="63"/>
        <v>7.2373241504029249</v>
      </c>
      <c r="P107">
        <f t="shared" si="64"/>
        <v>1.432180233880948</v>
      </c>
      <c r="Q107">
        <f t="shared" si="65"/>
        <v>6.310346355992511</v>
      </c>
      <c r="R107">
        <f t="shared" si="66"/>
        <v>1.4116555422478312</v>
      </c>
      <c r="S107">
        <f t="shared" si="67"/>
        <v>0.98484086796493453</v>
      </c>
      <c r="T107">
        <f t="shared" si="68"/>
        <v>-0.17434212055044682</v>
      </c>
      <c r="U107">
        <f t="shared" si="69"/>
        <v>0.98444756353210838</v>
      </c>
      <c r="V107">
        <f t="shared" si="70"/>
        <v>-0.17659511627430974</v>
      </c>
      <c r="X107">
        <f t="shared" si="87"/>
        <v>-0.48300090936249379</v>
      </c>
      <c r="Y107">
        <f t="shared" si="71"/>
        <v>-124.4773792925247</v>
      </c>
      <c r="Z107">
        <f t="shared" si="88"/>
        <v>55.522620707475298</v>
      </c>
      <c r="AC107">
        <v>1</v>
      </c>
      <c r="AD107">
        <f t="shared" si="72"/>
        <v>7.1679049141297506</v>
      </c>
      <c r="AE107">
        <f t="shared" si="73"/>
        <v>-1.9726326357256922E-4</v>
      </c>
      <c r="AF107">
        <f t="shared" si="74"/>
        <v>1.105400789829E-3</v>
      </c>
      <c r="AG107">
        <f t="shared" si="89"/>
        <v>6127.8547364702026</v>
      </c>
      <c r="AH107">
        <f t="shared" si="90"/>
        <v>-1998.189836969837</v>
      </c>
      <c r="AJ107">
        <f t="shared" si="75"/>
        <v>26400</v>
      </c>
      <c r="AK107">
        <f t="shared" si="76"/>
        <v>4649.8386087014405</v>
      </c>
      <c r="AL107">
        <v>1</v>
      </c>
      <c r="AM107">
        <f t="shared" si="77"/>
        <v>6.2306076054096007</v>
      </c>
      <c r="AN107">
        <f t="shared" si="91"/>
        <v>1390.5239748403692</v>
      </c>
      <c r="AO107">
        <f t="shared" si="92"/>
        <v>-4013.9706444433523</v>
      </c>
      <c r="AQ107">
        <f t="shared" si="78"/>
        <v>1.876172607879925</v>
      </c>
      <c r="AR107">
        <f t="shared" si="79"/>
        <v>-136.96060037523452</v>
      </c>
      <c r="AT107">
        <f t="shared" si="104"/>
        <v>-262176.36653344816</v>
      </c>
      <c r="AU107">
        <f t="shared" si="105"/>
        <v>-843023.61275665031</v>
      </c>
      <c r="AV107">
        <f t="shared" si="93"/>
        <v>-1.8723097626102891</v>
      </c>
      <c r="AW107">
        <f t="shared" si="94"/>
        <v>-539315.92916191032</v>
      </c>
      <c r="AX107">
        <f t="shared" si="95"/>
        <v>-221099.78562126734</v>
      </c>
      <c r="AY107">
        <f t="shared" si="103"/>
        <v>-2.7525267659859729</v>
      </c>
      <c r="BA107">
        <f t="shared" si="80"/>
        <v>1.5146404782506209</v>
      </c>
      <c r="BB107">
        <f t="shared" si="96"/>
        <v>3.6061911803142914</v>
      </c>
      <c r="BC107">
        <f t="shared" si="97"/>
        <v>0.88021700337568376</v>
      </c>
      <c r="BD107">
        <f t="shared" si="81"/>
        <v>-129.56728059329299</v>
      </c>
      <c r="BF107">
        <f t="shared" si="82"/>
        <v>-0.49813322549586286</v>
      </c>
      <c r="BG107">
        <f t="shared" si="83"/>
        <v>-126.87722510547599</v>
      </c>
      <c r="BH107">
        <f t="shared" si="98"/>
        <v>53.122774894524014</v>
      </c>
      <c r="BI107">
        <f t="shared" si="99"/>
        <v>53.122774894524014</v>
      </c>
      <c r="BJ107">
        <f t="shared" si="84"/>
        <v>0</v>
      </c>
      <c r="BK107">
        <f t="shared" si="100"/>
        <v>0</v>
      </c>
      <c r="BM107">
        <f t="shared" si="101"/>
        <v>-4.1043244058101553</v>
      </c>
      <c r="BN107">
        <f t="shared" si="85"/>
        <v>-177.30994451218299</v>
      </c>
      <c r="BQ107" s="56">
        <f t="shared" si="102"/>
        <v>20.508151980599429</v>
      </c>
      <c r="BR107" s="59"/>
      <c r="BS107" s="59"/>
      <c r="BT107" s="59">
        <v>933.25400000000002</v>
      </c>
      <c r="BU107" s="59">
        <v>15.471399999999999</v>
      </c>
      <c r="BV107" s="59">
        <v>-261.20730000000003</v>
      </c>
      <c r="BW107" s="61"/>
      <c r="BY107" s="59"/>
      <c r="BZ107" s="59"/>
      <c r="CA107" s="59"/>
      <c r="CC107" s="59"/>
    </row>
    <row r="108" spans="1:81" x14ac:dyDescent="0.2">
      <c r="A108">
        <f t="shared" si="106"/>
        <v>37000</v>
      </c>
      <c r="B108">
        <f t="shared" si="86"/>
        <v>37</v>
      </c>
      <c r="C108">
        <f t="shared" si="55"/>
        <v>1.0000103810928795</v>
      </c>
      <c r="D108">
        <f t="shared" si="56"/>
        <v>4.5565344450327243E-3</v>
      </c>
      <c r="F108">
        <f t="shared" si="57"/>
        <v>4.0401434665594663E-2</v>
      </c>
      <c r="G108">
        <f t="shared" si="58"/>
        <v>4.1835629559777196E-2</v>
      </c>
      <c r="H108">
        <f t="shared" si="59"/>
        <v>-3.0997570204402232</v>
      </c>
      <c r="J108">
        <f t="shared" si="60"/>
        <v>15</v>
      </c>
      <c r="M108">
        <f t="shared" si="61"/>
        <v>3.3803949400735313E-2</v>
      </c>
      <c r="N108">
        <f t="shared" si="62"/>
        <v>-1.5707963250000001</v>
      </c>
      <c r="O108">
        <f t="shared" si="63"/>
        <v>7.3345853496660904</v>
      </c>
      <c r="P108">
        <f t="shared" si="64"/>
        <v>1.4340299966411671</v>
      </c>
      <c r="Q108">
        <f t="shared" si="65"/>
        <v>6.3946329403155184</v>
      </c>
      <c r="R108">
        <f t="shared" si="66"/>
        <v>1.4137706819004909</v>
      </c>
      <c r="S108">
        <f t="shared" si="67"/>
        <v>0.98443241931142245</v>
      </c>
      <c r="T108">
        <f t="shared" si="68"/>
        <v>-0.17668129955877432</v>
      </c>
      <c r="U108">
        <f t="shared" si="69"/>
        <v>0.98402877471556038</v>
      </c>
      <c r="V108">
        <f t="shared" si="70"/>
        <v>-0.17896323992825489</v>
      </c>
      <c r="X108">
        <f t="shared" si="87"/>
        <v>-0.62310219030731884</v>
      </c>
      <c r="Y108">
        <f t="shared" si="71"/>
        <v>-124.55189597839845</v>
      </c>
      <c r="Z108">
        <f t="shared" si="88"/>
        <v>55.448104021601551</v>
      </c>
      <c r="AC108">
        <v>1</v>
      </c>
      <c r="AD108">
        <f t="shared" si="72"/>
        <v>7.2660953924055001</v>
      </c>
      <c r="AE108">
        <f t="shared" si="73"/>
        <v>-2.0270475348534226E-4</v>
      </c>
      <c r="AF108">
        <f t="shared" si="74"/>
        <v>1.120543266402E-3</v>
      </c>
      <c r="AG108">
        <f t="shared" si="89"/>
        <v>6122.6422065707993</v>
      </c>
      <c r="AH108">
        <f t="shared" si="90"/>
        <v>-2000.0019154618572</v>
      </c>
      <c r="AJ108">
        <f t="shared" si="75"/>
        <v>26400</v>
      </c>
      <c r="AK108">
        <f t="shared" si="76"/>
        <v>4713.5350279987206</v>
      </c>
      <c r="AL108">
        <v>1</v>
      </c>
      <c r="AM108">
        <f t="shared" si="77"/>
        <v>6.3159583945248015</v>
      </c>
      <c r="AN108">
        <f t="shared" si="91"/>
        <v>1373.6528139751972</v>
      </c>
      <c r="AO108">
        <f t="shared" si="92"/>
        <v>-3962.3989935905406</v>
      </c>
      <c r="AQ108">
        <f t="shared" si="78"/>
        <v>1.8258170531312763</v>
      </c>
      <c r="AR108">
        <f t="shared" si="79"/>
        <v>-135.11046193171444</v>
      </c>
      <c r="AT108">
        <f t="shared" si="104"/>
        <v>-259042.35811138694</v>
      </c>
      <c r="AU108">
        <f t="shared" si="105"/>
        <v>-830884.65437593753</v>
      </c>
      <c r="AV108">
        <f t="shared" si="93"/>
        <v>-1.8730132058635527</v>
      </c>
      <c r="AW108">
        <f t="shared" si="94"/>
        <v>-525053.73767901084</v>
      </c>
      <c r="AX108">
        <f t="shared" si="95"/>
        <v>-215671.67002819915</v>
      </c>
      <c r="AY108">
        <f t="shared" si="103"/>
        <v>-2.7518439944602919</v>
      </c>
      <c r="BA108">
        <f t="shared" si="80"/>
        <v>1.5332871512479038</v>
      </c>
      <c r="BB108">
        <f t="shared" si="96"/>
        <v>3.7124699271480877</v>
      </c>
      <c r="BC108">
        <f t="shared" si="97"/>
        <v>0.87883078859673924</v>
      </c>
      <c r="BD108">
        <f t="shared" si="81"/>
        <v>-129.64670484971595</v>
      </c>
      <c r="BF108">
        <f t="shared" si="82"/>
        <v>-0.6376789772600262</v>
      </c>
      <c r="BG108">
        <f t="shared" si="83"/>
        <v>-126.98862964672431</v>
      </c>
      <c r="BH108">
        <f t="shared" si="98"/>
        <v>53.011370353275694</v>
      </c>
      <c r="BI108">
        <f t="shared" si="99"/>
        <v>53.011370353275694</v>
      </c>
      <c r="BJ108">
        <f t="shared" si="84"/>
        <v>0</v>
      </c>
      <c r="BK108">
        <f t="shared" si="100"/>
        <v>0</v>
      </c>
      <c r="BM108">
        <f t="shared" si="101"/>
        <v>-4.3501489044081136</v>
      </c>
      <c r="BN108">
        <f t="shared" si="85"/>
        <v>-177.34192479700837</v>
      </c>
      <c r="BQ108" s="56">
        <f t="shared" si="102"/>
        <v>20.614430727433223</v>
      </c>
      <c r="BR108" s="59"/>
      <c r="BS108" s="59"/>
      <c r="BT108" s="59">
        <v>954.99300000000005</v>
      </c>
      <c r="BU108" s="59">
        <v>15.352499999999999</v>
      </c>
      <c r="BV108" s="59">
        <v>-261.26609999999999</v>
      </c>
      <c r="BW108" s="61"/>
      <c r="BY108" s="59"/>
      <c r="BZ108" s="59"/>
      <c r="CA108" s="59"/>
      <c r="CC108" s="59"/>
    </row>
    <row r="109" spans="1:81" x14ac:dyDescent="0.2">
      <c r="A109">
        <f t="shared" si="106"/>
        <v>37500</v>
      </c>
      <c r="B109">
        <f t="shared" si="86"/>
        <v>37.5</v>
      </c>
      <c r="C109">
        <f t="shared" si="55"/>
        <v>1.000010663557195</v>
      </c>
      <c r="D109">
        <f t="shared" si="56"/>
        <v>4.6181083652032133E-3</v>
      </c>
      <c r="F109">
        <f t="shared" si="57"/>
        <v>3.9290119955917552E-2</v>
      </c>
      <c r="G109">
        <f t="shared" si="58"/>
        <v>4.1234316864899312E-2</v>
      </c>
      <c r="H109">
        <f t="shared" si="59"/>
        <v>-3.1003583331351008</v>
      </c>
      <c r="J109">
        <f t="shared" si="60"/>
        <v>15</v>
      </c>
      <c r="M109">
        <f t="shared" si="61"/>
        <v>3.3353230075392176E-2</v>
      </c>
      <c r="N109">
        <f t="shared" si="62"/>
        <v>-1.5707963250000001</v>
      </c>
      <c r="O109">
        <f t="shared" si="63"/>
        <v>7.4318709881910294</v>
      </c>
      <c r="P109">
        <f t="shared" si="64"/>
        <v>1.4358313374238389</v>
      </c>
      <c r="Q109">
        <f t="shared" si="65"/>
        <v>6.4789473886236957</v>
      </c>
      <c r="R109">
        <f t="shared" si="66"/>
        <v>1.4158307793959237</v>
      </c>
      <c r="S109">
        <f t="shared" si="67"/>
        <v>0.98401893171175492</v>
      </c>
      <c r="T109">
        <f t="shared" si="68"/>
        <v>-0.17901852631309356</v>
      </c>
      <c r="U109">
        <f t="shared" si="69"/>
        <v>0.98360483304444124</v>
      </c>
      <c r="V109">
        <f t="shared" si="70"/>
        <v>-0.1813293363602316</v>
      </c>
      <c r="X109">
        <f t="shared" si="87"/>
        <v>-0.76112264880061886</v>
      </c>
      <c r="Y109">
        <f t="shared" si="71"/>
        <v>-124.63105718439428</v>
      </c>
      <c r="Z109">
        <f t="shared" si="88"/>
        <v>55.36894281560572</v>
      </c>
      <c r="AC109">
        <v>1</v>
      </c>
      <c r="AD109">
        <f t="shared" si="72"/>
        <v>7.3642858706812504</v>
      </c>
      <c r="AE109">
        <f t="shared" si="73"/>
        <v>-2.0822027727447962E-4</v>
      </c>
      <c r="AF109">
        <f t="shared" si="74"/>
        <v>1.1356857429749999E-3</v>
      </c>
      <c r="AG109">
        <f t="shared" si="89"/>
        <v>6117.3677997551749</v>
      </c>
      <c r="AH109">
        <f t="shared" si="90"/>
        <v>-2002.1031641189215</v>
      </c>
      <c r="AJ109">
        <f t="shared" si="75"/>
        <v>26400</v>
      </c>
      <c r="AK109">
        <f t="shared" si="76"/>
        <v>4777.2314472960006</v>
      </c>
      <c r="AL109">
        <v>1</v>
      </c>
      <c r="AM109">
        <f t="shared" si="77"/>
        <v>6.4013091836400013</v>
      </c>
      <c r="AN109">
        <f t="shared" si="91"/>
        <v>1357.4305528646523</v>
      </c>
      <c r="AO109">
        <f t="shared" si="92"/>
        <v>-3912.1012169100218</v>
      </c>
      <c r="AQ109">
        <f t="shared" si="78"/>
        <v>1.7774617845716316</v>
      </c>
      <c r="AR109">
        <f t="shared" si="79"/>
        <v>-133.30963384287239</v>
      </c>
      <c r="AT109">
        <f t="shared" si="104"/>
        <v>-256026.25223811579</v>
      </c>
      <c r="AU109">
        <f t="shared" si="105"/>
        <v>-819062.7233305315</v>
      </c>
      <c r="AV109">
        <f t="shared" si="93"/>
        <v>-1.8737581092320399</v>
      </c>
      <c r="AW109">
        <f t="shared" si="94"/>
        <v>-511338.53166587814</v>
      </c>
      <c r="AX109">
        <f t="shared" si="95"/>
        <v>-210482.30852264632</v>
      </c>
      <c r="AY109">
        <f t="shared" si="103"/>
        <v>-2.7511007448188738</v>
      </c>
      <c r="BA109">
        <f t="shared" si="80"/>
        <v>1.551898864678575</v>
      </c>
      <c r="BB109">
        <f t="shared" si="96"/>
        <v>3.8172683082478116</v>
      </c>
      <c r="BC109">
        <f t="shared" si="97"/>
        <v>0.8773426355868339</v>
      </c>
      <c r="BD109">
        <f t="shared" si="81"/>
        <v>-129.73196973655064</v>
      </c>
      <c r="BF109">
        <f t="shared" si="82"/>
        <v>-0.77514679365049033</v>
      </c>
      <c r="BG109">
        <f t="shared" si="83"/>
        <v>-127.10481928742462</v>
      </c>
      <c r="BH109">
        <f t="shared" si="98"/>
        <v>52.895180712575382</v>
      </c>
      <c r="BI109">
        <f t="shared" si="99"/>
        <v>52.895180712575382</v>
      </c>
      <c r="BJ109">
        <f t="shared" si="84"/>
        <v>0</v>
      </c>
      <c r="BK109">
        <f t="shared" si="100"/>
        <v>0</v>
      </c>
      <c r="BM109">
        <f t="shared" si="101"/>
        <v>-4.592415101898303</v>
      </c>
      <c r="BN109">
        <f t="shared" si="85"/>
        <v>-177.37284955087398</v>
      </c>
      <c r="BQ109" s="56">
        <f t="shared" si="102"/>
        <v>20.71922910853295</v>
      </c>
      <c r="BR109" s="59"/>
      <c r="BS109" s="59"/>
      <c r="BT109" s="59">
        <v>977.23699999999997</v>
      </c>
      <c r="BU109" s="59">
        <v>15.0807</v>
      </c>
      <c r="BV109" s="59">
        <v>-260.93240000000003</v>
      </c>
      <c r="BW109" s="61"/>
      <c r="BY109" s="59"/>
      <c r="BZ109" s="59"/>
      <c r="CA109" s="59"/>
      <c r="CC109" s="59"/>
    </row>
    <row r="110" spans="1:81" x14ac:dyDescent="0.2">
      <c r="A110">
        <f t="shared" si="106"/>
        <v>38000</v>
      </c>
      <c r="B110">
        <f t="shared" si="86"/>
        <v>38</v>
      </c>
      <c r="C110">
        <f t="shared" si="55"/>
        <v>1.0000109498128966</v>
      </c>
      <c r="D110">
        <f t="shared" si="56"/>
        <v>4.6796822503557649E-3</v>
      </c>
      <c r="F110">
        <f t="shared" si="57"/>
        <v>3.8224568774262627E-2</v>
      </c>
      <c r="G110">
        <f t="shared" si="58"/>
        <v>4.0650595553576398E-2</v>
      </c>
      <c r="H110">
        <f t="shared" si="59"/>
        <v>-3.1009420544464237</v>
      </c>
      <c r="J110">
        <f t="shared" si="60"/>
        <v>15</v>
      </c>
      <c r="M110">
        <f t="shared" si="61"/>
        <v>3.291437178492649E-2</v>
      </c>
      <c r="N110">
        <f t="shared" si="62"/>
        <v>-1.5707963250000001</v>
      </c>
      <c r="O110">
        <f t="shared" si="63"/>
        <v>7.5291801186279645</v>
      </c>
      <c r="P110">
        <f t="shared" si="64"/>
        <v>1.4375861217617893</v>
      </c>
      <c r="Q110">
        <f t="shared" si="65"/>
        <v>6.56328862706376</v>
      </c>
      <c r="R110">
        <f t="shared" si="66"/>
        <v>1.4178379388521596</v>
      </c>
      <c r="S110">
        <f t="shared" si="67"/>
        <v>0.9836004250563597</v>
      </c>
      <c r="T110">
        <f t="shared" si="68"/>
        <v>-0.18135377775378986</v>
      </c>
      <c r="U110">
        <f t="shared" si="69"/>
        <v>0.98317575940674673</v>
      </c>
      <c r="V110">
        <f t="shared" si="70"/>
        <v>-0.18369338171373173</v>
      </c>
      <c r="X110">
        <f t="shared" si="87"/>
        <v>-0.89713520818726089</v>
      </c>
      <c r="Y110">
        <f t="shared" si="71"/>
        <v>-124.71468039910751</v>
      </c>
      <c r="Z110">
        <f t="shared" si="88"/>
        <v>55.285319600892493</v>
      </c>
      <c r="AC110">
        <v>1</v>
      </c>
      <c r="AD110">
        <f t="shared" si="72"/>
        <v>7.4624763489569998</v>
      </c>
      <c r="AE110">
        <f t="shared" si="73"/>
        <v>-2.1380983493998119E-4</v>
      </c>
      <c r="AF110">
        <f t="shared" si="74"/>
        <v>1.150828219548E-3</v>
      </c>
      <c r="AG110">
        <f t="shared" si="89"/>
        <v>6112.0318586048161</v>
      </c>
      <c r="AH110">
        <f t="shared" si="90"/>
        <v>-2004.4803243895317</v>
      </c>
      <c r="AJ110">
        <f t="shared" si="75"/>
        <v>26400</v>
      </c>
      <c r="AK110">
        <f t="shared" si="76"/>
        <v>4840.9278665932798</v>
      </c>
      <c r="AL110">
        <v>1</v>
      </c>
      <c r="AM110">
        <f t="shared" si="77"/>
        <v>6.4866599727552003</v>
      </c>
      <c r="AN110">
        <f t="shared" si="91"/>
        <v>1341.8245996385835</v>
      </c>
      <c r="AO110">
        <f t="shared" si="92"/>
        <v>-3863.0320543405933</v>
      </c>
      <c r="AQ110">
        <f t="shared" si="78"/>
        <v>1.7310022503029254</v>
      </c>
      <c r="AR110">
        <f t="shared" si="79"/>
        <v>-131.55617102302233</v>
      </c>
      <c r="AT110">
        <f t="shared" si="104"/>
        <v>-253121.81546650443</v>
      </c>
      <c r="AU110">
        <f t="shared" si="105"/>
        <v>-807545.26844098233</v>
      </c>
      <c r="AV110">
        <f t="shared" si="93"/>
        <v>-1.8745427780689798</v>
      </c>
      <c r="AW110">
        <f t="shared" si="94"/>
        <v>-498142.95840086945</v>
      </c>
      <c r="AX110">
        <f t="shared" si="95"/>
        <v>-205517.6335680497</v>
      </c>
      <c r="AY110">
        <f t="shared" si="103"/>
        <v>-2.7502993250520169</v>
      </c>
      <c r="BA110">
        <f t="shared" si="80"/>
        <v>1.5704745112394083</v>
      </c>
      <c r="BB110">
        <f t="shared" si="96"/>
        <v>3.9206178440708603</v>
      </c>
      <c r="BC110">
        <f t="shared" si="97"/>
        <v>0.87575654698303707</v>
      </c>
      <c r="BD110">
        <f t="shared" si="81"/>
        <v>-129.82284591958583</v>
      </c>
      <c r="BF110">
        <f t="shared" si="82"/>
        <v>-0.91060997301791469</v>
      </c>
      <c r="BG110">
        <f t="shared" si="83"/>
        <v>-127.22561231429718</v>
      </c>
      <c r="BH110">
        <f t="shared" si="98"/>
        <v>52.77438768570282</v>
      </c>
      <c r="BI110">
        <f t="shared" si="99"/>
        <v>52.77438768570282</v>
      </c>
      <c r="BJ110">
        <f t="shared" si="84"/>
        <v>0</v>
      </c>
      <c r="BK110">
        <f t="shared" si="100"/>
        <v>0</v>
      </c>
      <c r="BM110">
        <f t="shared" si="101"/>
        <v>-4.8312278170887755</v>
      </c>
      <c r="BN110">
        <f t="shared" si="85"/>
        <v>-177.40276639471136</v>
      </c>
      <c r="BQ110" s="56">
        <f t="shared" si="102"/>
        <v>20.822578644356</v>
      </c>
      <c r="BR110" s="59"/>
      <c r="BS110" s="59"/>
      <c r="BT110" s="59">
        <v>1000</v>
      </c>
      <c r="BU110" s="59">
        <v>14.883800000000001</v>
      </c>
      <c r="BV110" s="59">
        <v>-260.5154</v>
      </c>
      <c r="BW110" s="61"/>
      <c r="BY110" s="59"/>
      <c r="BZ110" s="59"/>
      <c r="CA110" s="59"/>
      <c r="CC110" s="59"/>
    </row>
    <row r="111" spans="1:81" x14ac:dyDescent="0.2">
      <c r="A111">
        <f t="shared" si="106"/>
        <v>38500</v>
      </c>
      <c r="B111">
        <f t="shared" si="86"/>
        <v>38.5</v>
      </c>
      <c r="C111">
        <f t="shared" si="55"/>
        <v>1.0000112398599807</v>
      </c>
      <c r="D111">
        <f t="shared" si="56"/>
        <v>4.741256100023513E-3</v>
      </c>
      <c r="F111">
        <f t="shared" si="57"/>
        <v>3.7202275134512339E-2</v>
      </c>
      <c r="G111">
        <f t="shared" si="58"/>
        <v>4.0083684758233609E-2</v>
      </c>
      <c r="H111">
        <f t="shared" si="59"/>
        <v>-3.1015089652417664</v>
      </c>
      <c r="J111">
        <f t="shared" si="60"/>
        <v>15</v>
      </c>
      <c r="M111">
        <f t="shared" si="61"/>
        <v>3.2486912411096282E-2</v>
      </c>
      <c r="N111">
        <f t="shared" si="62"/>
        <v>-1.5707963250000001</v>
      </c>
      <c r="O111">
        <f t="shared" si="63"/>
        <v>7.6265118417542466</v>
      </c>
      <c r="P111">
        <f t="shared" si="64"/>
        <v>1.4392961211356936</v>
      </c>
      <c r="Q111">
        <f t="shared" si="65"/>
        <v>6.6476556359471841</v>
      </c>
      <c r="R111">
        <f t="shared" si="66"/>
        <v>1.4197941593292911</v>
      </c>
      <c r="S111">
        <f t="shared" si="67"/>
        <v>0.98317691943113039</v>
      </c>
      <c r="T111">
        <f t="shared" si="68"/>
        <v>-0.18368703094638564</v>
      </c>
      <c r="U111">
        <f t="shared" si="69"/>
        <v>0.98274157489379732</v>
      </c>
      <c r="V111">
        <f t="shared" si="70"/>
        <v>-0.18605535226529094</v>
      </c>
      <c r="X111">
        <f t="shared" si="87"/>
        <v>-1.0312090982166808</v>
      </c>
      <c r="Y111">
        <f t="shared" si="71"/>
        <v>-124.80259165360548</v>
      </c>
      <c r="Z111">
        <f t="shared" si="88"/>
        <v>55.197408346394525</v>
      </c>
      <c r="AC111">
        <v>1</v>
      </c>
      <c r="AD111">
        <f t="shared" si="72"/>
        <v>7.5606668272327493</v>
      </c>
      <c r="AE111">
        <f t="shared" si="73"/>
        <v>-2.1947342648184705E-4</v>
      </c>
      <c r="AF111">
        <f t="shared" si="74"/>
        <v>1.1659706961209999E-3</v>
      </c>
      <c r="AG111">
        <f t="shared" si="89"/>
        <v>6106.6347287766175</v>
      </c>
      <c r="AH111">
        <f t="shared" si="90"/>
        <v>-2007.1208101398011</v>
      </c>
      <c r="AJ111">
        <f t="shared" si="75"/>
        <v>26400</v>
      </c>
      <c r="AK111">
        <f t="shared" si="76"/>
        <v>4904.6242858905598</v>
      </c>
      <c r="AL111">
        <v>1</v>
      </c>
      <c r="AM111">
        <f t="shared" si="77"/>
        <v>6.5720107618704002</v>
      </c>
      <c r="AN111">
        <f t="shared" si="91"/>
        <v>1326.8043668581622</v>
      </c>
      <c r="AO111">
        <f t="shared" si="92"/>
        <v>-3815.1482919979248</v>
      </c>
      <c r="AQ111">
        <f t="shared" si="78"/>
        <v>1.6863406408094435</v>
      </c>
      <c r="AR111">
        <f t="shared" si="79"/>
        <v>-129.84822934232716</v>
      </c>
      <c r="AT111">
        <f t="shared" si="104"/>
        <v>-250323.216951076</v>
      </c>
      <c r="AU111">
        <f t="shared" si="105"/>
        <v>-796320.39616515907</v>
      </c>
      <c r="AV111">
        <f t="shared" si="93"/>
        <v>-1.8753656017992182</v>
      </c>
      <c r="AW111">
        <f t="shared" si="94"/>
        <v>-485441.33836351923</v>
      </c>
      <c r="AX111">
        <f t="shared" si="95"/>
        <v>-200764.59000725631</v>
      </c>
      <c r="AY111">
        <f t="shared" si="103"/>
        <v>-2.7494419286172982</v>
      </c>
      <c r="BA111">
        <f t="shared" si="80"/>
        <v>1.5890130105384668</v>
      </c>
      <c r="BB111">
        <f t="shared" si="96"/>
        <v>4.0225490628628888</v>
      </c>
      <c r="BC111">
        <f t="shared" si="97"/>
        <v>0.87407632681808001</v>
      </c>
      <c r="BD111">
        <f t="shared" si="81"/>
        <v>-129.91911544380065</v>
      </c>
      <c r="BF111">
        <f t="shared" si="82"/>
        <v>-1.0441381220678851</v>
      </c>
      <c r="BG111">
        <f t="shared" si="83"/>
        <v>-127.35083551276428</v>
      </c>
      <c r="BH111">
        <f t="shared" si="98"/>
        <v>52.649164487235723</v>
      </c>
      <c r="BI111">
        <f t="shared" si="99"/>
        <v>52.649164487235723</v>
      </c>
      <c r="BJ111">
        <f t="shared" si="84"/>
        <v>0</v>
      </c>
      <c r="BK111">
        <f t="shared" si="100"/>
        <v>0</v>
      </c>
      <c r="BM111">
        <f t="shared" si="101"/>
        <v>-5.0666871849307746</v>
      </c>
      <c r="BN111">
        <f t="shared" si="85"/>
        <v>-177.43172006896364</v>
      </c>
      <c r="BQ111" s="56">
        <f t="shared" si="102"/>
        <v>20.924509863148025</v>
      </c>
      <c r="BR111" s="59"/>
      <c r="BS111" s="59"/>
      <c r="BT111" s="59">
        <v>1023.293</v>
      </c>
      <c r="BU111" s="59">
        <v>14.7437</v>
      </c>
      <c r="BV111" s="59">
        <v>-261.12389999999999</v>
      </c>
      <c r="BW111" s="61"/>
      <c r="BY111" s="59"/>
      <c r="BZ111" s="59"/>
      <c r="CA111" s="59"/>
      <c r="CC111" s="59"/>
    </row>
    <row r="112" spans="1:81" x14ac:dyDescent="0.2">
      <c r="A112">
        <f t="shared" si="106"/>
        <v>39000</v>
      </c>
      <c r="B112">
        <f t="shared" si="86"/>
        <v>39</v>
      </c>
      <c r="C112">
        <f t="shared" si="55"/>
        <v>1.0000115336984443</v>
      </c>
      <c r="D112">
        <f t="shared" si="56"/>
        <v>4.8028299137395959E-3</v>
      </c>
      <c r="F112">
        <f t="shared" si="57"/>
        <v>3.6220903990081356E-2</v>
      </c>
      <c r="G112">
        <f t="shared" si="58"/>
        <v>3.9532850083353784E-2</v>
      </c>
      <c r="H112">
        <f t="shared" si="59"/>
        <v>-3.1020597999166464</v>
      </c>
      <c r="J112">
        <f t="shared" si="60"/>
        <v>15</v>
      </c>
      <c r="M112">
        <f t="shared" si="61"/>
        <v>3.2070413534030943E-2</v>
      </c>
      <c r="N112">
        <f t="shared" si="62"/>
        <v>-1.5707963250000001</v>
      </c>
      <c r="O112">
        <f t="shared" si="63"/>
        <v>7.7238653034695615</v>
      </c>
      <c r="P112">
        <f t="shared" si="64"/>
        <v>1.4409630187925908</v>
      </c>
      <c r="Q112">
        <f t="shared" si="65"/>
        <v>6.7320474463970763</v>
      </c>
      <c r="R112">
        <f t="shared" si="66"/>
        <v>1.4217013412537212</v>
      </c>
      <c r="S112">
        <f t="shared" si="67"/>
        <v>0.98274843511487264</v>
      </c>
      <c r="T112">
        <f t="shared" si="68"/>
        <v>-0.18601826308266306</v>
      </c>
      <c r="U112">
        <f t="shared" si="69"/>
        <v>0.98230230079749403</v>
      </c>
      <c r="V112">
        <f t="shared" si="70"/>
        <v>-0.18841522442566749</v>
      </c>
      <c r="X112">
        <f t="shared" si="87"/>
        <v>-1.1634100994117262</v>
      </c>
      <c r="Y112">
        <f t="shared" si="71"/>
        <v>-124.89462503793628</v>
      </c>
      <c r="Z112">
        <f t="shared" si="88"/>
        <v>55.105374962063721</v>
      </c>
      <c r="AC112">
        <v>1</v>
      </c>
      <c r="AD112">
        <f t="shared" si="72"/>
        <v>7.6588573055085005</v>
      </c>
      <c r="AE112">
        <f t="shared" si="73"/>
        <v>-2.2521105190007718E-4</v>
      </c>
      <c r="AF112">
        <f t="shared" si="74"/>
        <v>1.1811131726939999E-3</v>
      </c>
      <c r="AG112">
        <f t="shared" si="89"/>
        <v>6101.1767589496149</v>
      </c>
      <c r="AH112">
        <f t="shared" si="90"/>
        <v>-2010.0126648290379</v>
      </c>
      <c r="AJ112">
        <f t="shared" si="75"/>
        <v>26400</v>
      </c>
      <c r="AK112">
        <f t="shared" si="76"/>
        <v>4968.3207051878408</v>
      </c>
      <c r="AL112">
        <v>1</v>
      </c>
      <c r="AM112">
        <f t="shared" si="77"/>
        <v>6.657361550985601</v>
      </c>
      <c r="AN112">
        <f t="shared" si="91"/>
        <v>1312.3411265942734</v>
      </c>
      <c r="AO112">
        <f t="shared" si="92"/>
        <v>-3768.4086527780037</v>
      </c>
      <c r="AQ112">
        <f t="shared" si="78"/>
        <v>1.6433853738701725</v>
      </c>
      <c r="AR112">
        <f t="shared" si="79"/>
        <v>-128.18405916187345</v>
      </c>
      <c r="AT112">
        <f t="shared" si="104"/>
        <v>-247624.99769550588</v>
      </c>
      <c r="AU112">
        <f t="shared" si="105"/>
        <v>-785376.82804091857</v>
      </c>
      <c r="AV112">
        <f t="shared" si="93"/>
        <v>-1.8762250487499694</v>
      </c>
      <c r="AW112">
        <f t="shared" si="94"/>
        <v>-473209.54505588452</v>
      </c>
      <c r="AX112">
        <f t="shared" si="95"/>
        <v>-196211.05007700837</v>
      </c>
      <c r="AY112">
        <f t="shared" si="103"/>
        <v>-2.7485306415111816</v>
      </c>
      <c r="BA112">
        <f t="shared" si="80"/>
        <v>1.6075133075298245</v>
      </c>
      <c r="BB112">
        <f t="shared" si="96"/>
        <v>4.1230915369062027</v>
      </c>
      <c r="BC112">
        <f t="shared" si="97"/>
        <v>0.87230559276121222</v>
      </c>
      <c r="BD112">
        <f t="shared" si="81"/>
        <v>-130.02057103201517</v>
      </c>
      <c r="BF112">
        <f t="shared" si="82"/>
        <v>-1.175797400121994</v>
      </c>
      <c r="BG112">
        <f t="shared" si="83"/>
        <v>-127.48032368343648</v>
      </c>
      <c r="BH112">
        <f t="shared" si="98"/>
        <v>52.519676316563519</v>
      </c>
      <c r="BI112">
        <f t="shared" si="99"/>
        <v>52.519676316563519</v>
      </c>
      <c r="BJ112">
        <f t="shared" si="84"/>
        <v>0</v>
      </c>
      <c r="BK112">
        <f t="shared" si="100"/>
        <v>0</v>
      </c>
      <c r="BM112">
        <f t="shared" si="101"/>
        <v>-5.298888937028198</v>
      </c>
      <c r="BN112">
        <f t="shared" si="85"/>
        <v>-177.4597526514213</v>
      </c>
      <c r="BQ112" s="56">
        <f t="shared" si="102"/>
        <v>21.02505233719134</v>
      </c>
      <c r="BR112" s="59"/>
      <c r="BS112" s="59"/>
      <c r="BT112" s="59">
        <v>1047.1289999999999</v>
      </c>
      <c r="BU112" s="59">
        <v>14.586600000000001</v>
      </c>
      <c r="BV112" s="59">
        <v>-260.40769999999998</v>
      </c>
      <c r="BW112" s="61"/>
      <c r="BY112" s="59"/>
      <c r="BZ112" s="59"/>
      <c r="CA112" s="59"/>
      <c r="CC112" s="59"/>
    </row>
    <row r="113" spans="1:81" x14ac:dyDescent="0.2">
      <c r="A113">
        <f t="shared" si="106"/>
        <v>39500</v>
      </c>
      <c r="B113">
        <f t="shared" si="86"/>
        <v>39.5</v>
      </c>
      <c r="C113">
        <f t="shared" si="55"/>
        <v>1.0000118313282838</v>
      </c>
      <c r="D113">
        <f t="shared" si="56"/>
        <v>4.86440369103715E-3</v>
      </c>
      <c r="F113">
        <f t="shared" si="57"/>
        <v>3.5278277301497296E-2</v>
      </c>
      <c r="G113">
        <f t="shared" si="58"/>
        <v>3.8997400147164712E-2</v>
      </c>
      <c r="H113">
        <f t="shared" si="59"/>
        <v>-3.1025952498528353</v>
      </c>
      <c r="J113">
        <f t="shared" si="60"/>
        <v>15</v>
      </c>
      <c r="M113">
        <f t="shared" si="61"/>
        <v>3.1664458932334348E-2</v>
      </c>
      <c r="N113">
        <f t="shared" si="62"/>
        <v>-1.5707963250000001</v>
      </c>
      <c r="O113">
        <f t="shared" si="63"/>
        <v>7.821239692012524</v>
      </c>
      <c r="P113">
        <f t="shared" si="64"/>
        <v>1.4425884151402828</v>
      </c>
      <c r="Q113">
        <f t="shared" si="65"/>
        <v>6.816463137239694</v>
      </c>
      <c r="R113">
        <f t="shared" si="66"/>
        <v>1.4235612923804992</v>
      </c>
      <c r="S113">
        <f t="shared" si="67"/>
        <v>0.98231499257673538</v>
      </c>
      <c r="T113">
        <f t="shared" si="68"/>
        <v>-0.18834745148176801</v>
      </c>
      <c r="U113">
        <f t="shared" si="69"/>
        <v>0.9818579586075612</v>
      </c>
      <c r="V113">
        <f t="shared" si="70"/>
        <v>-0.1907729747410003</v>
      </c>
      <c r="X113">
        <f t="shared" si="87"/>
        <v>-1.2938007676671295</v>
      </c>
      <c r="Y113">
        <f t="shared" si="71"/>
        <v>-124.99062224871236</v>
      </c>
      <c r="Z113">
        <f t="shared" si="88"/>
        <v>55.009377751287644</v>
      </c>
      <c r="AC113">
        <v>1</v>
      </c>
      <c r="AD113">
        <f t="shared" si="72"/>
        <v>7.75704778378425</v>
      </c>
      <c r="AE113">
        <f t="shared" si="73"/>
        <v>-2.3102271119467148E-4</v>
      </c>
      <c r="AF113">
        <f t="shared" si="74"/>
        <v>1.196255649267E-3</v>
      </c>
      <c r="AG113">
        <f t="shared" si="89"/>
        <v>6095.6583007714962</v>
      </c>
      <c r="AH113">
        <f t="shared" si="90"/>
        <v>-2013.1445219390775</v>
      </c>
      <c r="AJ113">
        <f t="shared" si="75"/>
        <v>26400</v>
      </c>
      <c r="AK113">
        <f t="shared" si="76"/>
        <v>5032.0171244851208</v>
      </c>
      <c r="AL113">
        <v>1</v>
      </c>
      <c r="AM113">
        <f t="shared" si="77"/>
        <v>6.7427123401008009</v>
      </c>
      <c r="AN113">
        <f t="shared" si="91"/>
        <v>1298.4078774814438</v>
      </c>
      <c r="AO113">
        <f t="shared" si="92"/>
        <v>-3722.773693493099</v>
      </c>
      <c r="AQ113">
        <f t="shared" si="78"/>
        <v>1.6020506247997437</v>
      </c>
      <c r="AR113">
        <f t="shared" si="79"/>
        <v>-126.56199935917975</v>
      </c>
      <c r="AT113">
        <f t="shared" si="104"/>
        <v>-245022.04250627305</v>
      </c>
      <c r="AU113">
        <f t="shared" si="105"/>
        <v>-774703.86139520549</v>
      </c>
      <c r="AV113">
        <f t="shared" si="93"/>
        <v>-1.8771196613564587</v>
      </c>
      <c r="AW113">
        <f t="shared" si="94"/>
        <v>-461424.89467520139</v>
      </c>
      <c r="AX113">
        <f t="shared" si="95"/>
        <v>-191845.73651510957</v>
      </c>
      <c r="AY113">
        <f t="shared" si="103"/>
        <v>-2.7475674488295159</v>
      </c>
      <c r="BA113">
        <f t="shared" si="80"/>
        <v>1.62597437107263</v>
      </c>
      <c r="BB113">
        <f t="shared" si="96"/>
        <v>4.2222739175416271</v>
      </c>
      <c r="BC113">
        <f t="shared" si="97"/>
        <v>0.87044778747305718</v>
      </c>
      <c r="BD113">
        <f t="shared" si="81"/>
        <v>-130.12701543430518</v>
      </c>
      <c r="BF113">
        <f t="shared" si="82"/>
        <v>-1.3056507436080598</v>
      </c>
      <c r="BG113">
        <f t="shared" si="83"/>
        <v>-127.61391918967385</v>
      </c>
      <c r="BH113">
        <f t="shared" si="98"/>
        <v>52.386080810326149</v>
      </c>
      <c r="BI113">
        <f t="shared" si="99"/>
        <v>52.386080810326149</v>
      </c>
      <c r="BJ113">
        <f t="shared" si="84"/>
        <v>0</v>
      </c>
      <c r="BK113">
        <f t="shared" si="100"/>
        <v>0</v>
      </c>
      <c r="BM113">
        <f t="shared" si="101"/>
        <v>-5.5279246611496866</v>
      </c>
      <c r="BN113">
        <f t="shared" si="85"/>
        <v>-177.48690375536867</v>
      </c>
      <c r="BQ113" s="56">
        <f t="shared" si="102"/>
        <v>21.124234717826763</v>
      </c>
      <c r="BR113" s="59"/>
      <c r="BS113" s="59"/>
      <c r="BT113" s="59">
        <v>1071.519</v>
      </c>
      <c r="BU113" s="59">
        <v>14.3581</v>
      </c>
      <c r="BV113" s="59">
        <v>-260.5301</v>
      </c>
      <c r="BW113" s="61"/>
      <c r="BY113" s="59"/>
      <c r="BZ113" s="59"/>
      <c r="CA113" s="59"/>
      <c r="CC113" s="59"/>
    </row>
    <row r="114" spans="1:81" x14ac:dyDescent="0.2">
      <c r="A114">
        <f t="shared" si="106"/>
        <v>40000</v>
      </c>
      <c r="B114">
        <f t="shared" si="86"/>
        <v>40</v>
      </c>
      <c r="C114">
        <f t="shared" si="55"/>
        <v>1.000012132749496</v>
      </c>
      <c r="D114">
        <f t="shared" si="56"/>
        <v>4.9259774314493153E-3</v>
      </c>
      <c r="F114">
        <f t="shared" si="57"/>
        <v>3.4372361422066823E-2</v>
      </c>
      <c r="G114">
        <f t="shared" si="58"/>
        <v>3.8476683430984787E-2</v>
      </c>
      <c r="H114">
        <f t="shared" si="59"/>
        <v>-3.1031159665690153</v>
      </c>
      <c r="J114">
        <f t="shared" si="60"/>
        <v>15</v>
      </c>
      <c r="M114">
        <f t="shared" si="61"/>
        <v>3.1268653195680167E-2</v>
      </c>
      <c r="N114">
        <f t="shared" si="62"/>
        <v>-1.5707963250000001</v>
      </c>
      <c r="O114">
        <f t="shared" si="63"/>
        <v>7.9186342353799519</v>
      </c>
      <c r="P114">
        <f t="shared" si="64"/>
        <v>1.4441738327530378</v>
      </c>
      <c r="Q114">
        <f t="shared" si="65"/>
        <v>6.900901832120133</v>
      </c>
      <c r="R114">
        <f t="shared" si="66"/>
        <v>1.425375733331709</v>
      </c>
      <c r="S114">
        <f t="shared" si="67"/>
        <v>0.98187661247362579</v>
      </c>
      <c r="T114">
        <f t="shared" si="68"/>
        <v>-0.19067457359129492</v>
      </c>
      <c r="U114">
        <f t="shared" si="69"/>
        <v>0.9814085700087708</v>
      </c>
      <c r="V114">
        <f t="shared" si="70"/>
        <v>-0.19312857989394619</v>
      </c>
      <c r="X114">
        <f t="shared" si="87"/>
        <v>-1.4224406409510595</v>
      </c>
      <c r="Y114">
        <f t="shared" si="71"/>
        <v>-125.09043216562493</v>
      </c>
      <c r="Z114">
        <f t="shared" si="88"/>
        <v>54.909567834375068</v>
      </c>
      <c r="AC114">
        <v>1</v>
      </c>
      <c r="AD114">
        <f t="shared" si="72"/>
        <v>7.8552382620600003</v>
      </c>
      <c r="AE114">
        <f t="shared" si="73"/>
        <v>-2.3690840436563012E-4</v>
      </c>
      <c r="AF114">
        <f t="shared" si="74"/>
        <v>1.2113981258399999E-3</v>
      </c>
      <c r="AG114">
        <f t="shared" si="89"/>
        <v>6090.0797088048812</v>
      </c>
      <c r="AH114">
        <f t="shared" si="90"/>
        <v>-2016.5055683725786</v>
      </c>
      <c r="AJ114">
        <f t="shared" si="75"/>
        <v>26400</v>
      </c>
      <c r="AK114">
        <f t="shared" si="76"/>
        <v>5095.7135437824008</v>
      </c>
      <c r="AL114">
        <v>1</v>
      </c>
      <c r="AM114">
        <f t="shared" si="77"/>
        <v>6.8280631292160017</v>
      </c>
      <c r="AN114">
        <f t="shared" si="91"/>
        <v>1284.9792226394859</v>
      </c>
      <c r="AO114">
        <f t="shared" si="92"/>
        <v>-3678.2057081309117</v>
      </c>
      <c r="AQ114">
        <f t="shared" si="78"/>
        <v>1.562255897516013</v>
      </c>
      <c r="AR114">
        <f t="shared" si="79"/>
        <v>-124.98047180128106</v>
      </c>
      <c r="AT114">
        <f t="shared" si="104"/>
        <v>-242509.55438369227</v>
      </c>
      <c r="AU114">
        <f t="shared" si="105"/>
        <v>-764291.33303040627</v>
      </c>
      <c r="AV114">
        <f t="shared" si="93"/>
        <v>-1.8780480517113398</v>
      </c>
      <c r="AW114">
        <f t="shared" si="94"/>
        <v>-450066.04473543866</v>
      </c>
      <c r="AX114">
        <f t="shared" si="95"/>
        <v>-187658.15290263059</v>
      </c>
      <c r="AY114">
        <f t="shared" si="103"/>
        <v>-2.7465542408591785</v>
      </c>
      <c r="BA114">
        <f t="shared" si="80"/>
        <v>1.6443951926037035</v>
      </c>
      <c r="BB114">
        <f t="shared" si="96"/>
        <v>4.3201239689682893</v>
      </c>
      <c r="BC114">
        <f t="shared" si="97"/>
        <v>0.86850618914783873</v>
      </c>
      <c r="BD114">
        <f t="shared" si="81"/>
        <v>-130.23826082397699</v>
      </c>
      <c r="BF114">
        <f t="shared" si="82"/>
        <v>-1.4337580726530734</v>
      </c>
      <c r="BG114">
        <f t="shared" si="83"/>
        <v>-127.7514715340803</v>
      </c>
      <c r="BH114">
        <f t="shared" si="98"/>
        <v>52.248528465919705</v>
      </c>
      <c r="BI114">
        <f t="shared" si="99"/>
        <v>52.248528465919705</v>
      </c>
      <c r="BJ114">
        <f t="shared" si="84"/>
        <v>0</v>
      </c>
      <c r="BK114">
        <f t="shared" si="100"/>
        <v>0</v>
      </c>
      <c r="BM114">
        <f t="shared" si="101"/>
        <v>-5.7538820416213623</v>
      </c>
      <c r="BN114">
        <f t="shared" si="85"/>
        <v>-177.51321071010329</v>
      </c>
      <c r="BQ114" s="56">
        <f t="shared" si="102"/>
        <v>21.222084769253424</v>
      </c>
      <c r="BR114" s="59"/>
      <c r="BS114" s="59"/>
      <c r="BT114" s="59">
        <v>1096.4780000000001</v>
      </c>
      <c r="BU114" s="59">
        <v>14.1501</v>
      </c>
      <c r="BV114" s="59">
        <v>-260.5471</v>
      </c>
      <c r="BW114" s="61"/>
      <c r="BY114" s="59"/>
      <c r="BZ114" s="59"/>
      <c r="CA114" s="59"/>
      <c r="CC114" s="59"/>
    </row>
    <row r="115" spans="1:81" x14ac:dyDescent="0.2">
      <c r="A115">
        <f t="shared" si="106"/>
        <v>40500</v>
      </c>
      <c r="B115">
        <f t="shared" si="86"/>
        <v>40.5</v>
      </c>
      <c r="C115">
        <f t="shared" si="55"/>
        <v>1.0000124379620774</v>
      </c>
      <c r="D115">
        <f t="shared" si="56"/>
        <v>4.9875511345092343E-3</v>
      </c>
      <c r="F115">
        <f t="shared" si="57"/>
        <v>3.3501255659949526E-2</v>
      </c>
      <c r="G115">
        <f t="shared" si="58"/>
        <v>3.797008540451529E-2</v>
      </c>
      <c r="H115">
        <f t="shared" si="59"/>
        <v>-3.1036225645954851</v>
      </c>
      <c r="J115">
        <f t="shared" si="60"/>
        <v>15</v>
      </c>
      <c r="M115">
        <f t="shared" si="61"/>
        <v>3.0882620440177946E-2</v>
      </c>
      <c r="N115">
        <f t="shared" si="62"/>
        <v>-1.5707963250000001</v>
      </c>
      <c r="O115">
        <f t="shared" si="63"/>
        <v>8.0160481989318608</v>
      </c>
      <c r="P115">
        <f t="shared" si="64"/>
        <v>1.4457207210206924</v>
      </c>
      <c r="Q115">
        <f t="shared" si="65"/>
        <v>6.9853626968236631</v>
      </c>
      <c r="R115">
        <f t="shared" si="66"/>
        <v>1.4271463027453826</v>
      </c>
      <c r="S115">
        <f t="shared" si="67"/>
        <v>0.98143331564761305</v>
      </c>
      <c r="T115">
        <f t="shared" si="68"/>
        <v>-0.19299960698835222</v>
      </c>
      <c r="U115">
        <f t="shared" si="69"/>
        <v>0.98095415687815513</v>
      </c>
      <c r="V115">
        <f t="shared" si="70"/>
        <v>-0.19548201670479659</v>
      </c>
      <c r="X115">
        <f t="shared" si="87"/>
        <v>-1.5493864297811126</v>
      </c>
      <c r="Y115">
        <f t="shared" si="71"/>
        <v>-125.19391045489265</v>
      </c>
      <c r="Z115">
        <f t="shared" si="88"/>
        <v>54.806089545107355</v>
      </c>
      <c r="AC115">
        <v>1</v>
      </c>
      <c r="AD115">
        <f t="shared" si="72"/>
        <v>7.9534287403357498</v>
      </c>
      <c r="AE115">
        <f t="shared" si="73"/>
        <v>-2.4286813141295301E-4</v>
      </c>
      <c r="AF115">
        <f t="shared" si="74"/>
        <v>1.2265406024129998E-3</v>
      </c>
      <c r="AG115">
        <f t="shared" si="89"/>
        <v>6084.4413404733796</v>
      </c>
      <c r="AH115">
        <f t="shared" si="90"/>
        <v>-2020.0855105636347</v>
      </c>
      <c r="AJ115">
        <f t="shared" si="75"/>
        <v>26400</v>
      </c>
      <c r="AK115">
        <f t="shared" si="76"/>
        <v>5159.4099630796809</v>
      </c>
      <c r="AL115">
        <v>1</v>
      </c>
      <c r="AM115">
        <f t="shared" si="77"/>
        <v>6.9134139183311998</v>
      </c>
      <c r="AN115">
        <f t="shared" si="91"/>
        <v>1272.0312574679588</v>
      </c>
      <c r="AO115">
        <f t="shared" si="92"/>
        <v>-3634.6686368516439</v>
      </c>
      <c r="AQ115">
        <f t="shared" si="78"/>
        <v>1.5239256324291375</v>
      </c>
      <c r="AR115">
        <f t="shared" si="79"/>
        <v>-123.43797622676013</v>
      </c>
      <c r="AT115">
        <f t="shared" si="104"/>
        <v>-240083.03111121766</v>
      </c>
      <c r="AU115">
        <f t="shared" si="105"/>
        <v>-754129.58562771615</v>
      </c>
      <c r="AV115">
        <f t="shared" si="93"/>
        <v>-1.879008897429673</v>
      </c>
      <c r="AW115">
        <f t="shared" si="94"/>
        <v>-439112.90082620335</v>
      </c>
      <c r="AX115">
        <f t="shared" si="95"/>
        <v>-183638.52048326121</v>
      </c>
      <c r="AY115">
        <f t="shared" si="103"/>
        <v>-2.7454928187391978</v>
      </c>
      <c r="BA115">
        <f t="shared" si="80"/>
        <v>1.6627747849139445</v>
      </c>
      <c r="BB115">
        <f t="shared" si="96"/>
        <v>4.4166686008335851</v>
      </c>
      <c r="BC115">
        <f t="shared" si="97"/>
        <v>0.86648392130952478</v>
      </c>
      <c r="BD115">
        <f t="shared" si="81"/>
        <v>-130.35412823628982</v>
      </c>
      <c r="BF115">
        <f t="shared" si="82"/>
        <v>-1.560176481450227</v>
      </c>
      <c r="BG115">
        <f t="shared" si="83"/>
        <v>-127.89283696193429</v>
      </c>
      <c r="BH115">
        <f t="shared" si="98"/>
        <v>52.107163038065707</v>
      </c>
      <c r="BI115">
        <f t="shared" si="99"/>
        <v>52.107163038065707</v>
      </c>
      <c r="BJ115">
        <f t="shared" si="84"/>
        <v>0</v>
      </c>
      <c r="BK115">
        <f t="shared" si="100"/>
        <v>0</v>
      </c>
      <c r="BM115">
        <f t="shared" si="101"/>
        <v>-5.9768450822838126</v>
      </c>
      <c r="BN115">
        <f t="shared" si="85"/>
        <v>-177.53870872564448</v>
      </c>
      <c r="BQ115" s="56">
        <f t="shared" si="102"/>
        <v>21.318629401118724</v>
      </c>
      <c r="BR115" s="59"/>
      <c r="BS115" s="59"/>
      <c r="BT115" s="59">
        <v>1122.018</v>
      </c>
      <c r="BU115" s="59">
        <v>13.9679</v>
      </c>
      <c r="BV115" s="59">
        <v>-259.93099999999998</v>
      </c>
      <c r="BW115" s="61"/>
      <c r="BY115" s="59"/>
      <c r="BZ115" s="59"/>
      <c r="CA115" s="59"/>
      <c r="CC115" s="59"/>
    </row>
    <row r="116" spans="1:81" x14ac:dyDescent="0.2">
      <c r="A116">
        <f t="shared" si="106"/>
        <v>41000</v>
      </c>
      <c r="B116">
        <f t="shared" si="86"/>
        <v>41</v>
      </c>
      <c r="C116">
        <f t="shared" si="55"/>
        <v>1.0000127469660245</v>
      </c>
      <c r="D116">
        <f t="shared" si="56"/>
        <v>5.0491247997500478E-3</v>
      </c>
      <c r="F116">
        <f t="shared" si="57"/>
        <v>3.2663181891981453E-2</v>
      </c>
      <c r="G116">
        <f t="shared" si="58"/>
        <v>3.7477025899069115E-2</v>
      </c>
      <c r="H116">
        <f t="shared" si="59"/>
        <v>-3.1041156241009311</v>
      </c>
      <c r="J116">
        <f t="shared" si="60"/>
        <v>15</v>
      </c>
      <c r="M116">
        <f t="shared" si="61"/>
        <v>3.0506003117736751E-2</v>
      </c>
      <c r="N116">
        <f t="shared" si="62"/>
        <v>-1.5707963250000001</v>
      </c>
      <c r="O116">
        <f t="shared" si="63"/>
        <v>8.1134808831668597</v>
      </c>
      <c r="P116">
        <f t="shared" si="64"/>
        <v>1.4472304604702733</v>
      </c>
      <c r="Q116">
        <f t="shared" si="65"/>
        <v>7.0698449367859055</v>
      </c>
      <c r="R116">
        <f t="shared" si="66"/>
        <v>1.4288745620662731</v>
      </c>
      <c r="S116">
        <f t="shared" si="67"/>
        <v>0.98098512312331632</v>
      </c>
      <c r="T116">
        <f t="shared" si="68"/>
        <v>-0.19532252938060904</v>
      </c>
      <c r="U116">
        <f t="shared" si="69"/>
        <v>0.98049474128220471</v>
      </c>
      <c r="V116">
        <f t="shared" si="70"/>
        <v>-0.19783326213257302</v>
      </c>
      <c r="X116">
        <f t="shared" si="87"/>
        <v>-1.6746921929682288</v>
      </c>
      <c r="Y116">
        <f t="shared" si="71"/>
        <v>-125.30091919778557</v>
      </c>
      <c r="Z116">
        <f t="shared" si="88"/>
        <v>54.699080802214425</v>
      </c>
      <c r="AC116">
        <v>1</v>
      </c>
      <c r="AD116">
        <f t="shared" si="72"/>
        <v>8.051619218611501</v>
      </c>
      <c r="AE116">
        <f t="shared" si="73"/>
        <v>-2.4890189233664017E-4</v>
      </c>
      <c r="AF116">
        <f t="shared" si="74"/>
        <v>1.241683078986E-3</v>
      </c>
      <c r="AG116">
        <f t="shared" si="89"/>
        <v>6078.7435560074609</v>
      </c>
      <c r="AH116">
        <f t="shared" si="90"/>
        <v>-2023.8745430690922</v>
      </c>
      <c r="AJ116">
        <f t="shared" si="75"/>
        <v>26400</v>
      </c>
      <c r="AK116">
        <f t="shared" si="76"/>
        <v>5223.10638237696</v>
      </c>
      <c r="AL116">
        <v>1</v>
      </c>
      <c r="AM116">
        <f t="shared" si="77"/>
        <v>6.9987647074464006</v>
      </c>
      <c r="AN116">
        <f t="shared" si="91"/>
        <v>1259.541466418907</v>
      </c>
      <c r="AO116">
        <f t="shared" si="92"/>
        <v>-3592.1279803609727</v>
      </c>
      <c r="AQ116">
        <f t="shared" si="78"/>
        <v>1.486988847583643</v>
      </c>
      <c r="AR116">
        <f t="shared" si="79"/>
        <v>-121.93308550185874</v>
      </c>
      <c r="AT116">
        <f t="shared" si="104"/>
        <v>-237738.24382997488</v>
      </c>
      <c r="AU116">
        <f t="shared" si="105"/>
        <v>-744209.4366329828</v>
      </c>
      <c r="AV116">
        <f t="shared" si="93"/>
        <v>-1.8800009378038409</v>
      </c>
      <c r="AW116">
        <f t="shared" si="94"/>
        <v>-428546.53077840118</v>
      </c>
      <c r="AX116">
        <f t="shared" si="95"/>
        <v>-179777.72078906218</v>
      </c>
      <c r="AY116">
        <f t="shared" si="103"/>
        <v>-2.7443848997261675</v>
      </c>
      <c r="BA116">
        <f t="shared" si="80"/>
        <v>1.6811121810197682</v>
      </c>
      <c r="BB116">
        <f t="shared" si="96"/>
        <v>4.5119338996316358</v>
      </c>
      <c r="BC116">
        <f t="shared" si="97"/>
        <v>0.86438396192232658</v>
      </c>
      <c r="BD116">
        <f t="shared" si="81"/>
        <v>-130.47444704646264</v>
      </c>
      <c r="BF116">
        <f t="shared" si="82"/>
        <v>-1.6849604138935406</v>
      </c>
      <c r="BG116">
        <f t="shared" si="83"/>
        <v>-128.03787808969881</v>
      </c>
      <c r="BH116">
        <f t="shared" si="98"/>
        <v>51.962121910301192</v>
      </c>
      <c r="BI116">
        <f t="shared" si="99"/>
        <v>51.962121910301192</v>
      </c>
      <c r="BJ116">
        <f t="shared" si="84"/>
        <v>0</v>
      </c>
      <c r="BK116">
        <f t="shared" si="100"/>
        <v>0</v>
      </c>
      <c r="BM116">
        <f t="shared" si="101"/>
        <v>-6.1968943135251777</v>
      </c>
      <c r="BN116">
        <f t="shared" si="85"/>
        <v>-177.56343104323614</v>
      </c>
      <c r="BQ116" s="56">
        <f t="shared" si="102"/>
        <v>21.413894699916774</v>
      </c>
      <c r="BR116" s="59"/>
      <c r="BS116" s="59"/>
      <c r="BT116" s="59">
        <v>1148.154</v>
      </c>
      <c r="BU116" s="59">
        <v>13.7508</v>
      </c>
      <c r="BV116" s="59">
        <v>-259.94799999999998</v>
      </c>
      <c r="BW116" s="61"/>
      <c r="BY116" s="59"/>
      <c r="BZ116" s="59"/>
      <c r="CA116" s="59"/>
      <c r="CC116" s="59"/>
    </row>
    <row r="117" spans="1:81" x14ac:dyDescent="0.2">
      <c r="A117">
        <f t="shared" si="106"/>
        <v>41500</v>
      </c>
      <c r="B117">
        <f t="shared" si="86"/>
        <v>41.5</v>
      </c>
      <c r="C117">
        <f t="shared" si="55"/>
        <v>1.0000130597613339</v>
      </c>
      <c r="D117">
        <f t="shared" si="56"/>
        <v>5.1106984267049026E-3</v>
      </c>
      <c r="F117">
        <f t="shared" si="57"/>
        <v>3.1856475119354542E-2</v>
      </c>
      <c r="G117">
        <f t="shared" si="58"/>
        <v>3.6996956703946454E-2</v>
      </c>
      <c r="H117">
        <f t="shared" si="59"/>
        <v>-3.1045956932960537</v>
      </c>
      <c r="J117">
        <f t="shared" si="60"/>
        <v>15</v>
      </c>
      <c r="M117">
        <f t="shared" si="61"/>
        <v>3.0138460911498955E-2</v>
      </c>
      <c r="N117">
        <f t="shared" si="62"/>
        <v>-1.5707963250000001</v>
      </c>
      <c r="O117">
        <f t="shared" si="63"/>
        <v>8.2109316216539927</v>
      </c>
      <c r="P117">
        <f t="shared" si="64"/>
        <v>1.4487043667865929</v>
      </c>
      <c r="Q117">
        <f t="shared" si="65"/>
        <v>7.1543477947765588</v>
      </c>
      <c r="R117">
        <f t="shared" si="66"/>
        <v>1.4305620000069963</v>
      </c>
      <c r="S117">
        <f t="shared" si="67"/>
        <v>0.98053205610528216</v>
      </c>
      <c r="T117">
        <f t="shared" si="68"/>
        <v>-0.19764331860732201</v>
      </c>
      <c r="U117">
        <f t="shared" si="69"/>
        <v>0.98003034547405365</v>
      </c>
      <c r="V117">
        <f t="shared" si="70"/>
        <v>-0.20018229327610196</v>
      </c>
      <c r="X117">
        <f t="shared" si="87"/>
        <v>-1.7984094999652971</v>
      </c>
      <c r="Y117">
        <f t="shared" si="71"/>
        <v>-125.41132654249526</v>
      </c>
      <c r="Z117">
        <f t="shared" si="88"/>
        <v>54.58867345750474</v>
      </c>
      <c r="AC117">
        <v>1</v>
      </c>
      <c r="AD117">
        <f t="shared" si="72"/>
        <v>8.1498096968872495</v>
      </c>
      <c r="AE117">
        <f t="shared" si="73"/>
        <v>-2.5500968713669156E-4</v>
      </c>
      <c r="AF117">
        <f t="shared" si="74"/>
        <v>1.2568255555589999E-3</v>
      </c>
      <c r="AG117">
        <f t="shared" si="89"/>
        <v>6072.9867183901297</v>
      </c>
      <c r="AH117">
        <f t="shared" si="90"/>
        <v>-2027.8633194312911</v>
      </c>
      <c r="AJ117">
        <f t="shared" si="75"/>
        <v>26400</v>
      </c>
      <c r="AK117">
        <f t="shared" si="76"/>
        <v>5286.8028016742401</v>
      </c>
      <c r="AL117">
        <v>1</v>
      </c>
      <c r="AM117">
        <f t="shared" si="77"/>
        <v>7.0841154965616004</v>
      </c>
      <c r="AN117">
        <f t="shared" si="91"/>
        <v>1247.4886279427305</v>
      </c>
      <c r="AO117">
        <f t="shared" si="92"/>
        <v>-3550.5507193192261</v>
      </c>
      <c r="AQ117">
        <f t="shared" si="78"/>
        <v>1.4513788098693758</v>
      </c>
      <c r="AR117">
        <f t="shared" si="79"/>
        <v>-120.4644412191582</v>
      </c>
      <c r="AT117">
        <f t="shared" si="104"/>
        <v>-235471.2174084282</v>
      </c>
      <c r="AU117">
        <f t="shared" si="105"/>
        <v>-734522.14941337029</v>
      </c>
      <c r="AV117">
        <f t="shared" si="93"/>
        <v>-1.8810229702251162</v>
      </c>
      <c r="AW117">
        <f t="shared" si="94"/>
        <v>-418349.08557824441</v>
      </c>
      <c r="AX117">
        <f t="shared" si="95"/>
        <v>-176067.24347814286</v>
      </c>
      <c r="AY117">
        <f t="shared" si="103"/>
        <v>-2.7432321220956166</v>
      </c>
      <c r="BA117">
        <f t="shared" si="80"/>
        <v>1.699406433121619</v>
      </c>
      <c r="BB117">
        <f t="shared" si="96"/>
        <v>4.6059451589332898</v>
      </c>
      <c r="BC117">
        <f t="shared" si="97"/>
        <v>0.8622091518705004</v>
      </c>
      <c r="BD117">
        <f t="shared" si="81"/>
        <v>-130.5990544838173</v>
      </c>
      <c r="BF117">
        <f t="shared" si="82"/>
        <v>-1.8081618258169359</v>
      </c>
      <c r="BG117">
        <f t="shared" si="83"/>
        <v>-128.18646355688176</v>
      </c>
      <c r="BH117">
        <f t="shared" si="98"/>
        <v>51.813536443118238</v>
      </c>
      <c r="BI117">
        <f t="shared" si="99"/>
        <v>51.813536443118238</v>
      </c>
      <c r="BJ117">
        <f t="shared" si="84"/>
        <v>0</v>
      </c>
      <c r="BK117">
        <f t="shared" si="100"/>
        <v>0</v>
      </c>
      <c r="BM117">
        <f t="shared" si="101"/>
        <v>-6.4141069847502239</v>
      </c>
      <c r="BN117">
        <f t="shared" si="85"/>
        <v>-177.58740907306449</v>
      </c>
      <c r="BQ117" s="56">
        <f t="shared" si="102"/>
        <v>21.507905959218427</v>
      </c>
      <c r="BR117" s="59"/>
      <c r="BS117" s="59"/>
      <c r="BT117" s="59">
        <v>1174.8979999999999</v>
      </c>
      <c r="BU117" s="59">
        <v>13.6038</v>
      </c>
      <c r="BV117" s="59">
        <v>-260.19870000000003</v>
      </c>
      <c r="BW117" s="61"/>
      <c r="BY117" s="59"/>
      <c r="BZ117" s="59"/>
      <c r="CA117" s="59"/>
      <c r="CC117" s="59"/>
    </row>
    <row r="118" spans="1:81" x14ac:dyDescent="0.2">
      <c r="A118">
        <f t="shared" si="106"/>
        <v>42000</v>
      </c>
      <c r="B118">
        <f t="shared" si="86"/>
        <v>42</v>
      </c>
      <c r="C118">
        <f t="shared" si="55"/>
        <v>1.0000133763480019</v>
      </c>
      <c r="D118">
        <f t="shared" si="56"/>
        <v>5.1722720149069441E-3</v>
      </c>
      <c r="F118">
        <f t="shared" si="57"/>
        <v>3.1079574868092982E-2</v>
      </c>
      <c r="G118">
        <f t="shared" si="58"/>
        <v>3.65293593639767E-2</v>
      </c>
      <c r="H118">
        <f t="shared" si="59"/>
        <v>-3.1050632906360236</v>
      </c>
      <c r="J118">
        <f t="shared" si="60"/>
        <v>15</v>
      </c>
      <c r="M118">
        <f t="shared" si="61"/>
        <v>2.9779669710171586E-2</v>
      </c>
      <c r="N118">
        <f t="shared" si="62"/>
        <v>-1.5707963250000001</v>
      </c>
      <c r="O118">
        <f t="shared" si="63"/>
        <v>8.3083997791084236</v>
      </c>
      <c r="P118">
        <f t="shared" si="64"/>
        <v>1.4501436945558623</v>
      </c>
      <c r="Q118">
        <f t="shared" si="65"/>
        <v>7.2388705487428284</v>
      </c>
      <c r="R118">
        <f t="shared" si="66"/>
        <v>1.4322100367055011</v>
      </c>
      <c r="S118">
        <f t="shared" si="67"/>
        <v>0.98007413597534832</v>
      </c>
      <c r="T118">
        <f t="shared" si="68"/>
        <v>-0.19996195264034314</v>
      </c>
      <c r="U118">
        <f t="shared" si="69"/>
        <v>0.97956099189065149</v>
      </c>
      <c r="V118">
        <f t="shared" si="70"/>
        <v>-0.20252908737506831</v>
      </c>
      <c r="X118">
        <f t="shared" si="87"/>
        <v>-1.9205875810189621</v>
      </c>
      <c r="Y118">
        <f t="shared" si="71"/>
        <v>-125.52500637774588</v>
      </c>
      <c r="Z118">
        <f t="shared" si="88"/>
        <v>54.474993622254118</v>
      </c>
      <c r="AC118">
        <v>1</v>
      </c>
      <c r="AD118">
        <f t="shared" si="72"/>
        <v>8.2480001751629999</v>
      </c>
      <c r="AE118">
        <f t="shared" si="73"/>
        <v>-2.6119151581310726E-4</v>
      </c>
      <c r="AF118">
        <f t="shared" si="74"/>
        <v>1.2719680321319998E-3</v>
      </c>
      <c r="AG118">
        <f t="shared" si="89"/>
        <v>6067.171193302439</v>
      </c>
      <c r="AH118">
        <f t="shared" si="90"/>
        <v>-2032.0429251228645</v>
      </c>
      <c r="AJ118">
        <f t="shared" si="75"/>
        <v>26400</v>
      </c>
      <c r="AK118">
        <f t="shared" si="76"/>
        <v>5350.4992209715201</v>
      </c>
      <c r="AL118">
        <v>1</v>
      </c>
      <c r="AM118">
        <f t="shared" si="77"/>
        <v>7.1694662856768012</v>
      </c>
      <c r="AN118">
        <f t="shared" si="91"/>
        <v>1235.8527268816524</v>
      </c>
      <c r="AO118">
        <f t="shared" si="92"/>
        <v>-3509.9052384682268</v>
      </c>
      <c r="AQ118">
        <f t="shared" si="78"/>
        <v>1.4170327334561428</v>
      </c>
      <c r="AR118">
        <f t="shared" si="79"/>
        <v>-119.03074961031599</v>
      </c>
      <c r="AT118">
        <f t="shared" si="104"/>
        <v>-233278.21243732207</v>
      </c>
      <c r="AU118">
        <f t="shared" si="105"/>
        <v>-725059.40649359173</v>
      </c>
      <c r="AV118">
        <f t="shared" si="93"/>
        <v>-1.8820738468506892</v>
      </c>
      <c r="AW118">
        <f t="shared" si="94"/>
        <v>-408503.7264356293</v>
      </c>
      <c r="AX118">
        <f t="shared" si="95"/>
        <v>-172499.13885663686</v>
      </c>
      <c r="AY118">
        <f t="shared" si="103"/>
        <v>-2.7420360497081413</v>
      </c>
      <c r="BA118">
        <f t="shared" si="80"/>
        <v>1.7176566116423826</v>
      </c>
      <c r="BB118">
        <f t="shared" si="96"/>
        <v>4.6987269084745469</v>
      </c>
      <c r="BC118">
        <f t="shared" si="97"/>
        <v>0.85996220285745206</v>
      </c>
      <c r="BD118">
        <f t="shared" si="81"/>
        <v>-130.72779517919315</v>
      </c>
      <c r="BF118">
        <f t="shared" si="82"/>
        <v>-1.9298303350362334</v>
      </c>
      <c r="BG118">
        <f t="shared" si="83"/>
        <v>-128.33846769964259</v>
      </c>
      <c r="BH118">
        <f t="shared" si="98"/>
        <v>51.661532300357408</v>
      </c>
      <c r="BI118">
        <f t="shared" si="99"/>
        <v>51.661532300357408</v>
      </c>
      <c r="BJ118">
        <f t="shared" si="84"/>
        <v>0</v>
      </c>
      <c r="BK118">
        <f t="shared" si="100"/>
        <v>0</v>
      </c>
      <c r="BM118">
        <f t="shared" si="101"/>
        <v>-6.6285572435107802</v>
      </c>
      <c r="BN118">
        <f t="shared" si="85"/>
        <v>-177.61067252044947</v>
      </c>
      <c r="BQ118" s="56">
        <f t="shared" si="102"/>
        <v>21.600687708759683</v>
      </c>
      <c r="BR118" s="59"/>
      <c r="BS118" s="59"/>
      <c r="BT118" s="59">
        <v>1202.2639999999999</v>
      </c>
      <c r="BU118" s="59">
        <v>13.412800000000001</v>
      </c>
      <c r="BV118" s="59">
        <v>-259.34100000000001</v>
      </c>
      <c r="BW118" s="61"/>
      <c r="BY118" s="59"/>
      <c r="BZ118" s="59"/>
      <c r="CA118" s="59"/>
      <c r="CC118" s="59"/>
    </row>
    <row r="119" spans="1:81" x14ac:dyDescent="0.2">
      <c r="A119">
        <f t="shared" si="106"/>
        <v>42500</v>
      </c>
      <c r="B119">
        <f t="shared" si="86"/>
        <v>42.5</v>
      </c>
      <c r="C119">
        <f t="shared" si="55"/>
        <v>1.0000136967260251</v>
      </c>
      <c r="D119">
        <f t="shared" si="56"/>
        <v>5.2338455638893224E-3</v>
      </c>
      <c r="F119">
        <f t="shared" si="57"/>
        <v>3.0331017348448994E-2</v>
      </c>
      <c r="G119">
        <f t="shared" si="58"/>
        <v>3.607374315869917E-2</v>
      </c>
      <c r="H119">
        <f t="shared" si="59"/>
        <v>-3.1055189068413012</v>
      </c>
      <c r="J119">
        <f t="shared" si="60"/>
        <v>15</v>
      </c>
      <c r="M119">
        <f t="shared" si="61"/>
        <v>2.9429320654757805E-2</v>
      </c>
      <c r="N119">
        <f t="shared" si="62"/>
        <v>-1.5707963250000001</v>
      </c>
      <c r="O119">
        <f t="shared" si="63"/>
        <v>8.4058847495994371</v>
      </c>
      <c r="P119">
        <f t="shared" si="64"/>
        <v>1.4515496407542208</v>
      </c>
      <c r="Q119">
        <f t="shared" si="65"/>
        <v>7.3234125097998923</v>
      </c>
      <c r="R119">
        <f t="shared" si="66"/>
        <v>1.433820027602545</v>
      </c>
      <c r="S119">
        <f t="shared" si="67"/>
        <v>0.97961138428999661</v>
      </c>
      <c r="T119">
        <f t="shared" si="68"/>
        <v>-0.20227840958510801</v>
      </c>
      <c r="U119">
        <f t="shared" si="69"/>
        <v>0.97908670314992541</v>
      </c>
      <c r="V119">
        <f t="shared" si="70"/>
        <v>-0.20487362181104807</v>
      </c>
      <c r="X119">
        <f t="shared" si="87"/>
        <v>-2.0412734662007188</v>
      </c>
      <c r="Y119">
        <f t="shared" si="71"/>
        <v>-125.64183802665326</v>
      </c>
      <c r="Z119">
        <f t="shared" si="88"/>
        <v>54.358161973346739</v>
      </c>
      <c r="AC119">
        <v>1</v>
      </c>
      <c r="AD119">
        <f t="shared" si="72"/>
        <v>8.3461906534387502</v>
      </c>
      <c r="AE119">
        <f t="shared" si="73"/>
        <v>-2.6744737836588721E-4</v>
      </c>
      <c r="AF119">
        <f t="shared" si="74"/>
        <v>1.2871105087049999E-3</v>
      </c>
      <c r="AG119">
        <f t="shared" si="89"/>
        <v>6061.2973490688273</v>
      </c>
      <c r="AH119">
        <f t="shared" si="90"/>
        <v>-2036.4048524020704</v>
      </c>
      <c r="AJ119">
        <f t="shared" si="75"/>
        <v>26400</v>
      </c>
      <c r="AK119">
        <f t="shared" si="76"/>
        <v>5414.1956402688002</v>
      </c>
      <c r="AL119">
        <v>1</v>
      </c>
      <c r="AM119">
        <f t="shared" si="77"/>
        <v>7.2548170747920011</v>
      </c>
      <c r="AN119">
        <f t="shared" si="91"/>
        <v>1224.6148736563503</v>
      </c>
      <c r="AO119">
        <f t="shared" si="92"/>
        <v>-3470.1612551775384</v>
      </c>
      <c r="AQ119">
        <f t="shared" si="78"/>
        <v>1.3838915029061722</v>
      </c>
      <c r="AR119">
        <f t="shared" si="79"/>
        <v>-117.63077774702464</v>
      </c>
      <c r="AT119">
        <f t="shared" si="104"/>
        <v>-231155.7086979064</v>
      </c>
      <c r="AU119">
        <f t="shared" si="105"/>
        <v>-715813.28469866095</v>
      </c>
      <c r="AV119">
        <f t="shared" si="93"/>
        <v>-1.8831524714968617</v>
      </c>
      <c r="AW119">
        <f t="shared" si="94"/>
        <v>-398994.55747050041</v>
      </c>
      <c r="AX119">
        <f t="shared" si="95"/>
        <v>-169065.9746160339</v>
      </c>
      <c r="AY119">
        <f t="shared" si="103"/>
        <v>-2.7407981762665554</v>
      </c>
      <c r="BA119">
        <f t="shared" si="80"/>
        <v>1.735861804339178</v>
      </c>
      <c r="BB119">
        <f t="shared" si="96"/>
        <v>4.7903029421329686</v>
      </c>
      <c r="BC119">
        <f t="shared" si="97"/>
        <v>0.85764570476969371</v>
      </c>
      <c r="BD119">
        <f t="shared" si="81"/>
        <v>-130.8605207430235</v>
      </c>
      <c r="BF119">
        <f t="shared" si="82"/>
        <v>-2.050013360270261</v>
      </c>
      <c r="BG119">
        <f t="shared" si="83"/>
        <v>-128.49377024465255</v>
      </c>
      <c r="BH119">
        <f t="shared" si="98"/>
        <v>51.506229755347448</v>
      </c>
      <c r="BI119">
        <f t="shared" si="99"/>
        <v>51.506229755347448</v>
      </c>
      <c r="BJ119">
        <f t="shared" si="84"/>
        <v>0</v>
      </c>
      <c r="BK119">
        <f t="shared" si="100"/>
        <v>0</v>
      </c>
      <c r="BM119">
        <f t="shared" si="101"/>
        <v>-6.8403163024032301</v>
      </c>
      <c r="BN119">
        <f t="shared" si="85"/>
        <v>-177.63324950162908</v>
      </c>
      <c r="BQ119" s="56">
        <f t="shared" si="102"/>
        <v>21.692263742418106</v>
      </c>
      <c r="BR119" s="59"/>
      <c r="BS119" s="59"/>
      <c r="BT119" s="59">
        <v>1230.269</v>
      </c>
      <c r="BU119" s="59">
        <v>13.1837</v>
      </c>
      <c r="BV119" s="59">
        <v>-259.55099999999999</v>
      </c>
      <c r="BW119" s="61"/>
      <c r="BY119" s="59"/>
      <c r="BZ119" s="59"/>
      <c r="CA119" s="59"/>
      <c r="CC119" s="59"/>
    </row>
    <row r="120" spans="1:81" x14ac:dyDescent="0.2">
      <c r="A120">
        <f t="shared" si="106"/>
        <v>43000</v>
      </c>
      <c r="B120">
        <f t="shared" si="86"/>
        <v>43</v>
      </c>
      <c r="C120">
        <f t="shared" si="55"/>
        <v>1.0000140208953996</v>
      </c>
      <c r="D120">
        <f t="shared" si="56"/>
        <v>5.2954190731851853E-3</v>
      </c>
      <c r="F120">
        <f t="shared" si="57"/>
        <v>2.9609428297099991E-2</v>
      </c>
      <c r="G120">
        <f t="shared" si="58"/>
        <v>3.562964324580517E-2</v>
      </c>
      <c r="H120">
        <f t="shared" si="59"/>
        <v>-3.105963006754195</v>
      </c>
      <c r="J120">
        <f t="shared" si="60"/>
        <v>15</v>
      </c>
      <c r="M120">
        <f t="shared" si="61"/>
        <v>2.9087119251795506E-2</v>
      </c>
      <c r="N120">
        <f t="shared" si="62"/>
        <v>-1.5707963250000001</v>
      </c>
      <c r="O120">
        <f t="shared" si="63"/>
        <v>8.5033859548803186</v>
      </c>
      <c r="P120">
        <f t="shared" si="64"/>
        <v>1.4529233480011217</v>
      </c>
      <c r="Q120">
        <f t="shared" si="65"/>
        <v>7.4079730203569172</v>
      </c>
      <c r="R120">
        <f t="shared" si="66"/>
        <v>1.435393267060773</v>
      </c>
      <c r="S120">
        <f t="shared" si="67"/>
        <v>0.97914382277769429</v>
      </c>
      <c r="T120">
        <f t="shared" si="68"/>
        <v>-0.20459266768160464</v>
      </c>
      <c r="U120">
        <f t="shared" si="69"/>
        <v>0.97860750204792857</v>
      </c>
      <c r="V120">
        <f t="shared" si="70"/>
        <v>-0.20721587410851966</v>
      </c>
      <c r="X120">
        <f t="shared" si="87"/>
        <v>-2.1605121142851846</v>
      </c>
      <c r="Y120">
        <f t="shared" si="71"/>
        <v>-125.76170595944802</v>
      </c>
      <c r="Z120">
        <f t="shared" si="88"/>
        <v>54.238294040551978</v>
      </c>
      <c r="AC120">
        <v>1</v>
      </c>
      <c r="AD120">
        <f t="shared" si="72"/>
        <v>8.4443811317144988</v>
      </c>
      <c r="AE120">
        <f t="shared" si="73"/>
        <v>-2.7377727479503135E-4</v>
      </c>
      <c r="AF120">
        <f t="shared" si="74"/>
        <v>1.3022529852780001E-3</v>
      </c>
      <c r="AG120">
        <f t="shared" si="89"/>
        <v>6055.3655566023481</v>
      </c>
      <c r="AH120">
        <f t="shared" si="90"/>
        <v>-2040.9409769230879</v>
      </c>
      <c r="AJ120">
        <f t="shared" si="75"/>
        <v>26400</v>
      </c>
      <c r="AK120">
        <f t="shared" si="76"/>
        <v>5477.8920595660802</v>
      </c>
      <c r="AL120">
        <v>1</v>
      </c>
      <c r="AM120">
        <f t="shared" si="77"/>
        <v>7.340167863907201</v>
      </c>
      <c r="AN120">
        <f t="shared" si="91"/>
        <v>1213.7572296547687</v>
      </c>
      <c r="AO120">
        <f t="shared" si="92"/>
        <v>-3431.2897521308851</v>
      </c>
      <c r="AQ120">
        <f t="shared" si="78"/>
        <v>1.35189941868325</v>
      </c>
      <c r="AR120">
        <f t="shared" si="79"/>
        <v>-116.2633500067595</v>
      </c>
      <c r="AT120">
        <f t="shared" si="104"/>
        <v>-229100.38996726132</v>
      </c>
      <c r="AU120">
        <f t="shared" si="105"/>
        <v>-706776.23204640392</v>
      </c>
      <c r="AV120">
        <f t="shared" si="93"/>
        <v>-1.8842577967408074</v>
      </c>
      <c r="AW120">
        <f t="shared" si="94"/>
        <v>-389806.56353233242</v>
      </c>
      <c r="AX120">
        <f t="shared" si="95"/>
        <v>-165760.79636851503</v>
      </c>
      <c r="AY120">
        <f t="shared" si="103"/>
        <v>-2.7395199292880021</v>
      </c>
      <c r="BA120">
        <f t="shared" si="80"/>
        <v>1.7540211154826142</v>
      </c>
      <c r="BB120">
        <f t="shared" si="96"/>
        <v>4.8806963448237415</v>
      </c>
      <c r="BC120">
        <f t="shared" si="97"/>
        <v>0.85526213254719474</v>
      </c>
      <c r="BD120">
        <f t="shared" si="81"/>
        <v>-130.99708937169333</v>
      </c>
      <c r="BF120">
        <f t="shared" si="82"/>
        <v>-2.1687562499089612</v>
      </c>
      <c r="BG120">
        <f t="shared" si="83"/>
        <v>-128.65225602182596</v>
      </c>
      <c r="BH120">
        <f t="shared" si="98"/>
        <v>51.347743978174037</v>
      </c>
      <c r="BI120">
        <f t="shared" si="99"/>
        <v>51.347743978174037</v>
      </c>
      <c r="BJ120">
        <f t="shared" si="84"/>
        <v>0</v>
      </c>
      <c r="BK120">
        <f t="shared" si="100"/>
        <v>0</v>
      </c>
      <c r="BM120">
        <f t="shared" si="101"/>
        <v>-7.0494525947327027</v>
      </c>
      <c r="BN120">
        <f t="shared" si="85"/>
        <v>-177.6551666501326</v>
      </c>
      <c r="BQ120" s="56">
        <f t="shared" si="102"/>
        <v>21.782657145108878</v>
      </c>
      <c r="BR120" s="59"/>
      <c r="BS120" s="59"/>
      <c r="BT120" s="59">
        <v>1258.925</v>
      </c>
      <c r="BU120" s="59">
        <v>13.0792</v>
      </c>
      <c r="BV120" s="59">
        <v>-259.27199999999999</v>
      </c>
      <c r="BW120" s="61"/>
      <c r="BY120" s="59"/>
      <c r="BZ120" s="59"/>
      <c r="CA120" s="59"/>
      <c r="CC120" s="59"/>
    </row>
    <row r="121" spans="1:81" x14ac:dyDescent="0.2">
      <c r="A121">
        <f t="shared" si="106"/>
        <v>43500</v>
      </c>
      <c r="B121">
        <f t="shared" si="86"/>
        <v>43.5</v>
      </c>
      <c r="C121">
        <f t="shared" si="55"/>
        <v>1.0000143488561219</v>
      </c>
      <c r="D121">
        <f t="shared" si="56"/>
        <v>5.3569925423276859E-3</v>
      </c>
      <c r="F121">
        <f t="shared" si="57"/>
        <v>2.8913516434565301E-2</v>
      </c>
      <c r="G121">
        <f t="shared" si="58"/>
        <v>3.5196618953348142E-2</v>
      </c>
      <c r="H121">
        <f t="shared" si="59"/>
        <v>-3.1063960310466521</v>
      </c>
      <c r="J121">
        <f t="shared" si="60"/>
        <v>15</v>
      </c>
      <c r="M121">
        <f t="shared" si="61"/>
        <v>2.8752784547751879E-2</v>
      </c>
      <c r="N121">
        <f t="shared" si="62"/>
        <v>-1.5707963250000001</v>
      </c>
      <c r="O121">
        <f t="shared" si="63"/>
        <v>8.600902842830596</v>
      </c>
      <c r="P121">
        <f t="shared" si="64"/>
        <v>1.4542659075957738</v>
      </c>
      <c r="Q121">
        <f t="shared" si="65"/>
        <v>7.4925514523681196</v>
      </c>
      <c r="R121">
        <f t="shared" si="66"/>
        <v>1.4369309917451325</v>
      </c>
      <c r="S121">
        <f t="shared" si="67"/>
        <v>0.9786714733362275</v>
      </c>
      <c r="T121">
        <f t="shared" si="68"/>
        <v>-0.20690470530532259</v>
      </c>
      <c r="U121">
        <f t="shared" si="69"/>
        <v>0.97812341155598048</v>
      </c>
      <c r="V121">
        <f t="shared" si="70"/>
        <v>-0.20955582193585412</v>
      </c>
      <c r="X121">
        <f t="shared" si="87"/>
        <v>-2.278346532347054</v>
      </c>
      <c r="Y121">
        <f t="shared" si="71"/>
        <v>-125.88449952377719</v>
      </c>
      <c r="Z121">
        <f t="shared" si="88"/>
        <v>54.115500476222806</v>
      </c>
      <c r="AC121">
        <v>1</v>
      </c>
      <c r="AD121">
        <f t="shared" si="72"/>
        <v>8.5425716099902509</v>
      </c>
      <c r="AE121">
        <f t="shared" si="73"/>
        <v>-2.8018120510053969E-4</v>
      </c>
      <c r="AF121">
        <f t="shared" si="74"/>
        <v>1.317395461851E-3</v>
      </c>
      <c r="AG121">
        <f t="shared" si="89"/>
        <v>6049.3761893497476</v>
      </c>
      <c r="AH121">
        <f t="shared" si="90"/>
        <v>-2045.6435359599891</v>
      </c>
      <c r="AJ121">
        <f t="shared" si="75"/>
        <v>26400</v>
      </c>
      <c r="AK121">
        <f t="shared" si="76"/>
        <v>5541.5884788633603</v>
      </c>
      <c r="AL121">
        <v>1</v>
      </c>
      <c r="AM121">
        <f t="shared" si="77"/>
        <v>7.4255186530224</v>
      </c>
      <c r="AN121">
        <f t="shared" si="91"/>
        <v>1203.2629382889234</v>
      </c>
      <c r="AO121">
        <f t="shared" si="92"/>
        <v>-3393.2629138915813</v>
      </c>
      <c r="AQ121">
        <f t="shared" si="78"/>
        <v>1.321003963011889</v>
      </c>
      <c r="AR121">
        <f t="shared" si="79"/>
        <v>-114.92734478203434</v>
      </c>
      <c r="AT121">
        <f t="shared" si="104"/>
        <v>-227109.13003853278</v>
      </c>
      <c r="AU121">
        <f t="shared" si="105"/>
        <v>-697941.04624754027</v>
      </c>
      <c r="AV121">
        <f t="shared" si="93"/>
        <v>-1.8853888212148431</v>
      </c>
      <c r="AW121">
        <f t="shared" si="94"/>
        <v>-380925.5527139965</v>
      </c>
      <c r="AX121">
        <f t="shared" si="95"/>
        <v>-162577.09160836233</v>
      </c>
      <c r="AY121">
        <f t="shared" si="103"/>
        <v>-2.7382026738128791</v>
      </c>
      <c r="BA121">
        <f t="shared" si="80"/>
        <v>1.7721336650981425</v>
      </c>
      <c r="BB121">
        <f t="shared" si="96"/>
        <v>4.9699295183485033</v>
      </c>
      <c r="BC121">
        <f t="shared" si="97"/>
        <v>0.85281385259803599</v>
      </c>
      <c r="BD121">
        <f t="shared" si="81"/>
        <v>-131.13736548000696</v>
      </c>
      <c r="BF121">
        <f t="shared" si="82"/>
        <v>-2.2861024015000515</v>
      </c>
      <c r="BG121">
        <f t="shared" si="83"/>
        <v>-128.81381469463645</v>
      </c>
      <c r="BH121">
        <f t="shared" si="98"/>
        <v>51.186185305363551</v>
      </c>
      <c r="BI121">
        <f t="shared" si="99"/>
        <v>51.186185305363551</v>
      </c>
      <c r="BJ121">
        <f t="shared" si="84"/>
        <v>0</v>
      </c>
      <c r="BK121">
        <f t="shared" si="100"/>
        <v>0</v>
      </c>
      <c r="BM121">
        <f t="shared" si="101"/>
        <v>-7.256031919848553</v>
      </c>
      <c r="BN121">
        <f t="shared" si="85"/>
        <v>-177.67644921462951</v>
      </c>
      <c r="BQ121" s="56">
        <f t="shared" si="102"/>
        <v>21.871890318633639</v>
      </c>
      <c r="BR121" s="59"/>
      <c r="BS121" s="59"/>
      <c r="BT121" s="59">
        <v>1288.25</v>
      </c>
      <c r="BU121" s="59">
        <v>12.807</v>
      </c>
      <c r="BV121" s="59">
        <v>-258.86099999999999</v>
      </c>
      <c r="BW121" s="61"/>
      <c r="BY121" s="59"/>
      <c r="BZ121" s="59"/>
      <c r="CA121" s="59"/>
      <c r="CC121" s="59"/>
    </row>
    <row r="122" spans="1:81" x14ac:dyDescent="0.2">
      <c r="A122">
        <f t="shared" si="106"/>
        <v>44000</v>
      </c>
      <c r="B122">
        <f t="shared" si="86"/>
        <v>44</v>
      </c>
      <c r="C122">
        <f t="shared" si="55"/>
        <v>1.0000146806081882</v>
      </c>
      <c r="D122">
        <f t="shared" si="56"/>
        <v>5.4185659708499787E-3</v>
      </c>
      <c r="F122">
        <f t="shared" si="57"/>
        <v>2.8242067477739618E-2</v>
      </c>
      <c r="G122">
        <f t="shared" si="58"/>
        <v>3.4774252206887117E-2</v>
      </c>
      <c r="H122">
        <f t="shared" si="59"/>
        <v>-3.1068183977931132</v>
      </c>
      <c r="J122">
        <f t="shared" si="60"/>
        <v>15</v>
      </c>
      <c r="M122">
        <f t="shared" si="61"/>
        <v>2.8426048359709244E-2</v>
      </c>
      <c r="N122">
        <f t="shared" si="62"/>
        <v>-1.5707963250000001</v>
      </c>
      <c r="O122">
        <f t="shared" si="63"/>
        <v>8.6984348860019072</v>
      </c>
      <c r="P122">
        <f t="shared" si="64"/>
        <v>1.4555783623532432</v>
      </c>
      <c r="Q122">
        <f t="shared" si="65"/>
        <v>7.577147205699279</v>
      </c>
      <c r="R122">
        <f t="shared" si="66"/>
        <v>1.4384343837826625</v>
      </c>
      <c r="S122">
        <f t="shared" si="67"/>
        <v>0.97819435803002108</v>
      </c>
      <c r="T122">
        <f t="shared" si="68"/>
        <v>-0.20921450096818281</v>
      </c>
      <c r="U122">
        <f t="shared" si="69"/>
        <v>0.9776344548177972</v>
      </c>
      <c r="V122">
        <f t="shared" si="70"/>
        <v>-0.21189344310628411</v>
      </c>
      <c r="X122">
        <f t="shared" si="87"/>
        <v>-2.3948178868630725</v>
      </c>
      <c r="Y122">
        <f t="shared" si="71"/>
        <v>-126.01011269139183</v>
      </c>
      <c r="Z122">
        <f t="shared" si="88"/>
        <v>53.989887308608175</v>
      </c>
      <c r="AC122">
        <v>1</v>
      </c>
      <c r="AD122">
        <f t="shared" si="72"/>
        <v>8.6407620882659995</v>
      </c>
      <c r="AE122">
        <f t="shared" si="73"/>
        <v>-2.8665916928241245E-4</v>
      </c>
      <c r="AF122">
        <f t="shared" si="74"/>
        <v>1.3325379384239999E-3</v>
      </c>
      <c r="AG122">
        <f t="shared" si="89"/>
        <v>6043.3296232364082</v>
      </c>
      <c r="AH122">
        <f t="shared" si="90"/>
        <v>-2050.5051081159754</v>
      </c>
      <c r="AJ122">
        <f t="shared" si="75"/>
        <v>26400</v>
      </c>
      <c r="AK122">
        <f t="shared" si="76"/>
        <v>5605.2848981606403</v>
      </c>
      <c r="AL122">
        <v>1</v>
      </c>
      <c r="AM122">
        <f t="shared" si="77"/>
        <v>7.5108694421376008</v>
      </c>
      <c r="AN122">
        <f t="shared" si="91"/>
        <v>1193.1160612363126</v>
      </c>
      <c r="AO122">
        <f t="shared" si="92"/>
        <v>-3356.0540671027543</v>
      </c>
      <c r="AQ122">
        <f t="shared" si="78"/>
        <v>1.2911555842479019</v>
      </c>
      <c r="AR122">
        <f t="shared" si="79"/>
        <v>-113.62169141381537</v>
      </c>
      <c r="AT122">
        <f t="shared" si="104"/>
        <v>-225178.97984631301</v>
      </c>
      <c r="AU122">
        <f t="shared" si="105"/>
        <v>-689300.8546842091</v>
      </c>
      <c r="AV122">
        <f t="shared" si="93"/>
        <v>-1.8865445870785431</v>
      </c>
      <c r="AW122">
        <f t="shared" si="94"/>
        <v>-372338.10316263471</v>
      </c>
      <c r="AX122">
        <f t="shared" si="95"/>
        <v>-159508.75676755887</v>
      </c>
      <c r="AY122">
        <f t="shared" si="103"/>
        <v>-2.736847715870558</v>
      </c>
      <c r="BA122">
        <f t="shared" si="80"/>
        <v>1.7901985882646052</v>
      </c>
      <c r="BB122">
        <f t="shared" si="96"/>
        <v>5.0580242062308498</v>
      </c>
      <c r="BC122">
        <f t="shared" si="97"/>
        <v>0.85030312879201486</v>
      </c>
      <c r="BD122">
        <f t="shared" si="81"/>
        <v>-131.28121935777935</v>
      </c>
      <c r="BF122">
        <f t="shared" si="82"/>
        <v>-2.4020933727406635</v>
      </c>
      <c r="BG122">
        <f t="shared" si="83"/>
        <v>-128.97834050682692</v>
      </c>
      <c r="BH122">
        <f t="shared" si="98"/>
        <v>51.021659493173075</v>
      </c>
      <c r="BI122">
        <f t="shared" si="99"/>
        <v>51.021659493173075</v>
      </c>
      <c r="BJ122">
        <f t="shared" si="84"/>
        <v>0</v>
      </c>
      <c r="BK122">
        <f t="shared" si="100"/>
        <v>0</v>
      </c>
      <c r="BM122">
        <f t="shared" si="101"/>
        <v>-7.4601175789715137</v>
      </c>
      <c r="BN122">
        <f t="shared" si="85"/>
        <v>-177.69712114904758</v>
      </c>
      <c r="BQ122" s="56">
        <f t="shared" si="102"/>
        <v>21.959985006515986</v>
      </c>
      <c r="BR122" s="59"/>
      <c r="BS122" s="59"/>
      <c r="BT122" s="59">
        <v>1318.2570000000001</v>
      </c>
      <c r="BU122" s="59">
        <v>12.682600000000001</v>
      </c>
      <c r="BV122" s="59">
        <v>-258.68299999999999</v>
      </c>
      <c r="BW122" s="61"/>
      <c r="BY122" s="59"/>
      <c r="BZ122" s="59"/>
      <c r="CA122" s="59"/>
      <c r="CC122" s="59"/>
    </row>
    <row r="123" spans="1:81" x14ac:dyDescent="0.2">
      <c r="A123">
        <f t="shared" si="106"/>
        <v>44500</v>
      </c>
      <c r="B123">
        <f t="shared" si="86"/>
        <v>44.5</v>
      </c>
      <c r="C123">
        <f t="shared" si="55"/>
        <v>1.0000150161515946</v>
      </c>
      <c r="D123">
        <f t="shared" si="56"/>
        <v>5.4801393582852168E-3</v>
      </c>
      <c r="F123">
        <f t="shared" si="57"/>
        <v>2.7593938654006389E-2</v>
      </c>
      <c r="G123">
        <f t="shared" si="58"/>
        <v>3.4362146079187528E-2</v>
      </c>
      <c r="H123">
        <f t="shared" si="59"/>
        <v>-3.1072305039208126</v>
      </c>
      <c r="J123">
        <f t="shared" si="60"/>
        <v>15</v>
      </c>
      <c r="M123">
        <f t="shared" si="61"/>
        <v>2.8106654557914761E-2</v>
      </c>
      <c r="N123">
        <f t="shared" si="62"/>
        <v>-1.5707963250000001</v>
      </c>
      <c r="O123">
        <f t="shared" si="63"/>
        <v>8.7959815802596282</v>
      </c>
      <c r="P123">
        <f t="shared" si="64"/>
        <v>1.4568617092553999</v>
      </c>
      <c r="Q123">
        <f t="shared" si="65"/>
        <v>7.6617597066009813</v>
      </c>
      <c r="R123">
        <f t="shared" si="66"/>
        <v>1.4399045737181704</v>
      </c>
      <c r="S123">
        <f t="shared" si="67"/>
        <v>0.97771249908745328</v>
      </c>
      <c r="T123">
        <f t="shared" si="68"/>
        <v>-0.21152203331944724</v>
      </c>
      <c r="U123">
        <f t="shared" si="69"/>
        <v>0.97714065514661086</v>
      </c>
      <c r="V123">
        <f t="shared" si="70"/>
        <v>-0.2142287155788514</v>
      </c>
      <c r="X123">
        <f t="shared" si="87"/>
        <v>-2.5099656070290104</v>
      </c>
      <c r="Y123">
        <f t="shared" si="71"/>
        <v>-126.13844382011334</v>
      </c>
      <c r="Z123">
        <f t="shared" si="88"/>
        <v>53.861556179886662</v>
      </c>
      <c r="AC123">
        <v>1</v>
      </c>
      <c r="AD123">
        <f t="shared" si="72"/>
        <v>8.7389525665417498</v>
      </c>
      <c r="AE123">
        <f t="shared" si="73"/>
        <v>-2.932111673406494E-4</v>
      </c>
      <c r="AF123">
        <f t="shared" si="74"/>
        <v>1.3476804149970001E-3</v>
      </c>
      <c r="AG123">
        <f t="shared" si="89"/>
        <v>6037.2262366112482</v>
      </c>
      <c r="AH123">
        <f t="shared" si="90"/>
        <v>-2055.5185944009927</v>
      </c>
      <c r="AJ123">
        <f t="shared" si="75"/>
        <v>26400</v>
      </c>
      <c r="AK123">
        <f t="shared" si="76"/>
        <v>5668.9813174579203</v>
      </c>
      <c r="AL123">
        <v>1</v>
      </c>
      <c r="AM123">
        <f t="shared" si="77"/>
        <v>7.5962202312528007</v>
      </c>
      <c r="AN123">
        <f t="shared" si="91"/>
        <v>1183.3015194281195</v>
      </c>
      <c r="AO123">
        <f t="shared" si="92"/>
        <v>-3319.6376240941395</v>
      </c>
      <c r="AQ123">
        <f t="shared" si="78"/>
        <v>1.2623074981065388</v>
      </c>
      <c r="AR123">
        <f t="shared" si="79"/>
        <v>-112.34536733148195</v>
      </c>
      <c r="AT123">
        <f t="shared" si="104"/>
        <v>-223307.15559843107</v>
      </c>
      <c r="AU123">
        <f t="shared" si="105"/>
        <v>-680849.09574956086</v>
      </c>
      <c r="AV123">
        <f t="shared" si="93"/>
        <v>-1.887724177655282</v>
      </c>
      <c r="AW123">
        <f t="shared" si="94"/>
        <v>-364031.51382728305</v>
      </c>
      <c r="AX123">
        <f t="shared" si="95"/>
        <v>-156550.06706905758</v>
      </c>
      <c r="AY123">
        <f t="shared" si="103"/>
        <v>-2.7354563057201591</v>
      </c>
      <c r="BA123">
        <f t="shared" si="80"/>
        <v>1.8082150344655499</v>
      </c>
      <c r="BB123">
        <f t="shared" si="96"/>
        <v>5.1450015175731769</v>
      </c>
      <c r="BC123">
        <f t="shared" si="97"/>
        <v>0.84773212806487708</v>
      </c>
      <c r="BD123">
        <f t="shared" si="81"/>
        <v>-131.42852684873773</v>
      </c>
      <c r="BF123">
        <f t="shared" si="82"/>
        <v>-2.5167689846838592</v>
      </c>
      <c r="BG123">
        <f t="shared" si="83"/>
        <v>-129.14573204440651</v>
      </c>
      <c r="BH123">
        <f t="shared" si="98"/>
        <v>50.854267955593485</v>
      </c>
      <c r="BI123">
        <f t="shared" si="99"/>
        <v>50.854267955593485</v>
      </c>
      <c r="BJ123">
        <f t="shared" si="84"/>
        <v>0</v>
      </c>
      <c r="BK123">
        <f t="shared" si="100"/>
        <v>0</v>
      </c>
      <c r="BM123">
        <f t="shared" si="101"/>
        <v>-7.6617705022570357</v>
      </c>
      <c r="BN123">
        <f t="shared" si="85"/>
        <v>-177.71720519566878</v>
      </c>
      <c r="BQ123" s="56">
        <f t="shared" si="102"/>
        <v>22.046962317858316</v>
      </c>
      <c r="BR123" s="59"/>
      <c r="BS123" s="59"/>
      <c r="BT123" s="59">
        <v>1348.963</v>
      </c>
      <c r="BU123" s="59">
        <v>12.475899999999999</v>
      </c>
      <c r="BV123" s="59">
        <v>-258.79700000000003</v>
      </c>
      <c r="BW123" s="61"/>
      <c r="BY123" s="59"/>
      <c r="BZ123" s="59"/>
      <c r="CA123" s="59"/>
      <c r="CC123" s="59"/>
    </row>
    <row r="124" spans="1:81" x14ac:dyDescent="0.2">
      <c r="A124">
        <f t="shared" si="106"/>
        <v>45000</v>
      </c>
      <c r="B124">
        <f t="shared" si="86"/>
        <v>45</v>
      </c>
      <c r="C124">
        <f t="shared" si="55"/>
        <v>1.0000153554863376</v>
      </c>
      <c r="D124">
        <f t="shared" si="56"/>
        <v>5.54171270416656E-3</v>
      </c>
      <c r="F124">
        <f t="shared" si="57"/>
        <v>2.6968053669168286E-2</v>
      </c>
      <c r="G124">
        <f t="shared" si="58"/>
        <v>3.3959923451392003E-2</v>
      </c>
      <c r="H124">
        <f t="shared" si="59"/>
        <v>-3.1076327265486081</v>
      </c>
      <c r="J124">
        <f t="shared" si="60"/>
        <v>15</v>
      </c>
      <c r="M124">
        <f t="shared" si="61"/>
        <v>2.7794358396160148E-2</v>
      </c>
      <c r="N124">
        <f t="shared" si="62"/>
        <v>-1.5707963250000001</v>
      </c>
      <c r="O124">
        <f t="shared" si="63"/>
        <v>8.8935424435129526</v>
      </c>
      <c r="P124">
        <f t="shared" si="64"/>
        <v>1.4581169019305897</v>
      </c>
      <c r="Q124">
        <f t="shared" si="65"/>
        <v>7.746388406280535</v>
      </c>
      <c r="R124">
        <f t="shared" si="66"/>
        <v>1.4413426432809116</v>
      </c>
      <c r="S124">
        <f t="shared" si="67"/>
        <v>0.97722591889815902</v>
      </c>
      <c r="T124">
        <f t="shared" si="68"/>
        <v>-0.21382728114660954</v>
      </c>
      <c r="U124">
        <f t="shared" si="69"/>
        <v>0.97664203602228195</v>
      </c>
      <c r="V124">
        <f t="shared" si="70"/>
        <v>-0.21656161745933336</v>
      </c>
      <c r="X124">
        <f t="shared" si="87"/>
        <v>-2.6238274809339597</v>
      </c>
      <c r="Y124">
        <f t="shared" si="71"/>
        <v>-126.26939543005327</v>
      </c>
      <c r="Z124">
        <f t="shared" si="88"/>
        <v>53.730604569946735</v>
      </c>
      <c r="AC124">
        <v>1</v>
      </c>
      <c r="AD124">
        <f t="shared" si="72"/>
        <v>8.8371430448175001</v>
      </c>
      <c r="AE124">
        <f t="shared" si="73"/>
        <v>-2.9983719927525066E-4</v>
      </c>
      <c r="AF124">
        <f t="shared" si="74"/>
        <v>1.36282289157E-3</v>
      </c>
      <c r="AG124">
        <f t="shared" si="89"/>
        <v>6031.0664101914863</v>
      </c>
      <c r="AH124">
        <f t="shared" si="90"/>
        <v>-2060.6772005712292</v>
      </c>
      <c r="AJ124">
        <f t="shared" si="75"/>
        <v>26400</v>
      </c>
      <c r="AK124">
        <f t="shared" si="76"/>
        <v>5732.6777367552004</v>
      </c>
      <c r="AL124">
        <v>1</v>
      </c>
      <c r="AM124">
        <f t="shared" si="77"/>
        <v>7.6815710203680014</v>
      </c>
      <c r="AN124">
        <f t="shared" si="91"/>
        <v>1173.805038387236</v>
      </c>
      <c r="AO124">
        <f t="shared" si="92"/>
        <v>-3283.9890296821409</v>
      </c>
      <c r="AQ124">
        <f t="shared" si="78"/>
        <v>1.2344155042587335</v>
      </c>
      <c r="AR124">
        <f t="shared" si="79"/>
        <v>-111.09739538328601</v>
      </c>
      <c r="AT124">
        <f t="shared" si="104"/>
        <v>-221491.02782523038</v>
      </c>
      <c r="AU124">
        <f t="shared" si="105"/>
        <v>-672579.50144155661</v>
      </c>
      <c r="AV124">
        <f t="shared" si="93"/>
        <v>-1.8889267152209293</v>
      </c>
      <c r="AW124">
        <f t="shared" si="94"/>
        <v>-355993.75881631789</v>
      </c>
      <c r="AX124">
        <f t="shared" si="95"/>
        <v>-153695.64891245449</v>
      </c>
      <c r="AY124">
        <f t="shared" si="103"/>
        <v>-2.734029640883108</v>
      </c>
      <c r="BA124">
        <f t="shared" si="80"/>
        <v>1.8261821669892273</v>
      </c>
      <c r="BB124">
        <f t="shared" si="96"/>
        <v>5.2308819499693628</v>
      </c>
      <c r="BC124">
        <f t="shared" si="97"/>
        <v>0.84510292566217871</v>
      </c>
      <c r="BD124">
        <f t="shared" si="81"/>
        <v>-131.57916905007016</v>
      </c>
      <c r="BF124">
        <f t="shared" si="82"/>
        <v>-2.6301674178024932</v>
      </c>
      <c r="BG124">
        <f t="shared" si="83"/>
        <v>-129.31589201190909</v>
      </c>
      <c r="BH124">
        <f t="shared" si="98"/>
        <v>50.684107988090915</v>
      </c>
      <c r="BI124">
        <f t="shared" si="99"/>
        <v>50.684107988090915</v>
      </c>
      <c r="BJ124">
        <f t="shared" si="84"/>
        <v>0</v>
      </c>
      <c r="BK124">
        <f t="shared" si="100"/>
        <v>0</v>
      </c>
      <c r="BM124">
        <f t="shared" si="101"/>
        <v>-7.8610493677718551</v>
      </c>
      <c r="BN124">
        <f t="shared" si="85"/>
        <v>-177.73672296183895</v>
      </c>
      <c r="BQ124" s="56">
        <f t="shared" si="102"/>
        <v>22.132842750254497</v>
      </c>
      <c r="BR124" s="59"/>
      <c r="BS124" s="59"/>
      <c r="BT124" s="59">
        <v>1380.384</v>
      </c>
      <c r="BU124" s="59">
        <v>12.2584</v>
      </c>
      <c r="BV124" s="59">
        <v>-258.41000000000003</v>
      </c>
      <c r="BW124" s="61"/>
      <c r="BY124" s="59"/>
      <c r="BZ124" s="59"/>
      <c r="CA124" s="59"/>
      <c r="CC124" s="59"/>
    </row>
    <row r="125" spans="1:81" x14ac:dyDescent="0.2">
      <c r="A125">
        <f t="shared" si="106"/>
        <v>45500</v>
      </c>
      <c r="B125">
        <f t="shared" si="86"/>
        <v>45.5</v>
      </c>
      <c r="C125">
        <f t="shared" si="55"/>
        <v>1.0000156986124131</v>
      </c>
      <c r="D125">
        <f t="shared" si="56"/>
        <v>5.6032860080271673E-3</v>
      </c>
      <c r="F125">
        <f t="shared" si="57"/>
        <v>2.6363398086518483E-2</v>
      </c>
      <c r="G125">
        <f t="shared" si="58"/>
        <v>3.3567225775712091E-2</v>
      </c>
      <c r="H125">
        <f t="shared" si="59"/>
        <v>-3.1080254242242882</v>
      </c>
      <c r="J125">
        <f t="shared" si="60"/>
        <v>15</v>
      </c>
      <c r="M125">
        <f t="shared" si="61"/>
        <v>2.7488925886312233E-2</v>
      </c>
      <c r="N125">
        <f t="shared" si="62"/>
        <v>-1.5707963250000001</v>
      </c>
      <c r="O125">
        <f t="shared" si="63"/>
        <v>8.9911170145268393</v>
      </c>
      <c r="P125">
        <f t="shared" si="64"/>
        <v>1.4593448529747521</v>
      </c>
      <c r="Q125">
        <f t="shared" si="65"/>
        <v>7.8310327795652723</v>
      </c>
      <c r="R125">
        <f t="shared" si="66"/>
        <v>1.442749627976142</v>
      </c>
      <c r="S125">
        <f t="shared" si="67"/>
        <v>0.97673464001032706</v>
      </c>
      <c r="T125">
        <f t="shared" si="68"/>
        <v>-0.21613022337626539</v>
      </c>
      <c r="U125">
        <f t="shared" si="69"/>
        <v>0.97613862108840477</v>
      </c>
      <c r="V125">
        <f t="shared" si="70"/>
        <v>-0.21889212700114766</v>
      </c>
      <c r="X125">
        <f t="shared" si="87"/>
        <v>-2.7364397451735849</v>
      </c>
      <c r="Y125">
        <f t="shared" si="71"/>
        <v>-126.40287399313225</v>
      </c>
      <c r="Z125">
        <f t="shared" si="88"/>
        <v>53.597126006867754</v>
      </c>
      <c r="AC125">
        <v>1</v>
      </c>
      <c r="AD125">
        <f t="shared" si="72"/>
        <v>8.9353335230932487</v>
      </c>
      <c r="AE125">
        <f t="shared" si="73"/>
        <v>-3.0653726508621606E-4</v>
      </c>
      <c r="AF125">
        <f t="shared" si="74"/>
        <v>1.3779653681429999E-3</v>
      </c>
      <c r="AG125">
        <f t="shared" si="89"/>
        <v>6024.850527007341</v>
      </c>
      <c r="AH125">
        <f t="shared" si="90"/>
        <v>-2065.9744206333662</v>
      </c>
      <c r="AJ125">
        <f t="shared" si="75"/>
        <v>26400</v>
      </c>
      <c r="AK125">
        <f t="shared" si="76"/>
        <v>5796.3741560524804</v>
      </c>
      <c r="AL125">
        <v>1</v>
      </c>
      <c r="AM125">
        <f t="shared" si="77"/>
        <v>7.7669218094832013</v>
      </c>
      <c r="AN125">
        <f t="shared" si="91"/>
        <v>1164.6130975558613</v>
      </c>
      <c r="AO125">
        <f t="shared" si="92"/>
        <v>-3249.0847109639258</v>
      </c>
      <c r="AQ125">
        <f t="shared" si="78"/>
        <v>1.2074378169524269</v>
      </c>
      <c r="AR125">
        <f t="shared" si="79"/>
        <v>-109.87684134267086</v>
      </c>
      <c r="AT125">
        <f t="shared" si="104"/>
        <v>-219728.1112661543</v>
      </c>
      <c r="AU125">
        <f t="shared" si="105"/>
        <v>-664486.08111362171</v>
      </c>
      <c r="AV125">
        <f t="shared" si="93"/>
        <v>-1.8901513589334549</v>
      </c>
      <c r="AW125">
        <f t="shared" si="94"/>
        <v>-348213.44506778149</v>
      </c>
      <c r="AX125">
        <f t="shared" si="95"/>
        <v>-150940.45455448111</v>
      </c>
      <c r="AY125">
        <f t="shared" si="103"/>
        <v>-2.7325688689828049</v>
      </c>
      <c r="BA125">
        <f t="shared" si="80"/>
        <v>1.844099162373575</v>
      </c>
      <c r="BB125">
        <f t="shared" si="96"/>
        <v>5.3156854115078991</v>
      </c>
      <c r="BC125">
        <f t="shared" si="97"/>
        <v>0.84241751004935006</v>
      </c>
      <c r="BD125">
        <f t="shared" si="81"/>
        <v>-131.73303203109958</v>
      </c>
      <c r="BF125">
        <f t="shared" si="82"/>
        <v>-2.7423253014920945</v>
      </c>
      <c r="BG125">
        <f t="shared" si="83"/>
        <v>-129.48872702195936</v>
      </c>
      <c r="BH125">
        <f t="shared" si="98"/>
        <v>50.511272978040637</v>
      </c>
      <c r="BI125">
        <f t="shared" si="99"/>
        <v>50.511272978040637</v>
      </c>
      <c r="BJ125">
        <f t="shared" si="84"/>
        <v>0</v>
      </c>
      <c r="BK125">
        <f t="shared" si="100"/>
        <v>0</v>
      </c>
      <c r="BM125">
        <f t="shared" si="101"/>
        <v>-8.0580107129999927</v>
      </c>
      <c r="BN125">
        <f t="shared" si="85"/>
        <v>-177.75569499085981</v>
      </c>
      <c r="BQ125" s="56">
        <f t="shared" si="102"/>
        <v>22.217646211793035</v>
      </c>
      <c r="BR125" s="59"/>
      <c r="BS125" s="59"/>
      <c r="BT125" s="59">
        <v>1412.538</v>
      </c>
      <c r="BU125" s="59">
        <v>12.0929</v>
      </c>
      <c r="BV125" s="59">
        <v>-258.13599999999997</v>
      </c>
      <c r="BW125" s="61"/>
      <c r="BY125" s="59"/>
      <c r="BZ125" s="59"/>
      <c r="CA125" s="59"/>
      <c r="CC125" s="59"/>
    </row>
    <row r="126" spans="1:81" x14ac:dyDescent="0.2">
      <c r="A126">
        <f t="shared" si="106"/>
        <v>46000</v>
      </c>
      <c r="B126">
        <f t="shared" si="86"/>
        <v>46</v>
      </c>
      <c r="C126">
        <f t="shared" si="55"/>
        <v>1.0000160455298173</v>
      </c>
      <c r="D126">
        <f t="shared" si="56"/>
        <v>5.6648592694001987E-3</v>
      </c>
      <c r="F126">
        <f t="shared" si="57"/>
        <v>2.5779015078864924E-2</v>
      </c>
      <c r="G126">
        <f t="shared" si="58"/>
        <v>3.318371193069989E-2</v>
      </c>
      <c r="H126">
        <f t="shared" si="59"/>
        <v>-3.1084089380693003</v>
      </c>
      <c r="J126">
        <f t="shared" si="60"/>
        <v>15</v>
      </c>
      <c r="M126">
        <f t="shared" si="61"/>
        <v>2.7190133213634927E-2</v>
      </c>
      <c r="N126">
        <f t="shared" si="62"/>
        <v>-1.5707963250000001</v>
      </c>
      <c r="O126">
        <f t="shared" si="63"/>
        <v>9.0887048518097338</v>
      </c>
      <c r="P126">
        <f t="shared" si="64"/>
        <v>1.4605464361256275</v>
      </c>
      <c r="Q126">
        <f t="shared" si="65"/>
        <v>7.9156923236504886</v>
      </c>
      <c r="R126">
        <f t="shared" si="66"/>
        <v>1.4441265195142583</v>
      </c>
      <c r="S126">
        <f t="shared" si="67"/>
        <v>0.9762386851279885</v>
      </c>
      <c r="T126">
        <f t="shared" si="68"/>
        <v>-0.21843083907496347</v>
      </c>
      <c r="U126">
        <f t="shared" si="69"/>
        <v>0.97563043414940365</v>
      </c>
      <c r="V126">
        <f t="shared" si="70"/>
        <v>-0.22122022260623608</v>
      </c>
      <c r="X126">
        <f t="shared" si="87"/>
        <v>-2.8478371684298716</v>
      </c>
      <c r="Y126">
        <f t="shared" si="71"/>
        <v>-126.53878973501496</v>
      </c>
      <c r="Z126">
        <f t="shared" si="88"/>
        <v>53.461210264985041</v>
      </c>
      <c r="AC126">
        <v>1</v>
      </c>
      <c r="AD126">
        <f t="shared" si="72"/>
        <v>9.0335240013690008</v>
      </c>
      <c r="AE126">
        <f t="shared" si="73"/>
        <v>-3.1331136477354588E-4</v>
      </c>
      <c r="AF126">
        <f t="shared" si="74"/>
        <v>1.393107844716E-3</v>
      </c>
      <c r="AG126">
        <f t="shared" si="89"/>
        <v>6018.5789723467024</v>
      </c>
      <c r="AH126">
        <f t="shared" si="90"/>
        <v>-2071.4040214249089</v>
      </c>
      <c r="AJ126">
        <f t="shared" si="75"/>
        <v>26400</v>
      </c>
      <c r="AK126">
        <f t="shared" si="76"/>
        <v>5860.0705753497605</v>
      </c>
      <c r="AL126">
        <v>1</v>
      </c>
      <c r="AM126">
        <f t="shared" si="77"/>
        <v>7.8522725985984012</v>
      </c>
      <c r="AN126">
        <f t="shared" si="91"/>
        <v>1155.7128832854096</v>
      </c>
      <c r="AO126">
        <f t="shared" si="92"/>
        <v>-3214.902029919414</v>
      </c>
      <c r="AQ126">
        <f t="shared" si="78"/>
        <v>1.1813349084465445</v>
      </c>
      <c r="AR126">
        <f t="shared" si="79"/>
        <v>-108.68281157708211</v>
      </c>
      <c r="AT126">
        <f t="shared" si="104"/>
        <v>-218016.05552125804</v>
      </c>
      <c r="AU126">
        <f t="shared" si="105"/>
        <v>-656563.10629335092</v>
      </c>
      <c r="AV126">
        <f t="shared" si="93"/>
        <v>-1.8913973028931315</v>
      </c>
      <c r="AW126">
        <f t="shared" si="94"/>
        <v>-340679.77306261833</v>
      </c>
      <c r="AX126">
        <f t="shared" si="95"/>
        <v>-148279.7388712618</v>
      </c>
      <c r="AY126">
        <f t="shared" si="103"/>
        <v>-2.7310750904054517</v>
      </c>
      <c r="BA126">
        <f t="shared" si="80"/>
        <v>1.8619652098928106</v>
      </c>
      <c r="BB126">
        <f t="shared" si="96"/>
        <v>5.3994312418997028</v>
      </c>
      <c r="BC126">
        <f t="shared" si="97"/>
        <v>0.83967778751232025</v>
      </c>
      <c r="BD126">
        <f t="shared" si="81"/>
        <v>-131.89000656968761</v>
      </c>
      <c r="BF126">
        <f t="shared" si="82"/>
        <v>-2.8532777975402324</v>
      </c>
      <c r="BG126">
        <f t="shared" si="83"/>
        <v>-129.66414739726497</v>
      </c>
      <c r="BH126">
        <f t="shared" si="98"/>
        <v>50.335852602735031</v>
      </c>
      <c r="BI126">
        <f t="shared" si="99"/>
        <v>50.335852602735031</v>
      </c>
      <c r="BJ126">
        <f t="shared" si="84"/>
        <v>0</v>
      </c>
      <c r="BK126">
        <f t="shared" si="100"/>
        <v>0</v>
      </c>
      <c r="BM126">
        <f t="shared" si="101"/>
        <v>-8.2527090394399334</v>
      </c>
      <c r="BN126">
        <f t="shared" si="85"/>
        <v>-177.77414082757736</v>
      </c>
      <c r="BQ126" s="56">
        <f t="shared" si="102"/>
        <v>22.301392042184837</v>
      </c>
      <c r="BR126" s="59"/>
      <c r="BS126" s="59"/>
      <c r="BT126" s="59">
        <v>1445.44</v>
      </c>
      <c r="BU126" s="59">
        <v>11.918900000000001</v>
      </c>
      <c r="BV126" s="59">
        <v>-257.92899999999997</v>
      </c>
      <c r="BW126" s="61"/>
      <c r="BY126" s="59"/>
      <c r="BZ126" s="59"/>
      <c r="CA126" s="59"/>
      <c r="CC126" s="59"/>
    </row>
    <row r="127" spans="1:81" x14ac:dyDescent="0.2">
      <c r="A127">
        <f t="shared" si="106"/>
        <v>46500</v>
      </c>
      <c r="B127">
        <f t="shared" si="86"/>
        <v>46.5</v>
      </c>
      <c r="C127">
        <f t="shared" si="55"/>
        <v>1.0000163962385462</v>
      </c>
      <c r="D127">
        <f t="shared" si="56"/>
        <v>5.7264324878188175E-3</v>
      </c>
      <c r="F127">
        <f t="shared" si="57"/>
        <v>2.521400151928721E-2</v>
      </c>
      <c r="G127">
        <f t="shared" si="58"/>
        <v>3.2809057161052604E-2</v>
      </c>
      <c r="H127">
        <f t="shared" si="59"/>
        <v>-3.1087835928389476</v>
      </c>
      <c r="J127">
        <f t="shared" si="60"/>
        <v>15</v>
      </c>
      <c r="M127">
        <f t="shared" si="61"/>
        <v>2.6897766189832403E-2</v>
      </c>
      <c r="N127">
        <f t="shared" si="62"/>
        <v>-1.5707963250000001</v>
      </c>
      <c r="O127">
        <f t="shared" si="63"/>
        <v>9.1863055325714917</v>
      </c>
      <c r="P127">
        <f t="shared" si="64"/>
        <v>1.4617224883007478</v>
      </c>
      <c r="Q127">
        <f t="shared" si="65"/>
        <v>8.0003665569258722</v>
      </c>
      <c r="R127">
        <f t="shared" si="66"/>
        <v>1.4454742680892116</v>
      </c>
      <c r="S127">
        <f t="shared" si="67"/>
        <v>0.97573807710830052</v>
      </c>
      <c r="T127">
        <f t="shared" si="68"/>
        <v>-0.22072910745003643</v>
      </c>
      <c r="U127">
        <f t="shared" si="69"/>
        <v>0.97511749916762336</v>
      </c>
      <c r="V127">
        <f t="shared" si="70"/>
        <v>-0.22354588282592647</v>
      </c>
      <c r="X127">
        <f t="shared" si="87"/>
        <v>-2.9580531294963217</v>
      </c>
      <c r="Y127">
        <f t="shared" si="71"/>
        <v>-126.67705644864036</v>
      </c>
      <c r="Z127">
        <f t="shared" si="88"/>
        <v>53.322943551359643</v>
      </c>
      <c r="AC127">
        <v>1</v>
      </c>
      <c r="AD127">
        <f t="shared" si="72"/>
        <v>9.1317144796447494</v>
      </c>
      <c r="AE127">
        <f t="shared" si="73"/>
        <v>-3.2015949833723989E-4</v>
      </c>
      <c r="AF127">
        <f t="shared" si="74"/>
        <v>1.408250321289E-3</v>
      </c>
      <c r="AG127">
        <f t="shared" si="89"/>
        <v>6012.2521336997106</v>
      </c>
      <c r="AH127">
        <f t="shared" si="90"/>
        <v>-2076.9600281895182</v>
      </c>
      <c r="AJ127">
        <f t="shared" si="75"/>
        <v>26400</v>
      </c>
      <c r="AK127">
        <f t="shared" si="76"/>
        <v>5923.7669946470405</v>
      </c>
      <c r="AL127">
        <v>1</v>
      </c>
      <c r="AM127">
        <f t="shared" si="77"/>
        <v>7.9376233877136002</v>
      </c>
      <c r="AN127">
        <f t="shared" si="91"/>
        <v>1147.0922451911713</v>
      </c>
      <c r="AO127">
        <f t="shared" si="92"/>
        <v>-3181.4192386473032</v>
      </c>
      <c r="AQ127">
        <f t="shared" si="78"/>
        <v>1.1560693641618498</v>
      </c>
      <c r="AR127">
        <f t="shared" si="79"/>
        <v>-107.51445086705202</v>
      </c>
      <c r="AT127">
        <f t="shared" si="104"/>
        <v>-216352.63640222597</v>
      </c>
      <c r="AU127">
        <f t="shared" si="105"/>
        <v>-648805.09648816485</v>
      </c>
      <c r="AV127">
        <f t="shared" si="93"/>
        <v>-1.8926637743238706</v>
      </c>
      <c r="AW127">
        <f t="shared" si="94"/>
        <v>-333382.5003351671</v>
      </c>
      <c r="AX127">
        <f t="shared" si="95"/>
        <v>-145709.03801106141</v>
      </c>
      <c r="AY127">
        <f t="shared" si="103"/>
        <v>-2.7295493607949481</v>
      </c>
      <c r="BA127">
        <f t="shared" si="80"/>
        <v>1.8797795110825062</v>
      </c>
      <c r="BB127">
        <f t="shared" si="96"/>
        <v>5.4821382327641386</v>
      </c>
      <c r="BC127">
        <f t="shared" si="97"/>
        <v>0.83688558647107758</v>
      </c>
      <c r="BD127">
        <f t="shared" si="81"/>
        <v>-132.04998790508569</v>
      </c>
      <c r="BF127">
        <f t="shared" si="82"/>
        <v>-2.9630586780415062</v>
      </c>
      <c r="BG127">
        <f t="shared" si="83"/>
        <v>-129.84206698421232</v>
      </c>
      <c r="BH127">
        <f t="shared" si="98"/>
        <v>50.157933015787677</v>
      </c>
      <c r="BI127">
        <f t="shared" si="99"/>
        <v>50.157933015787677</v>
      </c>
      <c r="BJ127">
        <f t="shared" si="84"/>
        <v>0</v>
      </c>
      <c r="BK127">
        <f t="shared" si="100"/>
        <v>0</v>
      </c>
      <c r="BM127">
        <f t="shared" si="101"/>
        <v>-8.4451969108056453</v>
      </c>
      <c r="BN127">
        <f t="shared" si="85"/>
        <v>-177.79207907912667</v>
      </c>
      <c r="BQ127" s="56">
        <f t="shared" si="102"/>
        <v>22.384099033049274</v>
      </c>
      <c r="BR127" s="59"/>
      <c r="BS127" s="59"/>
      <c r="BT127" s="59">
        <v>1479.1079999999999</v>
      </c>
      <c r="BU127" s="59">
        <v>11.714700000000001</v>
      </c>
      <c r="BV127" s="59">
        <v>-257.745</v>
      </c>
      <c r="BW127" s="61"/>
      <c r="BY127" s="59"/>
      <c r="BZ127" s="59"/>
      <c r="CA127" s="59"/>
      <c r="CC127" s="59"/>
    </row>
    <row r="128" spans="1:81" x14ac:dyDescent="0.2">
      <c r="A128">
        <f t="shared" si="106"/>
        <v>47000</v>
      </c>
      <c r="B128">
        <f t="shared" si="86"/>
        <v>47</v>
      </c>
      <c r="C128">
        <f t="shared" si="55"/>
        <v>1.0000167507385957</v>
      </c>
      <c r="D128">
        <f t="shared" si="56"/>
        <v>5.7880056628161914E-3</v>
      </c>
      <c r="F128">
        <f t="shared" si="57"/>
        <v>2.4667504379917753E-2</v>
      </c>
      <c r="G128">
        <f t="shared" si="58"/>
        <v>3.2442952094697712E-2</v>
      </c>
      <c r="H128">
        <f t="shared" si="59"/>
        <v>-3.1091496979053024</v>
      </c>
      <c r="J128">
        <f t="shared" si="60"/>
        <v>15</v>
      </c>
      <c r="M128">
        <f t="shared" si="61"/>
        <v>2.66116197410044E-2</v>
      </c>
      <c r="N128">
        <f t="shared" si="62"/>
        <v>-1.5707963250000001</v>
      </c>
      <c r="O128">
        <f t="shared" si="63"/>
        <v>9.2839186517464416</v>
      </c>
      <c r="P128">
        <f t="shared" si="64"/>
        <v>1.4628738115090201</v>
      </c>
      <c r="Q128">
        <f t="shared" si="65"/>
        <v>8.0850550178747564</v>
      </c>
      <c r="R128">
        <f t="shared" si="66"/>
        <v>1.4467937845169279</v>
      </c>
      <c r="S128">
        <f t="shared" si="67"/>
        <v>0.97523283895882107</v>
      </c>
      <c r="T128">
        <f t="shared" si="68"/>
        <v>-0.22302500785041238</v>
      </c>
      <c r="U128">
        <f t="shared" si="69"/>
        <v>0.97459984026041513</v>
      </c>
      <c r="V128">
        <f t="shared" si="70"/>
        <v>-0.22586908636177352</v>
      </c>
      <c r="X128">
        <f t="shared" si="87"/>
        <v>-3.0671196901840547</v>
      </c>
      <c r="Y128">
        <f t="shared" si="71"/>
        <v>-126.81759131858493</v>
      </c>
      <c r="Z128">
        <f t="shared" si="88"/>
        <v>53.182408681415069</v>
      </c>
      <c r="AC128">
        <v>1</v>
      </c>
      <c r="AD128">
        <f t="shared" si="72"/>
        <v>9.2299049579204997</v>
      </c>
      <c r="AE128">
        <f t="shared" si="73"/>
        <v>-3.270816657772981E-4</v>
      </c>
      <c r="AF128">
        <f t="shared" si="74"/>
        <v>1.4233927978619999E-3</v>
      </c>
      <c r="AG128">
        <f t="shared" si="89"/>
        <v>6005.8704007033548</v>
      </c>
      <c r="AH128">
        <f t="shared" si="90"/>
        <v>-2082.6367110732185</v>
      </c>
      <c r="AJ128">
        <f t="shared" si="75"/>
        <v>26400</v>
      </c>
      <c r="AK128">
        <f t="shared" si="76"/>
        <v>5987.4634139443206</v>
      </c>
      <c r="AL128">
        <v>1</v>
      </c>
      <c r="AM128">
        <f t="shared" si="77"/>
        <v>8.0229741768288001</v>
      </c>
      <c r="AN128">
        <f t="shared" si="91"/>
        <v>1138.7396556009141</v>
      </c>
      <c r="AO128">
        <f t="shared" si="92"/>
        <v>-3148.6154370727354</v>
      </c>
      <c r="AQ128">
        <f t="shared" si="78"/>
        <v>1.1316057485572026</v>
      </c>
      <c r="AR128">
        <f t="shared" si="79"/>
        <v>-106.37094036437705</v>
      </c>
      <c r="AT128">
        <f t="shared" si="104"/>
        <v>-214735.74792370622</v>
      </c>
      <c r="AU128">
        <f t="shared" si="105"/>
        <v>-641206.80590380065</v>
      </c>
      <c r="AV128">
        <f t="shared" si="93"/>
        <v>-1.8939500318670051</v>
      </c>
      <c r="AW128">
        <f t="shared" si="94"/>
        <v>-326311.90755716542</v>
      </c>
      <c r="AX128">
        <f t="shared" si="95"/>
        <v>-143224.14976559835</v>
      </c>
      <c r="AY128">
        <f t="shared" si="103"/>
        <v>-2.7279926933937073</v>
      </c>
      <c r="BA128">
        <f t="shared" si="80"/>
        <v>1.8975412793003457</v>
      </c>
      <c r="BB128">
        <f t="shared" si="96"/>
        <v>5.5638246471064443</v>
      </c>
      <c r="BC128">
        <f t="shared" si="97"/>
        <v>0.83404266152670226</v>
      </c>
      <c r="BD128">
        <f t="shared" si="81"/>
        <v>-132.21287550605697</v>
      </c>
      <c r="BF128">
        <f t="shared" si="82"/>
        <v>-3.0717003981935038</v>
      </c>
      <c r="BG128">
        <f t="shared" si="83"/>
        <v>-130.02240297730549</v>
      </c>
      <c r="BH128">
        <f t="shared" si="98"/>
        <v>49.977597022694511</v>
      </c>
      <c r="BI128">
        <f t="shared" si="99"/>
        <v>49.977597022694511</v>
      </c>
      <c r="BJ128">
        <f t="shared" si="84"/>
        <v>0</v>
      </c>
      <c r="BK128">
        <f t="shared" si="100"/>
        <v>0</v>
      </c>
      <c r="BM128">
        <f t="shared" si="101"/>
        <v>-8.6355250452999499</v>
      </c>
      <c r="BN128">
        <f t="shared" si="85"/>
        <v>-177.80952747124854</v>
      </c>
      <c r="BQ128" s="56">
        <f t="shared" si="102"/>
        <v>22.465785447391582</v>
      </c>
      <c r="BR128" s="59"/>
      <c r="BS128" s="59"/>
      <c r="BT128" s="59">
        <v>1513.5609999999999</v>
      </c>
      <c r="BU128" s="59">
        <v>11.5252</v>
      </c>
      <c r="BV128" s="59">
        <v>-257.61</v>
      </c>
      <c r="BW128" s="61"/>
      <c r="BY128" s="59"/>
      <c r="BZ128" s="59"/>
      <c r="CA128" s="59"/>
      <c r="CC128" s="59"/>
    </row>
    <row r="129" spans="1:81" x14ac:dyDescent="0.2">
      <c r="A129">
        <f t="shared" si="106"/>
        <v>47500</v>
      </c>
      <c r="B129">
        <f t="shared" si="86"/>
        <v>47.5</v>
      </c>
      <c r="C129">
        <f t="shared" si="55"/>
        <v>1.0000171090299621</v>
      </c>
      <c r="D129">
        <f t="shared" si="56"/>
        <v>5.8495787939254838E-3</v>
      </c>
      <c r="F129">
        <f t="shared" si="57"/>
        <v>2.4138717411153091E-2</v>
      </c>
      <c r="G129">
        <f t="shared" si="58"/>
        <v>3.2085101830612639E-2</v>
      </c>
      <c r="H129">
        <f t="shared" si="59"/>
        <v>-3.1095075481693875</v>
      </c>
      <c r="J129">
        <f t="shared" si="60"/>
        <v>15</v>
      </c>
      <c r="M129">
        <f t="shared" si="61"/>
        <v>2.6331497427941195E-2</v>
      </c>
      <c r="N129">
        <f t="shared" si="62"/>
        <v>-1.5707963250000001</v>
      </c>
      <c r="O129">
        <f t="shared" si="63"/>
        <v>9.3815438210768569</v>
      </c>
      <c r="P129">
        <f t="shared" si="64"/>
        <v>1.4640011746449177</v>
      </c>
      <c r="Q129">
        <f t="shared" si="65"/>
        <v>8.1697572640410048</v>
      </c>
      <c r="R129">
        <f t="shared" si="66"/>
        <v>1.4480859422436163</v>
      </c>
      <c r="S129">
        <f t="shared" si="67"/>
        <v>0.97472299383478112</v>
      </c>
      <c r="T129">
        <f t="shared" si="68"/>
        <v>-0.22531851976740605</v>
      </c>
      <c r="U129">
        <f t="shared" si="69"/>
        <v>0.97407748169721509</v>
      </c>
      <c r="V129">
        <f t="shared" si="70"/>
        <v>-0.22818981206637803</v>
      </c>
      <c r="X129">
        <f t="shared" si="87"/>
        <v>-3.1750676635051751</v>
      </c>
      <c r="Y129">
        <f t="shared" si="71"/>
        <v>-126.96031475555181</v>
      </c>
      <c r="Z129">
        <f t="shared" si="88"/>
        <v>53.039685244448194</v>
      </c>
      <c r="AC129">
        <v>1</v>
      </c>
      <c r="AD129">
        <f t="shared" si="72"/>
        <v>9.32809543619625</v>
      </c>
      <c r="AE129">
        <f t="shared" si="73"/>
        <v>-3.3407786709372067E-4</v>
      </c>
      <c r="AF129">
        <f t="shared" si="74"/>
        <v>1.438535274435E-3</v>
      </c>
      <c r="AG129">
        <f t="shared" si="89"/>
        <v>5999.4341650859988</v>
      </c>
      <c r="AH129">
        <f t="shared" si="90"/>
        <v>-2088.428572473546</v>
      </c>
      <c r="AJ129">
        <f t="shared" si="75"/>
        <v>26400</v>
      </c>
      <c r="AK129">
        <f t="shared" si="76"/>
        <v>6051.1598332416006</v>
      </c>
      <c r="AL129">
        <v>1</v>
      </c>
      <c r="AM129">
        <f t="shared" si="77"/>
        <v>8.1083249659440018</v>
      </c>
      <c r="AN129">
        <f t="shared" si="91"/>
        <v>1130.644171850749</v>
      </c>
      <c r="AO129">
        <f t="shared" si="92"/>
        <v>-3116.4705329749077</v>
      </c>
      <c r="AQ129">
        <f t="shared" si="78"/>
        <v>1.1079104808331486</v>
      </c>
      <c r="AR129">
        <f t="shared" si="79"/>
        <v>-105.25149567914913</v>
      </c>
      <c r="AT129">
        <f t="shared" si="104"/>
        <v>-213163.39488134376</v>
      </c>
      <c r="AU129">
        <f t="shared" si="105"/>
        <v>-633763.21100780356</v>
      </c>
      <c r="AV129">
        <f t="shared" si="93"/>
        <v>-1.8952553639795282</v>
      </c>
      <c r="AW129">
        <f t="shared" si="94"/>
        <v>-319458.76699131844</v>
      </c>
      <c r="AX129">
        <f t="shared" si="95"/>
        <v>-140821.11550522278</v>
      </c>
      <c r="AY129">
        <f t="shared" si="103"/>
        <v>-2.7264060612402896</v>
      </c>
      <c r="BA129">
        <f t="shared" si="80"/>
        <v>1.9152497393199093</v>
      </c>
      <c r="BB129">
        <f t="shared" si="96"/>
        <v>5.6445082380185401</v>
      </c>
      <c r="BC129">
        <f t="shared" si="97"/>
        <v>0.83115069726076141</v>
      </c>
      <c r="BD129">
        <f t="shared" si="81"/>
        <v>-132.37857285318736</v>
      </c>
      <c r="BF129">
        <f t="shared" si="82"/>
        <v>-3.1792341643703126</v>
      </c>
      <c r="BG129">
        <f t="shared" si="83"/>
        <v>-130.20507575374103</v>
      </c>
      <c r="BH129">
        <f t="shared" si="98"/>
        <v>49.794924246258972</v>
      </c>
      <c r="BI129">
        <f t="shared" si="99"/>
        <v>49.794924246258972</v>
      </c>
      <c r="BJ129">
        <f t="shared" si="84"/>
        <v>0</v>
      </c>
      <c r="BK129">
        <f t="shared" si="100"/>
        <v>0</v>
      </c>
      <c r="BM129">
        <f t="shared" si="101"/>
        <v>-8.8237424023888522</v>
      </c>
      <c r="BN129">
        <f t="shared" si="85"/>
        <v>-177.82650290055366</v>
      </c>
      <c r="BQ129" s="56">
        <f t="shared" si="102"/>
        <v>22.546469038303677</v>
      </c>
      <c r="BR129" s="59"/>
      <c r="BS129" s="59"/>
      <c r="BT129" s="59">
        <v>1548.817</v>
      </c>
      <c r="BU129" s="59">
        <v>11.3354</v>
      </c>
      <c r="BV129" s="59">
        <v>-257.471</v>
      </c>
      <c r="BW129" s="61"/>
      <c r="BY129" s="59"/>
      <c r="BZ129" s="59"/>
      <c r="CA129" s="59"/>
      <c r="CC129" s="59"/>
    </row>
    <row r="130" spans="1:81" x14ac:dyDescent="0.2">
      <c r="A130">
        <f t="shared" si="106"/>
        <v>48000</v>
      </c>
      <c r="B130">
        <f t="shared" si="86"/>
        <v>48</v>
      </c>
      <c r="C130">
        <f t="shared" si="55"/>
        <v>1.0000174711126411</v>
      </c>
      <c r="D130">
        <f t="shared" si="56"/>
        <v>5.9111518806798657E-3</v>
      </c>
      <c r="F130">
        <f t="shared" si="57"/>
        <v>2.3626878076466646E-2</v>
      </c>
      <c r="G130">
        <f t="shared" si="58"/>
        <v>3.1735225091463364E-2</v>
      </c>
      <c r="H130">
        <f t="shared" si="59"/>
        <v>-3.1098574249085367</v>
      </c>
      <c r="J130">
        <f t="shared" si="60"/>
        <v>15</v>
      </c>
      <c r="M130">
        <f t="shared" si="61"/>
        <v>2.605721099640014E-2</v>
      </c>
      <c r="N130">
        <f t="shared" si="62"/>
        <v>-1.5707963250000001</v>
      </c>
      <c r="O130">
        <f t="shared" si="63"/>
        <v>9.479180668252571</v>
      </c>
      <c r="P130">
        <f t="shared" si="64"/>
        <v>1.465105315173572</v>
      </c>
      <c r="Q130">
        <f t="shared" si="65"/>
        <v>8.2544728710587538</v>
      </c>
      <c r="R130">
        <f t="shared" si="66"/>
        <v>1.4493515792330556</v>
      </c>
      <c r="S130">
        <f t="shared" si="67"/>
        <v>0.97420856503634989</v>
      </c>
      <c r="T130">
        <f t="shared" si="68"/>
        <v>-0.22760962283549088</v>
      </c>
      <c r="U130">
        <f t="shared" si="69"/>
        <v>0.97355044789661949</v>
      </c>
      <c r="V130">
        <f t="shared" si="70"/>
        <v>-0.23050803894418481</v>
      </c>
      <c r="X130">
        <f t="shared" si="87"/>
        <v>-3.2819266774946119</v>
      </c>
      <c r="Y130">
        <f t="shared" si="71"/>
        <v>-127.10515024032885</v>
      </c>
      <c r="Z130">
        <f t="shared" si="88"/>
        <v>52.894849759671146</v>
      </c>
      <c r="AC130">
        <v>1</v>
      </c>
      <c r="AD130">
        <f t="shared" si="72"/>
        <v>9.4262859144719986</v>
      </c>
      <c r="AE130">
        <f t="shared" si="73"/>
        <v>-3.4114810228650744E-4</v>
      </c>
      <c r="AF130">
        <f t="shared" si="74"/>
        <v>1.4536777510079999E-3</v>
      </c>
      <c r="AG130">
        <f t="shared" si="89"/>
        <v>5992.9438206119585</v>
      </c>
      <c r="AH130">
        <f t="shared" si="90"/>
        <v>-2094.3303351794002</v>
      </c>
      <c r="AJ130">
        <f t="shared" si="75"/>
        <v>26400</v>
      </c>
      <c r="AK130">
        <f t="shared" si="76"/>
        <v>6114.8562525388807</v>
      </c>
      <c r="AL130">
        <v>1</v>
      </c>
      <c r="AM130">
        <f t="shared" si="77"/>
        <v>8.1936757550592016</v>
      </c>
      <c r="AN130">
        <f t="shared" si="91"/>
        <v>1122.795401203341</v>
      </c>
      <c r="AO130">
        <f t="shared" si="92"/>
        <v>-3084.9652041929039</v>
      </c>
      <c r="AQ130">
        <f t="shared" si="78"/>
        <v>1.0849517196484757</v>
      </c>
      <c r="AR130">
        <f t="shared" si="79"/>
        <v>-104.15536508625367</v>
      </c>
      <c r="AT130">
        <f t="shared" si="104"/>
        <v>-211633.68596789677</v>
      </c>
      <c r="AU130">
        <f t="shared" si="105"/>
        <v>-626469.49887591135</v>
      </c>
      <c r="AV130">
        <f t="shared" si="93"/>
        <v>-1.8965790874294364</v>
      </c>
      <c r="AW130">
        <f t="shared" si="94"/>
        <v>-312814.3131283499</v>
      </c>
      <c r="AX130">
        <f t="shared" si="95"/>
        <v>-138496.20353859954</v>
      </c>
      <c r="AY130">
        <f t="shared" si="103"/>
        <v>-2.7247903992338864</v>
      </c>
      <c r="BA130">
        <f t="shared" si="80"/>
        <v>1.9329041269551528</v>
      </c>
      <c r="BB130">
        <f t="shared" si="96"/>
        <v>5.7242062666348472</v>
      </c>
      <c r="BC130">
        <f t="shared" si="97"/>
        <v>0.82821131180445007</v>
      </c>
      <c r="BD130">
        <f t="shared" si="81"/>
        <v>-132.54698723438858</v>
      </c>
      <c r="BF130">
        <f t="shared" si="82"/>
        <v>-3.285689997834615</v>
      </c>
      <c r="BG130">
        <f t="shared" si="83"/>
        <v>-130.39000871746154</v>
      </c>
      <c r="BH130">
        <f t="shared" si="98"/>
        <v>49.609991282538459</v>
      </c>
      <c r="BI130">
        <f t="shared" si="99"/>
        <v>49.609991282538459</v>
      </c>
      <c r="BJ130">
        <f t="shared" si="84"/>
        <v>0</v>
      </c>
      <c r="BK130">
        <f t="shared" si="100"/>
        <v>0</v>
      </c>
      <c r="BM130">
        <f t="shared" si="101"/>
        <v>-9.0098962644694627</v>
      </c>
      <c r="BN130">
        <f t="shared" si="85"/>
        <v>-177.84302148307299</v>
      </c>
      <c r="BQ130" s="56">
        <f t="shared" si="102"/>
        <v>22.626167066919983</v>
      </c>
      <c r="BR130" s="59"/>
      <c r="BS130" s="59"/>
      <c r="BT130" s="59">
        <v>1584.893</v>
      </c>
      <c r="BU130" s="59">
        <v>11.160399999999999</v>
      </c>
      <c r="BV130" s="59">
        <v>-256.94200000000001</v>
      </c>
      <c r="BW130" s="61"/>
      <c r="BY130" s="59"/>
      <c r="BZ130" s="59"/>
      <c r="CA130" s="59"/>
      <c r="CC130" s="59"/>
    </row>
    <row r="131" spans="1:81" x14ac:dyDescent="0.2">
      <c r="A131">
        <f t="shared" si="106"/>
        <v>48500</v>
      </c>
      <c r="B131">
        <f t="shared" si="86"/>
        <v>48.5</v>
      </c>
      <c r="C131">
        <f t="shared" si="55"/>
        <v>1.0000178369866284</v>
      </c>
      <c r="D131">
        <f t="shared" si="56"/>
        <v>5.9727249226125094E-3</v>
      </c>
      <c r="F131">
        <f t="shared" si="57"/>
        <v>2.3131264720453425E-2</v>
      </c>
      <c r="G131">
        <f t="shared" si="58"/>
        <v>3.1393053435708113E-2</v>
      </c>
      <c r="H131">
        <f t="shared" si="59"/>
        <v>-3.1101995965642919</v>
      </c>
      <c r="J131">
        <f t="shared" si="60"/>
        <v>15</v>
      </c>
      <c r="M131">
        <f t="shared" si="61"/>
        <v>2.578857995520014E-2</v>
      </c>
      <c r="N131">
        <f t="shared" si="62"/>
        <v>-1.5707963250000001</v>
      </c>
      <c r="O131">
        <f t="shared" si="63"/>
        <v>9.5768288361027523</v>
      </c>
      <c r="P131">
        <f t="shared" si="64"/>
        <v>1.4661869407143966</v>
      </c>
      <c r="Q131">
        <f t="shared" si="65"/>
        <v>8.3392014317405891</v>
      </c>
      <c r="R131">
        <f t="shared" si="66"/>
        <v>1.4505914997412368</v>
      </c>
      <c r="S131">
        <f t="shared" si="67"/>
        <v>0.9736895760058959</v>
      </c>
      <c r="T131">
        <f t="shared" si="68"/>
        <v>-0.22989829683305052</v>
      </c>
      <c r="U131">
        <f t="shared" si="69"/>
        <v>0.97301876342345628</v>
      </c>
      <c r="V131">
        <f t="shared" si="70"/>
        <v>-0.23282374615225906</v>
      </c>
      <c r="X131">
        <f t="shared" si="87"/>
        <v>-3.3877252350000542</v>
      </c>
      <c r="Y131">
        <f t="shared" si="71"/>
        <v>-127.25202417660481</v>
      </c>
      <c r="Z131">
        <f t="shared" si="88"/>
        <v>52.747975823395194</v>
      </c>
      <c r="AC131">
        <v>1</v>
      </c>
      <c r="AD131">
        <f t="shared" si="72"/>
        <v>9.5244763927477507</v>
      </c>
      <c r="AE131">
        <f t="shared" si="73"/>
        <v>-3.482923713556584E-4</v>
      </c>
      <c r="AF131">
        <f t="shared" si="74"/>
        <v>1.4688202275810001E-3</v>
      </c>
      <c r="AG131">
        <f t="shared" si="89"/>
        <v>5986.3997630260355</v>
      </c>
      <c r="AH131">
        <f t="shared" si="90"/>
        <v>-2100.3369312444756</v>
      </c>
      <c r="AJ131">
        <f t="shared" si="75"/>
        <v>26400</v>
      </c>
      <c r="AK131">
        <f t="shared" si="76"/>
        <v>6178.5526718361607</v>
      </c>
      <c r="AL131">
        <v>1</v>
      </c>
      <c r="AM131">
        <f t="shared" si="77"/>
        <v>8.2790265441744015</v>
      </c>
      <c r="AN131">
        <f t="shared" si="91"/>
        <v>1115.1834681832415</v>
      </c>
      <c r="AO131">
        <f t="shared" si="92"/>
        <v>-3054.0808628773643</v>
      </c>
      <c r="AQ131">
        <f t="shared" si="78"/>
        <v>1.0626992561105206</v>
      </c>
      <c r="AR131">
        <f t="shared" si="79"/>
        <v>-103.08182784272051</v>
      </c>
      <c r="AT131">
        <f t="shared" si="104"/>
        <v>-210144.82738330297</v>
      </c>
      <c r="AU131">
        <f t="shared" si="105"/>
        <v>-619321.05626436765</v>
      </c>
      <c r="AV131">
        <f t="shared" si="93"/>
        <v>-1.8979205458814123</v>
      </c>
      <c r="AW131">
        <f t="shared" si="94"/>
        <v>-306370.21533762594</v>
      </c>
      <c r="AX131">
        <f t="shared" si="95"/>
        <v>-136245.89377122212</v>
      </c>
      <c r="AY131">
        <f t="shared" si="103"/>
        <v>-2.723146606074895</v>
      </c>
      <c r="BA131">
        <f t="shared" si="80"/>
        <v>1.9505036887133314</v>
      </c>
      <c r="BB131">
        <f t="shared" si="96"/>
        <v>5.8029355193733299</v>
      </c>
      <c r="BC131">
        <f t="shared" si="97"/>
        <v>0.82522606019348266</v>
      </c>
      <c r="BD131">
        <f t="shared" si="81"/>
        <v>-132.71802955267708</v>
      </c>
      <c r="BF131">
        <f t="shared" si="82"/>
        <v>-3.3910967944182113</v>
      </c>
      <c r="BG131">
        <f t="shared" si="83"/>
        <v>-130.57712815207768</v>
      </c>
      <c r="BH131">
        <f t="shared" si="98"/>
        <v>49.422871847922323</v>
      </c>
      <c r="BI131">
        <f t="shared" si="99"/>
        <v>49.422871847922323</v>
      </c>
      <c r="BJ131">
        <f t="shared" si="84"/>
        <v>0</v>
      </c>
      <c r="BK131">
        <f t="shared" si="100"/>
        <v>0</v>
      </c>
      <c r="BM131">
        <f t="shared" si="101"/>
        <v>-9.1940323137915403</v>
      </c>
      <c r="BN131">
        <f t="shared" si="85"/>
        <v>-177.8590985994006</v>
      </c>
      <c r="BQ131" s="56">
        <f t="shared" si="102"/>
        <v>22.704896319658467</v>
      </c>
      <c r="BR131" s="59"/>
      <c r="BS131" s="59"/>
      <c r="BT131" s="59">
        <v>1621.81</v>
      </c>
      <c r="BU131" s="59">
        <v>10.9787</v>
      </c>
      <c r="BV131" s="59">
        <v>-256.75299999999999</v>
      </c>
      <c r="BW131" s="61"/>
      <c r="BY131" s="59"/>
      <c r="BZ131" s="59"/>
      <c r="CA131" s="59"/>
      <c r="CC131" s="59"/>
    </row>
    <row r="132" spans="1:81" x14ac:dyDescent="0.2">
      <c r="A132">
        <f t="shared" si="106"/>
        <v>49000</v>
      </c>
      <c r="B132">
        <f t="shared" si="86"/>
        <v>49</v>
      </c>
      <c r="C132">
        <f t="shared" si="55"/>
        <v>1.0000182066519201</v>
      </c>
      <c r="D132">
        <f t="shared" si="56"/>
        <v>6.034297919256585E-3</v>
      </c>
      <c r="F132">
        <f t="shared" si="57"/>
        <v>2.2651193949927585E-2</v>
      </c>
      <c r="G132">
        <f t="shared" si="58"/>
        <v>3.1058330524315007E-2</v>
      </c>
      <c r="H132">
        <f t="shared" si="59"/>
        <v>-3.1105343194756854</v>
      </c>
      <c r="J132">
        <f t="shared" si="60"/>
        <v>15</v>
      </c>
      <c r="M132">
        <f t="shared" si="61"/>
        <v>2.5525431180147076E-2</v>
      </c>
      <c r="N132">
        <f t="shared" si="62"/>
        <v>-1.5707963250000001</v>
      </c>
      <c r="O132">
        <f t="shared" si="63"/>
        <v>9.674487981836208</v>
      </c>
      <c r="P132">
        <f t="shared" si="64"/>
        <v>1.4672467305302732</v>
      </c>
      <c r="Q132">
        <f t="shared" si="65"/>
        <v>8.4239425552201421</v>
      </c>
      <c r="R132">
        <f t="shared" si="66"/>
        <v>1.4518064759860896</v>
      </c>
      <c r="S132">
        <f t="shared" si="67"/>
        <v>0.9731660503252455</v>
      </c>
      <c r="T132">
        <f t="shared" si="68"/>
        <v>-0.23218452168311107</v>
      </c>
      <c r="U132">
        <f t="shared" si="69"/>
        <v>0.97248245298585145</v>
      </c>
      <c r="V132">
        <f t="shared" si="70"/>
        <v>-0.23513691300104125</v>
      </c>
      <c r="X132">
        <f t="shared" si="87"/>
        <v>-3.4924907697408685</v>
      </c>
      <c r="Y132">
        <f t="shared" si="71"/>
        <v>-127.40086575207621</v>
      </c>
      <c r="Z132">
        <f t="shared" si="88"/>
        <v>52.599134247923786</v>
      </c>
      <c r="AC132">
        <v>1</v>
      </c>
      <c r="AD132">
        <f t="shared" si="72"/>
        <v>9.6226668710234993</v>
      </c>
      <c r="AE132">
        <f t="shared" si="73"/>
        <v>-3.5551067430117367E-4</v>
      </c>
      <c r="AF132">
        <f t="shared" si="74"/>
        <v>1.483962704154E-3</v>
      </c>
      <c r="AG132">
        <f t="shared" si="89"/>
        <v>5979.8023899981099</v>
      </c>
      <c r="AH132">
        <f t="shared" si="90"/>
        <v>-2106.4434915418237</v>
      </c>
      <c r="AJ132">
        <f t="shared" si="75"/>
        <v>26400</v>
      </c>
      <c r="AK132">
        <f t="shared" si="76"/>
        <v>6242.2490911334407</v>
      </c>
      <c r="AL132">
        <v>1</v>
      </c>
      <c r="AM132">
        <f t="shared" si="77"/>
        <v>8.3643773332895996</v>
      </c>
      <c r="AN132">
        <f t="shared" si="91"/>
        <v>1107.7989841418923</v>
      </c>
      <c r="AO132">
        <f t="shared" si="92"/>
        <v>-3023.7996216642482</v>
      </c>
      <c r="AQ132">
        <f t="shared" si="78"/>
        <v>1.0411244143675169</v>
      </c>
      <c r="AR132">
        <f t="shared" si="79"/>
        <v>-102.03019260801666</v>
      </c>
      <c r="AT132">
        <f t="shared" si="104"/>
        <v>-208695.11689859512</v>
      </c>
      <c r="AU132">
        <f t="shared" si="105"/>
        <v>-612313.45935591531</v>
      </c>
      <c r="AV132">
        <f t="shared" si="93"/>
        <v>-1.899279108566607</v>
      </c>
      <c r="AW132">
        <f t="shared" si="94"/>
        <v>-300118.55237606703</v>
      </c>
      <c r="AX132">
        <f t="shared" si="95"/>
        <v>-134066.86354930446</v>
      </c>
      <c r="AY132">
        <f t="shared" si="103"/>
        <v>-2.7214755460900943</v>
      </c>
      <c r="BA132">
        <f t="shared" si="80"/>
        <v>1.9680476814743886</v>
      </c>
      <c r="BB132">
        <f t="shared" si="96"/>
        <v>5.8807123244914301</v>
      </c>
      <c r="BC132">
        <f t="shared" si="97"/>
        <v>0.82219643752348737</v>
      </c>
      <c r="BD132">
        <f t="shared" si="81"/>
        <v>-132.89161414538333</v>
      </c>
      <c r="BF132">
        <f t="shared" si="82"/>
        <v>-3.4954823804717829</v>
      </c>
      <c r="BG132">
        <f t="shared" si="83"/>
        <v>-130.76636308209132</v>
      </c>
      <c r="BH132">
        <f t="shared" si="98"/>
        <v>49.233636917908683</v>
      </c>
      <c r="BI132">
        <f t="shared" si="99"/>
        <v>49.233636917908683</v>
      </c>
      <c r="BJ132">
        <f t="shared" si="84"/>
        <v>0</v>
      </c>
      <c r="BK132">
        <f t="shared" si="100"/>
        <v>0</v>
      </c>
      <c r="BM132">
        <f t="shared" si="101"/>
        <v>-9.3761947049632148</v>
      </c>
      <c r="BN132">
        <f t="shared" si="85"/>
        <v>-177.87474893670799</v>
      </c>
      <c r="BQ132" s="56">
        <f t="shared" si="102"/>
        <v>22.782673124776565</v>
      </c>
      <c r="BR132" s="59"/>
      <c r="BS132" s="59"/>
      <c r="BT132" s="59">
        <v>1659.587</v>
      </c>
      <c r="BU132" s="59">
        <v>10.7578</v>
      </c>
      <c r="BV132" s="59">
        <v>-256.85699999999997</v>
      </c>
      <c r="BW132" s="61"/>
      <c r="BY132" s="59"/>
      <c r="BZ132" s="59"/>
      <c r="CA132" s="59"/>
      <c r="CC132" s="59"/>
    </row>
    <row r="133" spans="1:81" x14ac:dyDescent="0.2">
      <c r="A133">
        <f t="shared" si="106"/>
        <v>49500</v>
      </c>
      <c r="B133">
        <f t="shared" si="86"/>
        <v>49.5</v>
      </c>
      <c r="C133">
        <f t="shared" si="55"/>
        <v>1.000018580108512</v>
      </c>
      <c r="D133">
        <f t="shared" si="56"/>
        <v>6.0958708701452698E-3</v>
      </c>
      <c r="F133">
        <f t="shared" si="57"/>
        <v>2.2186018209846971E-2</v>
      </c>
      <c r="G133">
        <f t="shared" si="58"/>
        <v>3.0730811437692483E-2</v>
      </c>
      <c r="H133">
        <f t="shared" si="59"/>
        <v>-3.1108618385623079</v>
      </c>
      <c r="J133">
        <f t="shared" si="60"/>
        <v>15</v>
      </c>
      <c r="M133">
        <f t="shared" si="61"/>
        <v>2.5267598541963771E-2</v>
      </c>
      <c r="N133">
        <f t="shared" si="62"/>
        <v>-1.5707963250000001</v>
      </c>
      <c r="O133">
        <f t="shared" si="63"/>
        <v>9.7721577763268463</v>
      </c>
      <c r="P133">
        <f t="shared" si="64"/>
        <v>1.4682853369287792</v>
      </c>
      <c r="Q133">
        <f t="shared" si="65"/>
        <v>8.5086958661453274</v>
      </c>
      <c r="R133">
        <f t="shared" si="66"/>
        <v>1.4529972497194177</v>
      </c>
      <c r="S133">
        <f t="shared" si="67"/>
        <v>0.97263801171293651</v>
      </c>
      <c r="T133">
        <f t="shared" si="68"/>
        <v>-0.2344682774540533</v>
      </c>
      <c r="U133">
        <f t="shared" si="69"/>
        <v>0.97194154143229539</v>
      </c>
      <c r="V133">
        <f t="shared" si="70"/>
        <v>-0.2374475189550809</v>
      </c>
      <c r="X133">
        <f t="shared" si="87"/>
        <v>-3.5962496989114205</v>
      </c>
      <c r="Y133">
        <f t="shared" si="71"/>
        <v>-127.55160680731734</v>
      </c>
      <c r="Z133">
        <f t="shared" si="88"/>
        <v>52.448393192682659</v>
      </c>
      <c r="AC133">
        <v>1</v>
      </c>
      <c r="AD133">
        <f t="shared" si="72"/>
        <v>9.7208573492992496</v>
      </c>
      <c r="AE133">
        <f t="shared" si="73"/>
        <v>-3.6280301112305325E-4</v>
      </c>
      <c r="AF133">
        <f t="shared" si="74"/>
        <v>1.4991051807269999E-3</v>
      </c>
      <c r="AG133">
        <f t="shared" si="89"/>
        <v>5973.1521010677525</v>
      </c>
      <c r="AH133">
        <f t="shared" si="90"/>
        <v>-2112.6453359513307</v>
      </c>
      <c r="AJ133">
        <f t="shared" si="75"/>
        <v>26400</v>
      </c>
      <c r="AK133">
        <f t="shared" si="76"/>
        <v>6305.9455104307199</v>
      </c>
      <c r="AL133">
        <v>1</v>
      </c>
      <c r="AM133">
        <f t="shared" si="77"/>
        <v>8.4497281224048013</v>
      </c>
      <c r="AN133">
        <f t="shared" si="91"/>
        <v>1100.6330188809673</v>
      </c>
      <c r="AO133">
        <f t="shared" si="92"/>
        <v>-2994.1042616550844</v>
      </c>
      <c r="AQ133">
        <f t="shared" si="78"/>
        <v>1.0201999591920017</v>
      </c>
      <c r="AR133">
        <f t="shared" si="79"/>
        <v>-100.99979596000816</v>
      </c>
      <c r="AT133">
        <f t="shared" si="104"/>
        <v>-207282.93833719034</v>
      </c>
      <c r="AU133">
        <f t="shared" si="105"/>
        <v>-605442.46413146181</v>
      </c>
      <c r="AV133">
        <f t="shared" si="93"/>
        <v>-1.900654169030773</v>
      </c>
      <c r="AW133">
        <f t="shared" si="94"/>
        <v>-294051.78861332306</v>
      </c>
      <c r="AX133">
        <f t="shared" si="95"/>
        <v>-131955.9745865227</v>
      </c>
      <c r="AY133">
        <f t="shared" si="103"/>
        <v>-2.7197780509502834</v>
      </c>
      <c r="BA133">
        <f t="shared" si="80"/>
        <v>1.9855353721949252</v>
      </c>
      <c r="BB133">
        <f t="shared" si="96"/>
        <v>5.9575525679852612</v>
      </c>
      <c r="BC133">
        <f t="shared" si="97"/>
        <v>0.81912388191951035</v>
      </c>
      <c r="BD133">
        <f t="shared" si="81"/>
        <v>-133.06765861401163</v>
      </c>
      <c r="BF133">
        <f t="shared" si="82"/>
        <v>-3.5988735653593822</v>
      </c>
      <c r="BG133">
        <f t="shared" si="83"/>
        <v>-130.95764514189239</v>
      </c>
      <c r="BH133">
        <f t="shared" si="98"/>
        <v>49.042354858107615</v>
      </c>
      <c r="BI133">
        <f t="shared" si="99"/>
        <v>49.042354858107615</v>
      </c>
      <c r="BJ133">
        <f t="shared" si="84"/>
        <v>0</v>
      </c>
      <c r="BK133">
        <f t="shared" si="100"/>
        <v>0</v>
      </c>
      <c r="BM133">
        <f t="shared" si="101"/>
        <v>-9.5564261333446439</v>
      </c>
      <c r="BN133">
        <f t="shared" si="85"/>
        <v>-177.88998652788075</v>
      </c>
      <c r="BQ133" s="56">
        <f t="shared" si="102"/>
        <v>22.859513368270399</v>
      </c>
      <c r="BR133" s="59"/>
      <c r="BS133" s="59"/>
      <c r="BT133" s="59">
        <v>1698.2439999999999</v>
      </c>
      <c r="BU133" s="59">
        <v>10.580500000000001</v>
      </c>
      <c r="BV133" s="59">
        <v>-256.31299999999999</v>
      </c>
      <c r="BW133" s="61"/>
      <c r="BY133" s="59"/>
      <c r="BZ133" s="59"/>
      <c r="CA133" s="59"/>
      <c r="CC133" s="59"/>
    </row>
    <row r="134" spans="1:81" x14ac:dyDescent="0.2">
      <c r="A134">
        <f t="shared" si="106"/>
        <v>50000</v>
      </c>
      <c r="B134">
        <f t="shared" si="86"/>
        <v>50</v>
      </c>
      <c r="C134">
        <f t="shared" si="55"/>
        <v>1.0000189573563996</v>
      </c>
      <c r="D134">
        <f t="shared" si="56"/>
        <v>6.157443774811742E-3</v>
      </c>
      <c r="F134">
        <f t="shared" si="57"/>
        <v>2.1735123537583483E-2</v>
      </c>
      <c r="G134">
        <f t="shared" si="58"/>
        <v>3.0410262038834179E-2</v>
      </c>
      <c r="H134">
        <f t="shared" si="59"/>
        <v>-3.1111823879611662</v>
      </c>
      <c r="J134">
        <f t="shared" si="60"/>
        <v>15</v>
      </c>
      <c r="M134">
        <f t="shared" si="61"/>
        <v>2.5014922556544132E-2</v>
      </c>
      <c r="N134">
        <f t="shared" si="62"/>
        <v>-1.5707963250000001</v>
      </c>
      <c r="O134">
        <f t="shared" si="63"/>
        <v>9.8698379034412387</v>
      </c>
      <c r="P134">
        <f t="shared" si="64"/>
        <v>1.4693033865814384</v>
      </c>
      <c r="Q134">
        <f t="shared" si="65"/>
        <v>8.5934610039188204</v>
      </c>
      <c r="R134">
        <f t="shared" si="66"/>
        <v>1.4541645337076319</v>
      </c>
      <c r="S134">
        <f t="shared" si="67"/>
        <v>0.97210548402146968</v>
      </c>
      <c r="T134">
        <f t="shared" si="68"/>
        <v>-0.23674954436030501</v>
      </c>
      <c r="U134">
        <f t="shared" si="69"/>
        <v>0.97139605374870408</v>
      </c>
      <c r="V134">
        <f t="shared" si="70"/>
        <v>-0.23975554363374849</v>
      </c>
      <c r="X134">
        <f t="shared" si="87"/>
        <v>-3.6990274725805965</v>
      </c>
      <c r="Y134">
        <f t="shared" si="71"/>
        <v>-127.7041817119227</v>
      </c>
      <c r="Z134">
        <f t="shared" si="88"/>
        <v>52.295818288077299</v>
      </c>
      <c r="AC134">
        <v>1</v>
      </c>
      <c r="AD134">
        <f t="shared" si="72"/>
        <v>9.8190478275749999</v>
      </c>
      <c r="AE134">
        <f t="shared" si="73"/>
        <v>-3.7016938182129707E-4</v>
      </c>
      <c r="AF134">
        <f t="shared" si="74"/>
        <v>1.5142476573000001E-3</v>
      </c>
      <c r="AG134">
        <f t="shared" si="89"/>
        <v>5966.4492975888807</v>
      </c>
      <c r="AH134">
        <f t="shared" si="90"/>
        <v>-2118.9379641357477</v>
      </c>
      <c r="AJ134">
        <f t="shared" si="75"/>
        <v>26400</v>
      </c>
      <c r="AK134">
        <f t="shared" si="76"/>
        <v>6369.6419297279999</v>
      </c>
      <c r="AL134">
        <v>1</v>
      </c>
      <c r="AM134">
        <f t="shared" si="77"/>
        <v>8.5350789115200012</v>
      </c>
      <c r="AN134">
        <f t="shared" si="91"/>
        <v>1093.6770741773043</v>
      </c>
      <c r="AO134">
        <f t="shared" si="92"/>
        <v>-2964.9782020956063</v>
      </c>
      <c r="AQ134">
        <f t="shared" si="78"/>
        <v>0.99990000999900008</v>
      </c>
      <c r="AR134">
        <f t="shared" si="79"/>
        <v>-99.990000999900005</v>
      </c>
      <c r="AT134">
        <f t="shared" si="104"/>
        <v>-205906.75644034182</v>
      </c>
      <c r="AU134">
        <f t="shared" si="105"/>
        <v>-598703.99732329138</v>
      </c>
      <c r="AV134">
        <f t="shared" si="93"/>
        <v>-1.9020451439554378</v>
      </c>
      <c r="AW134">
        <f t="shared" si="94"/>
        <v>-288162.75184320036</v>
      </c>
      <c r="AX134">
        <f t="shared" si="95"/>
        <v>-129910.26088085923</v>
      </c>
      <c r="AY134">
        <f t="shared" si="103"/>
        <v>-2.7180549212876319</v>
      </c>
      <c r="BA134">
        <f t="shared" si="80"/>
        <v>2.0029660376350353</v>
      </c>
      <c r="BB134">
        <f t="shared" si="96"/>
        <v>6.0334717088596044</v>
      </c>
      <c r="BC134">
        <f t="shared" si="97"/>
        <v>0.81600977733219415</v>
      </c>
      <c r="BD134">
        <f t="shared" si="81"/>
        <v>-133.24608366403106</v>
      </c>
      <c r="BF134">
        <f t="shared" si="82"/>
        <v>-3.7012961907495456</v>
      </c>
      <c r="BG134">
        <f t="shared" si="83"/>
        <v>-131.15090845203909</v>
      </c>
      <c r="BH134">
        <f t="shared" si="98"/>
        <v>48.84909154796091</v>
      </c>
      <c r="BI134">
        <f t="shared" si="99"/>
        <v>48.84909154796091</v>
      </c>
      <c r="BJ134">
        <f t="shared" si="84"/>
        <v>0</v>
      </c>
      <c r="BK134">
        <f t="shared" si="100"/>
        <v>0</v>
      </c>
      <c r="BM134">
        <f t="shared" si="101"/>
        <v>-9.7347678996091496</v>
      </c>
      <c r="BN134">
        <f t="shared" si="85"/>
        <v>-177.904824788008</v>
      </c>
      <c r="BQ134" s="56">
        <f t="shared" si="102"/>
        <v>22.935432509144743</v>
      </c>
      <c r="BR134" s="59"/>
      <c r="BS134" s="59"/>
      <c r="BT134" s="59">
        <v>1737.8009999999999</v>
      </c>
      <c r="BU134" s="59">
        <v>10.4643</v>
      </c>
      <c r="BV134" s="59">
        <v>-256.37900000000002</v>
      </c>
      <c r="BW134" s="61"/>
      <c r="BY134" s="59"/>
      <c r="BZ134" s="59"/>
      <c r="CA134" s="59"/>
      <c r="CC134" s="59"/>
    </row>
    <row r="135" spans="1:81" x14ac:dyDescent="0.2">
      <c r="A135">
        <f t="shared" si="106"/>
        <v>50500</v>
      </c>
      <c r="B135">
        <f t="shared" si="86"/>
        <v>50.5</v>
      </c>
      <c r="C135">
        <f t="shared" si="55"/>
        <v>1.0000193383955789</v>
      </c>
      <c r="D135">
        <f t="shared" si="56"/>
        <v>6.2190166327891786E-3</v>
      </c>
      <c r="F135">
        <f t="shared" si="57"/>
        <v>2.1297927480617929E-2</v>
      </c>
      <c r="G135">
        <f t="shared" si="58"/>
        <v>3.0096458379042425E-2</v>
      </c>
      <c r="H135">
        <f t="shared" si="59"/>
        <v>-3.1114961916209576</v>
      </c>
      <c r="J135">
        <f t="shared" si="60"/>
        <v>15</v>
      </c>
      <c r="M135">
        <f t="shared" si="61"/>
        <v>2.4767250055984291E-2</v>
      </c>
      <c r="N135">
        <f t="shared" si="62"/>
        <v>-1.5707963250000001</v>
      </c>
      <c r="O135">
        <f t="shared" si="63"/>
        <v>9.9675280594053763</v>
      </c>
      <c r="P135">
        <f t="shared" si="64"/>
        <v>1.4703014817665156</v>
      </c>
      <c r="Q135">
        <f t="shared" si="65"/>
        <v>8.678237621982559</v>
      </c>
      <c r="R135">
        <f t="shared" si="66"/>
        <v>1.4553090131273598</v>
      </c>
      <c r="S135">
        <f t="shared" si="67"/>
        <v>0.97156849123455946</v>
      </c>
      <c r="T135">
        <f t="shared" si="68"/>
        <v>-0.23902830276301376</v>
      </c>
      <c r="U135">
        <f t="shared" si="69"/>
        <v>0.97084601505548163</v>
      </c>
      <c r="V135">
        <f t="shared" si="70"/>
        <v>-0.24206096681192635</v>
      </c>
      <c r="X135">
        <f t="shared" si="87"/>
        <v>-3.8008486201184781</v>
      </c>
      <c r="Y135">
        <f t="shared" si="71"/>
        <v>-127.85852724746537</v>
      </c>
      <c r="Z135">
        <f t="shared" si="88"/>
        <v>52.141472752534625</v>
      </c>
      <c r="AC135">
        <v>1</v>
      </c>
      <c r="AD135">
        <f t="shared" si="72"/>
        <v>9.9172383058507503</v>
      </c>
      <c r="AE135">
        <f t="shared" si="73"/>
        <v>-3.7760978639590515E-4</v>
      </c>
      <c r="AF135">
        <f t="shared" si="74"/>
        <v>1.529390133873E-3</v>
      </c>
      <c r="AG135">
        <f t="shared" si="89"/>
        <v>5959.69438267448</v>
      </c>
      <c r="AH135">
        <f t="shared" si="90"/>
        <v>-2125.3170468644475</v>
      </c>
      <c r="AJ135">
        <f t="shared" si="75"/>
        <v>26400</v>
      </c>
      <c r="AK135">
        <f t="shared" si="76"/>
        <v>6433.3383490252809</v>
      </c>
      <c r="AL135">
        <v>1</v>
      </c>
      <c r="AM135">
        <f t="shared" si="77"/>
        <v>8.6204297006352011</v>
      </c>
      <c r="AN135">
        <f t="shared" si="91"/>
        <v>1086.923059065904</v>
      </c>
      <c r="AO135">
        <f t="shared" si="92"/>
        <v>-2936.4054716517076</v>
      </c>
      <c r="AQ135">
        <f t="shared" si="78"/>
        <v>0.98019996079200156</v>
      </c>
      <c r="AR135">
        <f t="shared" si="79"/>
        <v>-99.000196039992161</v>
      </c>
      <c r="AT135">
        <f t="shared" si="104"/>
        <v>-204565.1120864877</v>
      </c>
      <c r="AU135">
        <f t="shared" si="105"/>
        <v>-592094.14790922066</v>
      </c>
      <c r="AV135">
        <f t="shared" si="93"/>
        <v>-1.9034514720472153</v>
      </c>
      <c r="AW135">
        <f t="shared" si="94"/>
        <v>-282444.61256223707</v>
      </c>
      <c r="AX135">
        <f t="shared" si="95"/>
        <v>-127926.91753756112</v>
      </c>
      <c r="AY135">
        <f t="shared" si="103"/>
        <v>-2.7163069282194421</v>
      </c>
      <c r="BA135">
        <f t="shared" si="80"/>
        <v>2.020338964106446</v>
      </c>
      <c r="BB135">
        <f t="shared" si="96"/>
        <v>6.1084847937952444</v>
      </c>
      <c r="BC135">
        <f t="shared" si="97"/>
        <v>0.81285545617222676</v>
      </c>
      <c r="BD135">
        <f t="shared" si="81"/>
        <v>-133.42681295393251</v>
      </c>
      <c r="BF135">
        <f t="shared" si="82"/>
        <v>-3.802775176933924</v>
      </c>
      <c r="BG135">
        <f t="shared" si="83"/>
        <v>-131.34608950236418</v>
      </c>
      <c r="BH135">
        <f t="shared" si="98"/>
        <v>48.65391049763582</v>
      </c>
      <c r="BI135">
        <f t="shared" si="99"/>
        <v>48.65391049763582</v>
      </c>
      <c r="BJ135">
        <f t="shared" si="84"/>
        <v>0</v>
      </c>
      <c r="BK135">
        <f t="shared" si="100"/>
        <v>0</v>
      </c>
      <c r="BM135">
        <f t="shared" si="101"/>
        <v>-9.9112599707291693</v>
      </c>
      <c r="BN135">
        <f t="shared" si="85"/>
        <v>-177.91927654843167</v>
      </c>
      <c r="BQ135" s="56">
        <f t="shared" si="102"/>
        <v>23.01044559408038</v>
      </c>
      <c r="BR135" s="59"/>
      <c r="BS135" s="59"/>
      <c r="BT135" s="59">
        <v>1778.279</v>
      </c>
      <c r="BU135" s="59">
        <v>10.213699999999999</v>
      </c>
      <c r="BV135" s="59">
        <v>-256.01499999999999</v>
      </c>
      <c r="BW135" s="61"/>
      <c r="BY135" s="59"/>
      <c r="BZ135" s="59"/>
      <c r="CA135" s="59"/>
      <c r="CC135" s="59"/>
    </row>
    <row r="136" spans="1:81" x14ac:dyDescent="0.2">
      <c r="A136">
        <f t="shared" si="106"/>
        <v>51000</v>
      </c>
      <c r="B136">
        <f t="shared" si="86"/>
        <v>51</v>
      </c>
      <c r="C136">
        <f t="shared" si="55"/>
        <v>1.0000197232260455</v>
      </c>
      <c r="D136">
        <f t="shared" si="56"/>
        <v>6.2805894436107623E-3</v>
      </c>
      <c r="F136">
        <f t="shared" si="57"/>
        <v>2.0873877164135194E-2</v>
      </c>
      <c r="G136">
        <f t="shared" si="58"/>
        <v>2.9789186142919317E-2</v>
      </c>
      <c r="H136">
        <f t="shared" si="59"/>
        <v>-3.1118034638570808</v>
      </c>
      <c r="J136">
        <f t="shared" si="60"/>
        <v>15</v>
      </c>
      <c r="M136">
        <f t="shared" si="61"/>
        <v>2.4524433878964837E-2</v>
      </c>
      <c r="N136">
        <f t="shared" si="62"/>
        <v>-1.5707963250000001</v>
      </c>
      <c r="O136">
        <f t="shared" si="63"/>
        <v>10.065227952208019</v>
      </c>
      <c r="P136">
        <f t="shared" si="64"/>
        <v>1.4712802015404551</v>
      </c>
      <c r="Q136">
        <f t="shared" si="65"/>
        <v>8.7630253871433439</v>
      </c>
      <c r="R136">
        <f t="shared" si="66"/>
        <v>1.4564313468815633</v>
      </c>
      <c r="S136">
        <f t="shared" si="67"/>
        <v>0.97102705746438067</v>
      </c>
      <c r="T136">
        <f t="shared" si="68"/>
        <v>-0.24130453317069972</v>
      </c>
      <c r="U136">
        <f t="shared" si="69"/>
        <v>0.97029145060457955</v>
      </c>
      <c r="V136">
        <f t="shared" si="70"/>
        <v>-0.24436376842067814</v>
      </c>
      <c r="X136">
        <f t="shared" si="87"/>
        <v>-3.9017367938620477</v>
      </c>
      <c r="Y136">
        <f t="shared" si="71"/>
        <v>-128.01458249684578</v>
      </c>
      <c r="Z136">
        <f t="shared" si="88"/>
        <v>51.985417503154224</v>
      </c>
      <c r="AC136">
        <v>1</v>
      </c>
      <c r="AD136">
        <f t="shared" si="72"/>
        <v>10.015428784126501</v>
      </c>
      <c r="AE136">
        <f t="shared" si="73"/>
        <v>-3.8512422484687753E-4</v>
      </c>
      <c r="AF136">
        <f t="shared" si="74"/>
        <v>1.5445326104459997E-3</v>
      </c>
      <c r="AG136">
        <f t="shared" si="89"/>
        <v>5952.8877611414055</v>
      </c>
      <c r="AH136">
        <f t="shared" si="90"/>
        <v>-2131.7784178472448</v>
      </c>
      <c r="AJ136">
        <f t="shared" si="75"/>
        <v>26400</v>
      </c>
      <c r="AK136">
        <f t="shared" si="76"/>
        <v>6497.0347683225609</v>
      </c>
      <c r="AL136">
        <v>1</v>
      </c>
      <c r="AM136">
        <f t="shared" si="77"/>
        <v>8.705780489750401</v>
      </c>
      <c r="AN136">
        <f t="shared" si="91"/>
        <v>1080.3632667494971</v>
      </c>
      <c r="AO136">
        <f t="shared" si="92"/>
        <v>-2908.3706811882212</v>
      </c>
      <c r="AQ136">
        <f t="shared" si="78"/>
        <v>0.96107640557424312</v>
      </c>
      <c r="AR136">
        <f t="shared" si="79"/>
        <v>-98.029793368572797</v>
      </c>
      <c r="AT136">
        <f t="shared" si="104"/>
        <v>-203256.61783688376</v>
      </c>
      <c r="AU136">
        <f t="shared" si="105"/>
        <v>-585609.15911030327</v>
      </c>
      <c r="AV136">
        <f t="shared" si="93"/>
        <v>-1.9048726129907203</v>
      </c>
      <c r="AW136">
        <f t="shared" si="94"/>
        <v>-276890.86460623174</v>
      </c>
      <c r="AX136">
        <f t="shared" si="95"/>
        <v>-126003.29042208847</v>
      </c>
      <c r="AY136">
        <f t="shared" si="103"/>
        <v>-2.7145348147845207</v>
      </c>
      <c r="BA136">
        <f t="shared" si="80"/>
        <v>2.0376534472404653</v>
      </c>
      <c r="BB136">
        <f t="shared" si="96"/>
        <v>6.182606471239005</v>
      </c>
      <c r="BC136">
        <f t="shared" si="97"/>
        <v>0.80966220179380044</v>
      </c>
      <c r="BD136">
        <f t="shared" si="81"/>
        <v>-133.60977295293708</v>
      </c>
      <c r="BF136">
        <f t="shared" si="82"/>
        <v>-3.9033345663853791</v>
      </c>
      <c r="BG136">
        <f t="shared" si="83"/>
        <v>-131.54312704148339</v>
      </c>
      <c r="BH136">
        <f t="shared" si="98"/>
        <v>48.456872958516612</v>
      </c>
      <c r="BI136">
        <f t="shared" si="99"/>
        <v>48.456872958516612</v>
      </c>
      <c r="BJ136">
        <f t="shared" si="84"/>
        <v>0</v>
      </c>
      <c r="BK136">
        <f t="shared" si="100"/>
        <v>0</v>
      </c>
      <c r="BM136">
        <f t="shared" si="101"/>
        <v>-10.085941037624382</v>
      </c>
      <c r="BN136">
        <f t="shared" si="85"/>
        <v>-177.93335408854634</v>
      </c>
      <c r="BQ136" s="56">
        <f t="shared" si="102"/>
        <v>23.08456727152414</v>
      </c>
      <c r="BR136" s="59"/>
      <c r="BS136" s="59"/>
      <c r="BT136" s="59">
        <v>1819.701</v>
      </c>
      <c r="BU136" s="59">
        <v>10.045199999999999</v>
      </c>
      <c r="BV136" s="59">
        <v>-255.833</v>
      </c>
      <c r="BW136" s="61"/>
      <c r="BY136" s="59"/>
      <c r="BZ136" s="59"/>
      <c r="CA136" s="59"/>
      <c r="CC136" s="59"/>
    </row>
    <row r="137" spans="1:81" x14ac:dyDescent="0.2">
      <c r="A137">
        <f t="shared" si="106"/>
        <v>51500</v>
      </c>
      <c r="B137">
        <f t="shared" si="86"/>
        <v>51.5</v>
      </c>
      <c r="C137">
        <f t="shared" ref="C137:C200" si="107">SQRT((A137/Fesr)^2+1)</f>
        <v>1.0000201118477949</v>
      </c>
      <c r="D137">
        <f t="shared" ref="D137:D200" si="108">ATAN(A137/Fesr)</f>
        <v>6.3421622068096772E-3</v>
      </c>
      <c r="F137">
        <f t="shared" ref="F137:F200" si="109">(Ro/(Ro+Rdcr))/SQRT((A137/(Q*Fo))^2+(1-(A137^2/Fo^2))^2)</f>
        <v>2.0462447496247833E-2</v>
      </c>
      <c r="G137">
        <f t="shared" ref="G137:G200" si="110">-ATAN(A137*Fo/(Q*(Fo^2-A137^2)))</f>
        <v>2.9488240129607518E-2</v>
      </c>
      <c r="H137">
        <f t="shared" ref="H137:H200" si="111">IF(G137&gt;0,G137-Pi,G137)</f>
        <v>-3.1121044098703927</v>
      </c>
      <c r="J137">
        <f t="shared" ref="J137:J200" si="112">Vin/Vramp</f>
        <v>15</v>
      </c>
      <c r="M137">
        <f t="shared" ref="M137:M200" si="113">1/(2*Pi*_Rfb1*(Cc1ea_u+Cc2ea_u)*A137)</f>
        <v>2.4286332579169064E-2</v>
      </c>
      <c r="N137">
        <f t="shared" ref="N137:N200" si="114">-Pi/2</f>
        <v>-1.5707963250000001</v>
      </c>
      <c r="O137">
        <f t="shared" ref="O137:O200" si="115">SQRT(1+(A137/Fz1_u)^2)</f>
        <v>10.162937301038212</v>
      </c>
      <c r="P137">
        <f t="shared" ref="P137:P200" si="116">ATAN2(Fz1_u,A137)</f>
        <v>1.4722401028426821</v>
      </c>
      <c r="Q137">
        <f t="shared" ref="Q137:Q200" si="117">SQRT(1+(A137/Fz2_u)^2)</f>
        <v>8.8478239789368054</v>
      </c>
      <c r="R137">
        <f t="shared" ref="R137:R200" si="118">ATAN2(Fz2_u,A137)</f>
        <v>1.4575321688413698</v>
      </c>
      <c r="S137">
        <f t="shared" ref="S137:S200" si="119">1/SQRT(1+(A137/Fp1_u)^2)</f>
        <v>0.97048120694881557</v>
      </c>
      <c r="T137">
        <f t="shared" ref="T137:T200" si="120">-ATAN2(Fp1_u,A137)</f>
        <v>-0.24357821623988862</v>
      </c>
      <c r="U137">
        <f t="shared" ref="U137:U200" si="121">1/SQRT(1+(A137/Fp2_u)^2)</f>
        <v>0.96973238577655729</v>
      </c>
      <c r="V137">
        <f t="shared" ref="V137:V200" si="122">-ATAN2(Fp2_u,A137)</f>
        <v>-0.24666392854789673</v>
      </c>
      <c r="X137">
        <f t="shared" si="87"/>
        <v>-4.0017148102141489</v>
      </c>
      <c r="Y137">
        <f t="shared" ref="Y137:Y200" si="123">(180/Pi)*(D137+H137+N137+P137+R137+T137+V137)</f>
        <v>-128.17228873963558</v>
      </c>
      <c r="Z137">
        <f t="shared" si="88"/>
        <v>51.827711260364424</v>
      </c>
      <c r="AC137">
        <v>1</v>
      </c>
      <c r="AD137">
        <f t="shared" ref="AD137:AD200" si="124">Rcea1_u*Cc1ea_u*A137*2*Pi</f>
        <v>10.113619262402249</v>
      </c>
      <c r="AE137">
        <f t="shared" ref="AE137:AE200" si="125">-Rcea1_u*Cc1ea_u*Cc2ea_u*(A137*2*Pi)^2</f>
        <v>-3.9271269717421406E-4</v>
      </c>
      <c r="AF137">
        <f t="shared" ref="AF137:AF200" si="126">(Cc2ea_u+Cc1ea_u)*A137*2*Pi</f>
        <v>1.559675087019E-3</v>
      </c>
      <c r="AG137">
        <f t="shared" si="89"/>
        <v>5946.029839455241</v>
      </c>
      <c r="AH137">
        <f t="shared" si="90"/>
        <v>-2138.3180660435842</v>
      </c>
      <c r="AJ137">
        <f t="shared" ref="AJ137:AJ200" si="127">_Rfb1</f>
        <v>26400</v>
      </c>
      <c r="AK137">
        <f t="shared" ref="AK137:AK200" si="128">_Rfb1*Rcea2_u*Cc3ea_u*A137*2*Pi</f>
        <v>6560.731187619841</v>
      </c>
      <c r="AL137">
        <v>1</v>
      </c>
      <c r="AM137">
        <f t="shared" ref="AM137:AM200" si="129">(_Rfb1+Rcea2_u)*Cc3ea_u*A137*2*Pi</f>
        <v>8.7911312788656009</v>
      </c>
      <c r="AN137">
        <f t="shared" si="91"/>
        <v>1073.9903530140734</v>
      </c>
      <c r="AO137">
        <f t="shared" si="92"/>
        <v>-2880.8589979620888</v>
      </c>
      <c r="AQ137">
        <f t="shared" ref="AQ137:AQ200" si="130">Eadcg/(1+(Eadcg*A137/GBP)^2)</f>
        <v>0.94250706880301605</v>
      </c>
      <c r="AR137">
        <f t="shared" ref="AR137:AR200" si="131">-(A137*Eadcg*Eadcg/GBP)/(1+(Eadcg*A137/GBP)^2)</f>
        <v>-97.078228086710652</v>
      </c>
      <c r="AT137">
        <f t="shared" si="104"/>
        <v>-201979.95378231283</v>
      </c>
      <c r="AU137">
        <f t="shared" si="105"/>
        <v>-579245.42085761868</v>
      </c>
      <c r="AV137">
        <f t="shared" si="93"/>
        <v>-1.9063080464608988</v>
      </c>
      <c r="AW137">
        <f t="shared" si="94"/>
        <v>-271495.30704452866</v>
      </c>
      <c r="AX137">
        <f t="shared" si="95"/>
        <v>-124136.86657398197</v>
      </c>
      <c r="AY137">
        <f t="shared" si="103"/>
        <v>-2.7127392972978899</v>
      </c>
      <c r="BA137">
        <f t="shared" ref="BA137:BA200" si="132">SQRT(AT137^2+AU137^2)/SQRT(AW137^2+AX137^2)</f>
        <v>2.0549087917744124</v>
      </c>
      <c r="BB137">
        <f t="shared" si="96"/>
        <v>6.2558510049410634</v>
      </c>
      <c r="BC137">
        <f t="shared" si="97"/>
        <v>0.80643125083699108</v>
      </c>
      <c r="BD137">
        <f t="shared" ref="BD137:BD200" si="133">BC137*180/Pi-180</f>
        <v>-133.79489280678754</v>
      </c>
      <c r="BF137">
        <f t="shared" ref="BF137:BF200" si="134">20*LOG(BA137*J137*F137*C137)</f>
        <v>-4.0029975647499061</v>
      </c>
      <c r="BG137">
        <f t="shared" ref="BG137:BG200" si="135">(180/Pi)*(D137+H137+BC137)</f>
        <v>-131.74196197230933</v>
      </c>
      <c r="BH137">
        <f t="shared" si="98"/>
        <v>48.258038027690674</v>
      </c>
      <c r="BI137">
        <f t="shared" si="99"/>
        <v>48.258038027690674</v>
      </c>
      <c r="BJ137">
        <f t="shared" ref="BJ137:BJ200" si="136">SUM((BF138&lt;0)*(BF137&gt;0))*A137</f>
        <v>0</v>
      </c>
      <c r="BK137">
        <f t="shared" si="100"/>
        <v>0</v>
      </c>
      <c r="BM137">
        <f t="shared" si="101"/>
        <v>-10.258848569690969</v>
      </c>
      <c r="BN137">
        <f t="shared" ref="BN137:BN200" si="137">(H137+D137)*180/Pi</f>
        <v>-177.94706916552181</v>
      </c>
      <c r="BQ137" s="56">
        <f t="shared" si="102"/>
        <v>23.157811805226199</v>
      </c>
      <c r="BR137" s="59"/>
      <c r="BS137" s="59"/>
      <c r="BT137" s="59">
        <v>1862.087</v>
      </c>
      <c r="BU137" s="59">
        <v>9.8767200000000006</v>
      </c>
      <c r="BV137" s="59">
        <v>-255.47</v>
      </c>
      <c r="BW137" s="61"/>
      <c r="BY137" s="59"/>
      <c r="BZ137" s="59"/>
      <c r="CA137" s="59"/>
      <c r="CC137" s="59"/>
    </row>
    <row r="138" spans="1:81" x14ac:dyDescent="0.2">
      <c r="A138">
        <f t="shared" si="106"/>
        <v>52000</v>
      </c>
      <c r="B138">
        <f t="shared" ref="B138:B201" si="138">A138/1000</f>
        <v>52</v>
      </c>
      <c r="C138">
        <f t="shared" si="107"/>
        <v>1.000020504260823</v>
      </c>
      <c r="D138">
        <f t="shared" si="108"/>
        <v>6.4037349219191091E-3</v>
      </c>
      <c r="F138">
        <f t="shared" si="109"/>
        <v>2.0063139499700473E-2</v>
      </c>
      <c r="G138">
        <f t="shared" si="110"/>
        <v>2.9193423767526535E-2</v>
      </c>
      <c r="H138">
        <f t="shared" si="111"/>
        <v>-3.1123992262324736</v>
      </c>
      <c r="J138">
        <f t="shared" si="112"/>
        <v>15</v>
      </c>
      <c r="M138">
        <f t="shared" si="113"/>
        <v>2.4052810150523209E-2</v>
      </c>
      <c r="N138">
        <f t="shared" si="114"/>
        <v>-1.5707963250000001</v>
      </c>
      <c r="O138">
        <f t="shared" si="115"/>
        <v>10.260655835754658</v>
      </c>
      <c r="P138">
        <f t="shared" si="116"/>
        <v>1.4731817215381353</v>
      </c>
      <c r="Q138">
        <f t="shared" si="117"/>
        <v>8.9326330890272612</v>
      </c>
      <c r="R138">
        <f t="shared" si="118"/>
        <v>1.4586120890184422</v>
      </c>
      <c r="S138">
        <f t="shared" si="119"/>
        <v>0.96993096404870183</v>
      </c>
      <c r="T138">
        <f t="shared" si="120"/>
        <v>-0.24584933277572543</v>
      </c>
      <c r="U138">
        <f t="shared" si="121"/>
        <v>0.96916884607764253</v>
      </c>
      <c r="V138">
        <f t="shared" si="122"/>
        <v>-0.24896142743893129</v>
      </c>
      <c r="X138">
        <f t="shared" ref="X138:X201" si="139">20*LOG(C138*J138*O138*Q138*F138*M138*S138*U138)</f>
        <v>-4.1008046883547049</v>
      </c>
      <c r="Y138">
        <f t="shared" si="123"/>
        <v>-128.33158935304806</v>
      </c>
      <c r="Z138">
        <f t="shared" ref="Z138:Z201" si="140">Y138+180</f>
        <v>51.668410646951941</v>
      </c>
      <c r="AC138">
        <v>1</v>
      </c>
      <c r="AD138">
        <f t="shared" si="124"/>
        <v>10.211809740678</v>
      </c>
      <c r="AE138">
        <f t="shared" si="125"/>
        <v>-4.0037520337791495E-4</v>
      </c>
      <c r="AF138">
        <f t="shared" si="126"/>
        <v>1.5748175635920002E-3</v>
      </c>
      <c r="AG138">
        <f t="shared" ref="AG138:AG201" si="141">AC138*AE138/(AE138^2+AF138^2)+AD138*AF138/(AE138^2+AF138^2)</f>
        <v>5939.121025675302</v>
      </c>
      <c r="AH138">
        <f t="shared" ref="AH138:AH201" si="142">AD138*AE138/(AE138^2+AF138^2)-AC138*AF138/(AE138^2+AF138^2)</f>
        <v>-2144.9321284150546</v>
      </c>
      <c r="AJ138">
        <f t="shared" si="127"/>
        <v>26400</v>
      </c>
      <c r="AK138">
        <f t="shared" si="128"/>
        <v>6624.427606917121</v>
      </c>
      <c r="AL138">
        <v>1</v>
      </c>
      <c r="AM138">
        <f t="shared" si="129"/>
        <v>8.8764820679808007</v>
      </c>
      <c r="AN138">
        <f t="shared" ref="AN138:AN201" si="143">AJ138*AL138/(AL138^2+AM138^2)+AK138*AM138/(AL138^2+AM138^2)</f>
        <v>1067.7973160396875</v>
      </c>
      <c r="AO138">
        <f t="shared" ref="AO138:AO201" si="144">AK138*AL138/(AL138^2+AM138^2)-AJ138*AM138/(AL138^2+AM138^2)</f>
        <v>-2853.8561211471942</v>
      </c>
      <c r="AQ138">
        <f t="shared" si="130"/>
        <v>0.92447074050106315</v>
      </c>
      <c r="AR138">
        <f t="shared" si="131"/>
        <v>-96.144957012110567</v>
      </c>
      <c r="AT138">
        <f t="shared" si="104"/>
        <v>-200733.86366782879</v>
      </c>
      <c r="AU138">
        <f t="shared" si="105"/>
        <v>-572999.46269635437</v>
      </c>
      <c r="AV138">
        <f t="shared" ref="AV138:AV201" si="145">ATAN2(AT138,AU138)</f>
        <v>-1.9077572711908866</v>
      </c>
      <c r="AW138">
        <f t="shared" ref="AW138:AW201" si="146">AG138-AH138*AO138/_Rfb2+AG138*AN138/_Rfb2+AN138-AO138*AR138+AQ138*AN138</f>
        <v>-266252.02724006108</v>
      </c>
      <c r="AX138">
        <f t="shared" ref="AX138:AX201" si="147">AH138+AH138*AN138/_Rfb2+AG138*AO138/_Rfb2+AO138+AO138*AQ138+AN138*AR138</f>
        <v>-122325.26531892444</v>
      </c>
      <c r="AY138">
        <f t="shared" si="103"/>
        <v>-2.7109210666291439</v>
      </c>
      <c r="BA138">
        <f t="shared" si="132"/>
        <v>2.0721043113552811</v>
      </c>
      <c r="BB138">
        <f t="shared" ref="BB138:BB201" si="148">20*LOG(BA138)</f>
        <v>6.3282322869630789</v>
      </c>
      <c r="BC138">
        <f t="shared" ref="BC138:BC201" si="149">AV138-AY138</f>
        <v>0.80316379543825733</v>
      </c>
      <c r="BD138">
        <f t="shared" si="133"/>
        <v>-133.98210421109616</v>
      </c>
      <c r="BF138">
        <f t="shared" si="134"/>
        <v>-4.1017865794512076</v>
      </c>
      <c r="BG138">
        <f t="shared" si="135"/>
        <v>-131.94253725320289</v>
      </c>
      <c r="BH138">
        <f t="shared" ref="BH138:BH201" si="150">IF(BG138&gt;180,BG138-180,BG138+180)</f>
        <v>48.057462746797114</v>
      </c>
      <c r="BI138">
        <f t="shared" ref="BI138:BI201" si="151">IF(BH138&gt;180,BH138-360,BH138)</f>
        <v>48.057462746797114</v>
      </c>
      <c r="BJ138">
        <f t="shared" si="136"/>
        <v>0</v>
      </c>
      <c r="BK138">
        <f t="shared" ref="BK138:BK201" si="152">IF(BJ138&gt;0,BI138,0)</f>
        <v>0</v>
      </c>
      <c r="BM138">
        <f t="shared" ref="BM138:BM201" si="153">20*LOG(J138*F138*C138)</f>
        <v>-10.430018866414287</v>
      </c>
      <c r="BN138">
        <f t="shared" si="137"/>
        <v>-177.96043304210679</v>
      </c>
      <c r="BQ138" s="56">
        <f t="shared" ref="BQ138:BQ201" si="154">20*LOG(BA138*7)</f>
        <v>23.230193087248217</v>
      </c>
      <c r="BR138" s="59"/>
      <c r="BS138" s="59"/>
      <c r="BT138" s="59">
        <v>1905.461</v>
      </c>
      <c r="BU138" s="59">
        <v>9.7134199999999993</v>
      </c>
      <c r="BV138" s="59">
        <v>-255.059</v>
      </c>
      <c r="BW138" s="61"/>
      <c r="BY138" s="59"/>
      <c r="BZ138" s="59"/>
      <c r="CA138" s="59"/>
      <c r="CC138" s="59"/>
    </row>
    <row r="139" spans="1:81" x14ac:dyDescent="0.2">
      <c r="A139">
        <f t="shared" si="106"/>
        <v>52500</v>
      </c>
      <c r="B139">
        <f t="shared" si="138"/>
        <v>52.5</v>
      </c>
      <c r="C139">
        <f t="shared" si="107"/>
        <v>1.0000209004651248</v>
      </c>
      <c r="D139">
        <f t="shared" si="108"/>
        <v>6.465307588472244E-3</v>
      </c>
      <c r="F139">
        <f t="shared" si="109"/>
        <v>1.967547875991808E-2</v>
      </c>
      <c r="G139">
        <f t="shared" si="110"/>
        <v>2.8904548660088337E-2</v>
      </c>
      <c r="H139">
        <f t="shared" si="111"/>
        <v>-3.1126881013399119</v>
      </c>
      <c r="J139">
        <f t="shared" si="112"/>
        <v>15</v>
      </c>
      <c r="M139">
        <f t="shared" si="113"/>
        <v>2.3823735768137268E-2</v>
      </c>
      <c r="N139">
        <f t="shared" si="114"/>
        <v>-1.5707963250000001</v>
      </c>
      <c r="O139">
        <f t="shared" si="115"/>
        <v>10.358383296384934</v>
      </c>
      <c r="P139">
        <f t="shared" si="116"/>
        <v>1.4741055734015678</v>
      </c>
      <c r="Q139">
        <f t="shared" si="117"/>
        <v>9.0174524206410691</v>
      </c>
      <c r="R139">
        <f t="shared" si="118"/>
        <v>1.4596716946723578</v>
      </c>
      <c r="S139">
        <f t="shared" si="119"/>
        <v>0.96937635324507743</v>
      </c>
      <c r="T139">
        <f t="shared" si="120"/>
        <v>-0.24811786373256794</v>
      </c>
      <c r="U139">
        <f t="shared" si="121"/>
        <v>0.96860085713679145</v>
      </c>
      <c r="V139">
        <f t="shared" si="122"/>
        <v>-0.25125624549719244</v>
      </c>
      <c r="X139">
        <f t="shared" si="139"/>
        <v>-4.199027686728467</v>
      </c>
      <c r="Y139">
        <f t="shared" si="123"/>
        <v>-128.49242971819066</v>
      </c>
      <c r="Z139">
        <f t="shared" si="140"/>
        <v>51.507570281809336</v>
      </c>
      <c r="AC139">
        <v>1</v>
      </c>
      <c r="AD139">
        <f t="shared" si="124"/>
        <v>10.31000021895375</v>
      </c>
      <c r="AE139">
        <f t="shared" si="125"/>
        <v>-4.0811174345798008E-4</v>
      </c>
      <c r="AF139">
        <f t="shared" si="126"/>
        <v>1.5899600401650001E-3</v>
      </c>
      <c r="AG139">
        <f t="shared" si="141"/>
        <v>5932.1617293996933</v>
      </c>
      <c r="AH139">
        <f t="shared" si="142"/>
        <v>-2151.6168830916013</v>
      </c>
      <c r="AJ139">
        <f t="shared" si="127"/>
        <v>26400</v>
      </c>
      <c r="AK139">
        <f t="shared" si="128"/>
        <v>6688.1240262144011</v>
      </c>
      <c r="AL139">
        <v>1</v>
      </c>
      <c r="AM139">
        <f t="shared" si="129"/>
        <v>8.9618328570960006</v>
      </c>
      <c r="AN139">
        <f t="shared" si="143"/>
        <v>1061.7774775048911</v>
      </c>
      <c r="AO139">
        <f t="shared" si="144"/>
        <v>-2827.3482586134423</v>
      </c>
      <c r="AQ139">
        <f t="shared" si="130"/>
        <v>0.90694721567204784</v>
      </c>
      <c r="AR139">
        <f t="shared" si="131"/>
        <v>-95.229457645565034</v>
      </c>
      <c r="AT139">
        <f t="shared" si="104"/>
        <v>-199517.15127445897</v>
      </c>
      <c r="AU139">
        <f t="shared" si="105"/>
        <v>-566867.94709782279</v>
      </c>
      <c r="AV139">
        <f t="shared" si="145"/>
        <v>-1.9092198040918049</v>
      </c>
      <c r="AW139">
        <f t="shared" si="146"/>
        <v>-261155.38499061196</v>
      </c>
      <c r="AX139">
        <f t="shared" si="147"/>
        <v>-120566.23002198005</v>
      </c>
      <c r="AY139">
        <f t="shared" ref="AY139:AY202" si="155">ATAN2(AW139,AX139)</f>
        <v>-2.7090807894093731</v>
      </c>
      <c r="BA139">
        <f t="shared" si="132"/>
        <v>2.0892393283594397</v>
      </c>
      <c r="BB139">
        <f t="shared" si="148"/>
        <v>6.3997638501795153</v>
      </c>
      <c r="BC139">
        <f t="shared" si="149"/>
        <v>0.79986098531756822</v>
      </c>
      <c r="BD139">
        <f t="shared" si="133"/>
        <v>-134.17134129176094</v>
      </c>
      <c r="BF139">
        <f t="shared" si="134"/>
        <v>-4.1997232560724642</v>
      </c>
      <c r="BG139">
        <f t="shared" si="135"/>
        <v>-132.14479780441835</v>
      </c>
      <c r="BH139">
        <f t="shared" si="150"/>
        <v>47.855202195581654</v>
      </c>
      <c r="BI139">
        <f t="shared" si="151"/>
        <v>47.855202195581654</v>
      </c>
      <c r="BJ139">
        <f t="shared" si="136"/>
        <v>0</v>
      </c>
      <c r="BK139">
        <f t="shared" si="152"/>
        <v>0</v>
      </c>
      <c r="BM139">
        <f t="shared" si="153"/>
        <v>-10.59948710625198</v>
      </c>
      <c r="BN139">
        <f t="shared" si="137"/>
        <v>-177.97345651265741</v>
      </c>
      <c r="BQ139" s="56">
        <f t="shared" si="154"/>
        <v>23.301724650464649</v>
      </c>
      <c r="BR139" s="59"/>
      <c r="BS139" s="59"/>
      <c r="BT139" s="59">
        <v>1949.845</v>
      </c>
      <c r="BU139" s="59">
        <v>9.5268499999999996</v>
      </c>
      <c r="BV139" s="59">
        <v>-254.971</v>
      </c>
      <c r="BW139" s="61"/>
      <c r="BY139" s="59"/>
      <c r="BZ139" s="59"/>
      <c r="CA139" s="59"/>
      <c r="CC139" s="59"/>
    </row>
    <row r="140" spans="1:81" x14ac:dyDescent="0.2">
      <c r="A140">
        <f t="shared" si="106"/>
        <v>53000</v>
      </c>
      <c r="B140">
        <f t="shared" si="138"/>
        <v>53</v>
      </c>
      <c r="C140">
        <f t="shared" si="107"/>
        <v>1.0000213004606961</v>
      </c>
      <c r="D140">
        <f t="shared" si="108"/>
        <v>6.5268802060022748E-3</v>
      </c>
      <c r="F140">
        <f t="shared" si="109"/>
        <v>1.9299013980170188E-2</v>
      </c>
      <c r="G140">
        <f t="shared" si="110"/>
        <v>2.8621434160091337E-2</v>
      </c>
      <c r="H140">
        <f t="shared" si="111"/>
        <v>-3.112971215839909</v>
      </c>
      <c r="J140">
        <f t="shared" si="112"/>
        <v>15</v>
      </c>
      <c r="M140">
        <f t="shared" si="113"/>
        <v>2.359898354390956E-2</v>
      </c>
      <c r="N140">
        <f t="shared" si="114"/>
        <v>-1.5707963250000001</v>
      </c>
      <c r="O140">
        <f t="shared" si="115"/>
        <v>10.456119432652573</v>
      </c>
      <c r="P140">
        <f t="shared" si="116"/>
        <v>1.4750121550473698</v>
      </c>
      <c r="Q140">
        <f t="shared" si="117"/>
        <v>9.1022816880313808</v>
      </c>
      <c r="R140">
        <f t="shared" si="118"/>
        <v>1.4607115513571407</v>
      </c>
      <c r="S140">
        <f t="shared" si="119"/>
        <v>0.96881739913642817</v>
      </c>
      <c r="T140">
        <f t="shared" si="120"/>
        <v>-0.25038379021456064</v>
      </c>
      <c r="U140">
        <f t="shared" si="121"/>
        <v>0.96802844470275318</v>
      </c>
      <c r="V140">
        <f t="shared" si="122"/>
        <v>-0.25354836328473696</v>
      </c>
      <c r="X140">
        <f t="shared" si="139"/>
        <v>-4.2964043374606966</v>
      </c>
      <c r="Y140">
        <f t="shared" si="123"/>
        <v>-128.65475713128015</v>
      </c>
      <c r="Z140">
        <f t="shared" si="140"/>
        <v>51.345242868719851</v>
      </c>
      <c r="AC140">
        <v>1</v>
      </c>
      <c r="AD140">
        <f t="shared" si="124"/>
        <v>10.4081906972295</v>
      </c>
      <c r="AE140">
        <f t="shared" si="125"/>
        <v>-4.1592231741440947E-4</v>
      </c>
      <c r="AF140">
        <f t="shared" si="126"/>
        <v>1.605102516738E-3</v>
      </c>
      <c r="AG140">
        <f t="shared" si="141"/>
        <v>5925.152361710534</v>
      </c>
      <c r="AH140">
        <f t="shared" si="142"/>
        <v>-2158.3687429241008</v>
      </c>
      <c r="AJ140">
        <f t="shared" si="127"/>
        <v>26400</v>
      </c>
      <c r="AK140">
        <f t="shared" si="128"/>
        <v>6751.8204455116811</v>
      </c>
      <c r="AL140">
        <v>1</v>
      </c>
      <c r="AM140">
        <f t="shared" si="129"/>
        <v>9.0471836462112005</v>
      </c>
      <c r="AN140">
        <f t="shared" si="143"/>
        <v>1055.9244648913395</v>
      </c>
      <c r="AO140">
        <f t="shared" si="144"/>
        <v>-2801.3221048875585</v>
      </c>
      <c r="AQ140">
        <f t="shared" si="130"/>
        <v>0.88991723769689424</v>
      </c>
      <c r="AR140">
        <f t="shared" si="131"/>
        <v>-94.331227195870781</v>
      </c>
      <c r="AT140">
        <f t="shared" si="104"/>
        <v>-198328.6770385727</v>
      </c>
      <c r="AU140">
        <f t="shared" si="105"/>
        <v>-560847.66315230099</v>
      </c>
      <c r="AV140">
        <f t="shared" si="145"/>
        <v>-1.9106951794211595</v>
      </c>
      <c r="AW140">
        <f t="shared" si="146"/>
        <v>-256199.99767354419</v>
      </c>
      <c r="AX140">
        <f t="shared" si="147"/>
        <v>-118857.62043013365</v>
      </c>
      <c r="AY140">
        <f t="shared" si="155"/>
        <v>-2.7072191091712132</v>
      </c>
      <c r="BA140">
        <f t="shared" si="132"/>
        <v>2.1063131737273464</v>
      </c>
      <c r="BB140">
        <f t="shared" si="148"/>
        <v>6.4704588802939931</v>
      </c>
      <c r="BC140">
        <f t="shared" si="149"/>
        <v>0.79652392975005371</v>
      </c>
      <c r="BD140">
        <f t="shared" si="133"/>
        <v>-134.36254049199863</v>
      </c>
      <c r="BF140">
        <f t="shared" si="134"/>
        <v>-4.2968285126665959</v>
      </c>
      <c r="BG140">
        <f t="shared" si="135"/>
        <v>-132.34869041952126</v>
      </c>
      <c r="BH140">
        <f t="shared" si="150"/>
        <v>47.651309580478738</v>
      </c>
      <c r="BI140">
        <f t="shared" si="151"/>
        <v>47.651309580478738</v>
      </c>
      <c r="BJ140">
        <f t="shared" si="136"/>
        <v>0</v>
      </c>
      <c r="BK140">
        <f t="shared" si="152"/>
        <v>0</v>
      </c>
      <c r="BM140">
        <f t="shared" si="153"/>
        <v>-10.76728739296059</v>
      </c>
      <c r="BN140">
        <f t="shared" si="137"/>
        <v>-177.98614992752263</v>
      </c>
      <c r="BQ140" s="56">
        <f t="shared" si="154"/>
        <v>23.372419680579132</v>
      </c>
      <c r="BR140" s="59"/>
      <c r="BS140" s="59"/>
      <c r="BT140" s="59">
        <v>1995.2619999999999</v>
      </c>
      <c r="BU140" s="59">
        <v>9.3349399999999996</v>
      </c>
      <c r="BV140" s="59">
        <v>-254.804</v>
      </c>
      <c r="BW140" s="61"/>
      <c r="BY140" s="59"/>
      <c r="BZ140" s="59"/>
      <c r="CA140" s="59"/>
      <c r="CC140" s="59"/>
    </row>
    <row r="141" spans="1:81" x14ac:dyDescent="0.2">
      <c r="A141">
        <f t="shared" si="106"/>
        <v>53500</v>
      </c>
      <c r="B141">
        <f t="shared" si="138"/>
        <v>53.5</v>
      </c>
      <c r="C141">
        <f t="shared" si="107"/>
        <v>1.0000217042475326</v>
      </c>
      <c r="D141">
        <f t="shared" si="108"/>
        <v>6.5884527740423934E-3</v>
      </c>
      <c r="F141">
        <f t="shared" si="109"/>
        <v>1.8933315635442462E-2</v>
      </c>
      <c r="G141">
        <f t="shared" si="110"/>
        <v>2.8343906970686047E-2</v>
      </c>
      <c r="H141">
        <f t="shared" si="111"/>
        <v>-3.1132487430293141</v>
      </c>
      <c r="J141">
        <f t="shared" si="112"/>
        <v>15</v>
      </c>
      <c r="M141">
        <f t="shared" si="113"/>
        <v>2.3378432295835638E-2</v>
      </c>
      <c r="N141">
        <f t="shared" si="114"/>
        <v>-1.5707963250000001</v>
      </c>
      <c r="O141">
        <f t="shared" si="115"/>
        <v>10.553864003530229</v>
      </c>
      <c r="P141">
        <f t="shared" si="116"/>
        <v>1.4759019448083839</v>
      </c>
      <c r="Q141">
        <f t="shared" si="117"/>
        <v>9.1871206159722583</v>
      </c>
      <c r="R141">
        <f t="shared" si="118"/>
        <v>1.4617322039108009</v>
      </c>
      <c r="S141">
        <f t="shared" si="119"/>
        <v>0.96825412643593689</v>
      </c>
      <c r="T141">
        <f t="shared" si="120"/>
        <v>-0.25264709347618941</v>
      </c>
      <c r="U141">
        <f t="shared" si="121"/>
        <v>0.96745163464113226</v>
      </c>
      <c r="V141">
        <f t="shared" si="122"/>
        <v>-0.25583776152283066</v>
      </c>
      <c r="X141">
        <f t="shared" si="139"/>
        <v>-4.3929544788405064</v>
      </c>
      <c r="Y141">
        <f t="shared" si="123"/>
        <v>-128.81852071952079</v>
      </c>
      <c r="Z141">
        <f t="shared" si="140"/>
        <v>51.181479280479209</v>
      </c>
      <c r="AC141">
        <v>1</v>
      </c>
      <c r="AD141">
        <f t="shared" si="124"/>
        <v>10.506381175505251</v>
      </c>
      <c r="AE141">
        <f t="shared" si="125"/>
        <v>-4.2380692524720301E-4</v>
      </c>
      <c r="AF141">
        <f t="shared" si="126"/>
        <v>1.6202449933110001E-3</v>
      </c>
      <c r="AG141">
        <f t="shared" si="141"/>
        <v>5918.0933351192907</v>
      </c>
      <c r="AH141">
        <f t="shared" si="142"/>
        <v>-2165.1842493979548</v>
      </c>
      <c r="AJ141">
        <f t="shared" si="127"/>
        <v>26400</v>
      </c>
      <c r="AK141">
        <f t="shared" si="128"/>
        <v>6815.5168648089602</v>
      </c>
      <c r="AL141">
        <v>1</v>
      </c>
      <c r="AM141">
        <f t="shared" si="129"/>
        <v>9.1325344353264022</v>
      </c>
      <c r="AN141">
        <f t="shared" si="143"/>
        <v>1050.2321949026293</v>
      </c>
      <c r="AO141">
        <f t="shared" si="144"/>
        <v>-2775.7648202277328</v>
      </c>
      <c r="AQ141">
        <f t="shared" si="130"/>
        <v>0.8733624454148472</v>
      </c>
      <c r="AR141">
        <f t="shared" si="131"/>
        <v>-93.449781659388648</v>
      </c>
      <c r="AT141">
        <f t="shared" si="104"/>
        <v>-197167.35489123309</v>
      </c>
      <c r="AU141">
        <f t="shared" si="105"/>
        <v>-554935.5206176088</v>
      </c>
      <c r="AV141">
        <f t="shared" si="145"/>
        <v>-1.91218294799675</v>
      </c>
      <c r="AW141">
        <f t="shared" si="146"/>
        <v>-251380.72632245903</v>
      </c>
      <c r="AX141">
        <f t="shared" si="147"/>
        <v>-117197.40555689135</v>
      </c>
      <c r="AY141">
        <f t="shared" si="155"/>
        <v>-2.7053366474262481</v>
      </c>
      <c r="BA141">
        <f t="shared" si="132"/>
        <v>2.1233251868122331</v>
      </c>
      <c r="BB141">
        <f t="shared" si="148"/>
        <v>6.540330227391177</v>
      </c>
      <c r="BC141">
        <f t="shared" si="149"/>
        <v>0.79315369942949809</v>
      </c>
      <c r="BD141">
        <f t="shared" si="133"/>
        <v>-134.55564046557416</v>
      </c>
      <c r="BF141">
        <f t="shared" si="134"/>
        <v>-4.3931225721347991</v>
      </c>
      <c r="BG141">
        <f t="shared" si="135"/>
        <v>-132.5541636814815</v>
      </c>
      <c r="BH141">
        <f t="shared" si="150"/>
        <v>47.445836318518502</v>
      </c>
      <c r="BI141">
        <f t="shared" si="151"/>
        <v>47.445836318518502</v>
      </c>
      <c r="BJ141">
        <f t="shared" si="136"/>
        <v>0</v>
      </c>
      <c r="BK141">
        <f t="shared" si="152"/>
        <v>0</v>
      </c>
      <c r="BM141">
        <f t="shared" si="153"/>
        <v>-10.933452799525977</v>
      </c>
      <c r="BN141">
        <f t="shared" si="137"/>
        <v>-177.99852321590731</v>
      </c>
      <c r="BQ141" s="56">
        <f t="shared" si="154"/>
        <v>23.442291027676312</v>
      </c>
      <c r="BR141" s="59"/>
      <c r="BS141" s="59"/>
      <c r="BT141" s="59">
        <v>2041.7380000000001</v>
      </c>
      <c r="BU141" s="59">
        <v>9.0884699999999992</v>
      </c>
      <c r="BV141" s="59">
        <v>-254.411</v>
      </c>
      <c r="BW141" s="61"/>
      <c r="BY141" s="59"/>
      <c r="BZ141" s="59"/>
      <c r="CA141" s="59"/>
      <c r="CC141" s="59"/>
    </row>
    <row r="142" spans="1:81" x14ac:dyDescent="0.2">
      <c r="A142">
        <f t="shared" si="106"/>
        <v>54000</v>
      </c>
      <c r="B142">
        <f t="shared" si="138"/>
        <v>54</v>
      </c>
      <c r="C142">
        <f t="shared" si="107"/>
        <v>1.0000221118256294</v>
      </c>
      <c r="D142">
        <f t="shared" si="108"/>
        <v>6.6500252921257936E-3</v>
      </c>
      <c r="F142">
        <f t="shared" si="109"/>
        <v>1.8577974717345822E-2</v>
      </c>
      <c r="G142">
        <f t="shared" si="110"/>
        <v>2.8071800770981939E-2</v>
      </c>
      <c r="H142">
        <f t="shared" si="111"/>
        <v>-3.1135208492290181</v>
      </c>
      <c r="J142">
        <f t="shared" si="112"/>
        <v>15</v>
      </c>
      <c r="M142">
        <f t="shared" si="113"/>
        <v>2.3161965330133458E-2</v>
      </c>
      <c r="N142">
        <f t="shared" si="114"/>
        <v>-1.5707963250000001</v>
      </c>
      <c r="O142">
        <f t="shared" si="115"/>
        <v>10.651616776817288</v>
      </c>
      <c r="P142">
        <f t="shared" si="116"/>
        <v>1.4767754035669369</v>
      </c>
      <c r="Q142">
        <f t="shared" si="117"/>
        <v>9.2719689392803062</v>
      </c>
      <c r="R142">
        <f t="shared" si="118"/>
        <v>1.4627341773914462</v>
      </c>
      <c r="S142">
        <f t="shared" si="119"/>
        <v>0.96768655996873332</v>
      </c>
      <c r="T142">
        <f t="shared" si="120"/>
        <v>-0.25490775492281614</v>
      </c>
      <c r="U142">
        <f t="shared" si="121"/>
        <v>0.96687045293145757</v>
      </c>
      <c r="V142">
        <f t="shared" si="122"/>
        <v>-0.25812442109249067</v>
      </c>
      <c r="X142">
        <f t="shared" si="139"/>
        <v>-4.4886972860004075</v>
      </c>
      <c r="Y142">
        <f t="shared" si="123"/>
        <v>-128.98367136136724</v>
      </c>
      <c r="Z142">
        <f t="shared" si="140"/>
        <v>51.016328638632757</v>
      </c>
      <c r="AC142">
        <v>1</v>
      </c>
      <c r="AD142">
        <f t="shared" si="124"/>
        <v>10.604571653781001</v>
      </c>
      <c r="AE142">
        <f t="shared" si="125"/>
        <v>-4.3176556695636084E-4</v>
      </c>
      <c r="AF142">
        <f t="shared" si="126"/>
        <v>1.6353874698840001E-3</v>
      </c>
      <c r="AG142">
        <f t="shared" si="141"/>
        <v>5910.9850635122648</v>
      </c>
      <c r="AH142">
        <f t="shared" si="142"/>
        <v>-2172.0600668842794</v>
      </c>
      <c r="AJ142">
        <f t="shared" si="127"/>
        <v>26400</v>
      </c>
      <c r="AK142">
        <f t="shared" si="128"/>
        <v>6879.2132841062403</v>
      </c>
      <c r="AL142">
        <v>1</v>
      </c>
      <c r="AM142">
        <f t="shared" si="129"/>
        <v>9.2178852244416021</v>
      </c>
      <c r="AN142">
        <f t="shared" si="143"/>
        <v>1044.694857918247</v>
      </c>
      <c r="AO142">
        <f t="shared" si="144"/>
        <v>-2750.6640107484864</v>
      </c>
      <c r="AQ142">
        <f t="shared" si="130"/>
        <v>0.85726532361765961</v>
      </c>
      <c r="AR142">
        <f t="shared" si="131"/>
        <v>-92.584654950707247</v>
      </c>
      <c r="AT142">
        <f t="shared" si="104"/>
        <v>-196032.14930132014</v>
      </c>
      <c r="AU142">
        <f t="shared" si="105"/>
        <v>-549128.54430022195</v>
      </c>
      <c r="AV142">
        <f t="shared" si="145"/>
        <v>-1.9136826764532238</v>
      </c>
      <c r="AW142">
        <f t="shared" si="146"/>
        <v>-246692.66256989143</v>
      </c>
      <c r="AX142">
        <f t="shared" si="147"/>
        <v>-115583.65706588367</v>
      </c>
      <c r="AY142">
        <f t="shared" si="155"/>
        <v>-2.7034340046836984</v>
      </c>
      <c r="BA142">
        <f t="shared" si="132"/>
        <v>2.1402747152418611</v>
      </c>
      <c r="BB142">
        <f t="shared" si="148"/>
        <v>6.6093904170441391</v>
      </c>
      <c r="BC142">
        <f t="shared" si="149"/>
        <v>0.78975132823047467</v>
      </c>
      <c r="BD142">
        <f t="shared" si="133"/>
        <v>-134.7505819758378</v>
      </c>
      <c r="BF142">
        <f t="shared" si="134"/>
        <v>-4.488624992802011</v>
      </c>
      <c r="BG142">
        <f t="shared" si="135"/>
        <v>-132.76116788316114</v>
      </c>
      <c r="BH142">
        <f t="shared" si="150"/>
        <v>47.238832116838864</v>
      </c>
      <c r="BI142">
        <f t="shared" si="151"/>
        <v>47.238832116838864</v>
      </c>
      <c r="BJ142">
        <f t="shared" si="136"/>
        <v>0</v>
      </c>
      <c r="BK142">
        <f t="shared" si="152"/>
        <v>0</v>
      </c>
      <c r="BM142">
        <f t="shared" si="153"/>
        <v>-11.098015409846152</v>
      </c>
      <c r="BN142">
        <f t="shared" si="137"/>
        <v>-178.01058590732333</v>
      </c>
      <c r="BQ142" s="56">
        <f t="shared" si="154"/>
        <v>23.511351217329274</v>
      </c>
      <c r="BR142" s="59"/>
      <c r="BS142" s="59"/>
      <c r="BT142" s="59">
        <v>2089.2959999999998</v>
      </c>
      <c r="BU142" s="59">
        <v>8.9698600000000006</v>
      </c>
      <c r="BV142" s="59">
        <v>-254.113</v>
      </c>
      <c r="BW142" s="61"/>
      <c r="BY142" s="59"/>
      <c r="BZ142" s="59"/>
      <c r="CA142" s="59"/>
      <c r="CC142" s="59"/>
    </row>
    <row r="143" spans="1:81" x14ac:dyDescent="0.2">
      <c r="A143">
        <f t="shared" si="106"/>
        <v>54500</v>
      </c>
      <c r="B143">
        <f t="shared" si="138"/>
        <v>54.5</v>
      </c>
      <c r="C143">
        <f t="shared" si="107"/>
        <v>1.0000225231949817</v>
      </c>
      <c r="D143">
        <f t="shared" si="108"/>
        <v>6.7115977597856724E-3</v>
      </c>
      <c r="F143">
        <f t="shared" si="109"/>
        <v>1.82326015630602E-2</v>
      </c>
      <c r="G143">
        <f t="shared" si="110"/>
        <v>2.7804955864524694E-2</v>
      </c>
      <c r="H143">
        <f t="shared" si="111"/>
        <v>-3.1137876941354756</v>
      </c>
      <c r="J143">
        <f t="shared" si="112"/>
        <v>15</v>
      </c>
      <c r="M143">
        <f t="shared" si="113"/>
        <v>2.2949470235361591E-2</v>
      </c>
      <c r="N143">
        <f t="shared" si="114"/>
        <v>-1.5707963250000001</v>
      </c>
      <c r="O143">
        <f t="shared" si="115"/>
        <v>10.749377528740348</v>
      </c>
      <c r="P143">
        <f t="shared" si="116"/>
        <v>1.4776329755410873</v>
      </c>
      <c r="Q143">
        <f t="shared" si="117"/>
        <v>9.3568264023620866</v>
      </c>
      <c r="R143">
        <f t="shared" si="118"/>
        <v>1.4637179779632943</v>
      </c>
      <c r="S143">
        <f t="shared" si="119"/>
        <v>0.96711472466914528</v>
      </c>
      <c r="T143">
        <f t="shared" si="120"/>
        <v>-0.25716575611119424</v>
      </c>
      <c r="U143">
        <f t="shared" si="121"/>
        <v>0.96628492566425195</v>
      </c>
      <c r="V143">
        <f t="shared" si="122"/>
        <v>-0.26040832303500633</v>
      </c>
      <c r="X143">
        <f t="shared" si="139"/>
        <v>-4.5836512999111765</v>
      </c>
      <c r="Y143">
        <f t="shared" si="123"/>
        <v>-129.15016161091143</v>
      </c>
      <c r="Z143">
        <f t="shared" si="140"/>
        <v>50.849838389088575</v>
      </c>
      <c r="AC143">
        <v>1</v>
      </c>
      <c r="AD143">
        <f t="shared" si="124"/>
        <v>10.702762132056749</v>
      </c>
      <c r="AE143">
        <f t="shared" si="125"/>
        <v>-4.3979824254188304E-4</v>
      </c>
      <c r="AF143">
        <f t="shared" si="126"/>
        <v>1.650529946457E-3</v>
      </c>
      <c r="AG143">
        <f t="shared" si="141"/>
        <v>5903.8279620962312</v>
      </c>
      <c r="AH143">
        <f t="shared" si="142"/>
        <v>-2178.9929772069399</v>
      </c>
      <c r="AJ143">
        <f t="shared" si="127"/>
        <v>26400</v>
      </c>
      <c r="AK143">
        <f t="shared" si="128"/>
        <v>6942.9097034035203</v>
      </c>
      <c r="AL143">
        <v>1</v>
      </c>
      <c r="AM143">
        <f t="shared" si="129"/>
        <v>9.3032360135568002</v>
      </c>
      <c r="AN143">
        <f t="shared" si="143"/>
        <v>1039.3069034097384</v>
      </c>
      <c r="AO143">
        <f t="shared" si="144"/>
        <v>-2726.0077095361576</v>
      </c>
      <c r="AQ143">
        <f t="shared" si="130"/>
        <v>0.84160915670762493</v>
      </c>
      <c r="AR143">
        <f t="shared" si="131"/>
        <v>-91.735398081131123</v>
      </c>
      <c r="AT143">
        <f t="shared" si="104"/>
        <v>-194922.07250754099</v>
      </c>
      <c r="AU143">
        <f t="shared" si="105"/>
        <v>-543423.86874742981</v>
      </c>
      <c r="AV143">
        <f t="shared" si="145"/>
        <v>-1.9151939465386021</v>
      </c>
      <c r="AW143">
        <f t="shared" si="146"/>
        <v>-242131.11639532508</v>
      </c>
      <c r="AX143">
        <f t="shared" si="147"/>
        <v>-114014.54311419309</v>
      </c>
      <c r="AY143">
        <f t="shared" si="155"/>
        <v>-2.7015117614140443</v>
      </c>
      <c r="BA143">
        <f t="shared" si="132"/>
        <v>2.1571611147924656</v>
      </c>
      <c r="BB143">
        <f t="shared" si="148"/>
        <v>6.6776516609960721</v>
      </c>
      <c r="BC143">
        <f t="shared" si="149"/>
        <v>0.78631781487544217</v>
      </c>
      <c r="BD143">
        <f t="shared" si="133"/>
        <v>-134.94730780020777</v>
      </c>
      <c r="BF143">
        <f t="shared" si="134"/>
        <v>-4.5833546973083363</v>
      </c>
      <c r="BG143">
        <f t="shared" si="135"/>
        <v>-132.969654951938</v>
      </c>
      <c r="BH143">
        <f t="shared" si="150"/>
        <v>47.030345048062003</v>
      </c>
      <c r="BI143">
        <f t="shared" si="151"/>
        <v>47.030345048062003</v>
      </c>
      <c r="BJ143">
        <f t="shared" si="136"/>
        <v>0</v>
      </c>
      <c r="BK143">
        <f t="shared" si="152"/>
        <v>0</v>
      </c>
      <c r="BM143">
        <f t="shared" si="153"/>
        <v>-11.261006358304408</v>
      </c>
      <c r="BN143">
        <f t="shared" si="137"/>
        <v>-178.02234715173023</v>
      </c>
      <c r="BQ143" s="56">
        <f t="shared" si="154"/>
        <v>23.579612461281208</v>
      </c>
      <c r="BR143" s="59"/>
      <c r="BS143" s="59"/>
      <c r="BT143" s="59">
        <v>2137.962</v>
      </c>
      <c r="BU143" s="59">
        <v>8.68736</v>
      </c>
      <c r="BV143" s="59">
        <v>-254.34</v>
      </c>
      <c r="BW143" s="61"/>
      <c r="BY143" s="59"/>
      <c r="BZ143" s="59"/>
      <c r="CA143" s="59"/>
      <c r="CC143" s="59"/>
    </row>
    <row r="144" spans="1:81" x14ac:dyDescent="0.2">
      <c r="A144">
        <f t="shared" si="106"/>
        <v>55000</v>
      </c>
      <c r="B144">
        <f t="shared" si="138"/>
        <v>55</v>
      </c>
      <c r="C144">
        <f t="shared" si="107"/>
        <v>1.0000229383555852</v>
      </c>
      <c r="D144">
        <f t="shared" si="108"/>
        <v>6.7731701765552299E-3</v>
      </c>
      <c r="F144">
        <f t="shared" si="109"/>
        <v>1.7896824761913243E-2</v>
      </c>
      <c r="G144">
        <f t="shared" si="110"/>
        <v>2.754321884901775E-2</v>
      </c>
      <c r="H144">
        <f t="shared" si="111"/>
        <v>-3.1140494311509825</v>
      </c>
      <c r="J144">
        <f t="shared" si="112"/>
        <v>15</v>
      </c>
      <c r="M144">
        <f t="shared" si="113"/>
        <v>2.2740838687767394E-2</v>
      </c>
      <c r="N144">
        <f t="shared" si="114"/>
        <v>-1.5707963250000001</v>
      </c>
      <c r="O144">
        <f t="shared" si="115"/>
        <v>10.847146043575171</v>
      </c>
      <c r="P144">
        <f t="shared" si="116"/>
        <v>1.4784750890288649</v>
      </c>
      <c r="Q144">
        <f t="shared" si="117"/>
        <v>9.4416927587857273</v>
      </c>
      <c r="R144">
        <f t="shared" si="118"/>
        <v>1.4646840937356707</v>
      </c>
      <c r="S144">
        <f t="shared" si="119"/>
        <v>0.96653864557795499</v>
      </c>
      <c r="T144">
        <f t="shared" si="120"/>
        <v>-0.2594210787499644</v>
      </c>
      <c r="U144">
        <f t="shared" si="121"/>
        <v>0.96569507903810659</v>
      </c>
      <c r="V144">
        <f t="shared" si="122"/>
        <v>-0.26268944855243936</v>
      </c>
      <c r="X144">
        <f t="shared" si="139"/>
        <v>-4.6778344548016761</v>
      </c>
      <c r="Y144">
        <f t="shared" si="123"/>
        <v>-129.31794562615022</v>
      </c>
      <c r="Z144">
        <f t="shared" si="140"/>
        <v>50.68205437384978</v>
      </c>
      <c r="AC144">
        <v>1</v>
      </c>
      <c r="AD144">
        <f t="shared" si="124"/>
        <v>10.8009526103325</v>
      </c>
      <c r="AE144">
        <f t="shared" si="125"/>
        <v>-4.4790495200376949E-4</v>
      </c>
      <c r="AF144">
        <f t="shared" si="126"/>
        <v>1.6656724230300001E-3</v>
      </c>
      <c r="AG144">
        <f t="shared" si="141"/>
        <v>5896.6224473442535</v>
      </c>
      <c r="AH144">
        <f t="shared" si="142"/>
        <v>-2185.9798745053117</v>
      </c>
      <c r="AJ144">
        <f t="shared" si="127"/>
        <v>26400</v>
      </c>
      <c r="AK144">
        <f t="shared" si="128"/>
        <v>7006.6061227008004</v>
      </c>
      <c r="AL144">
        <v>1</v>
      </c>
      <c r="AM144">
        <f t="shared" si="129"/>
        <v>9.3885868026720001</v>
      </c>
      <c r="AN144">
        <f t="shared" si="143"/>
        <v>1034.0630262519267</v>
      </c>
      <c r="AO144">
        <f t="shared" si="144"/>
        <v>-2701.7843586991075</v>
      </c>
      <c r="AQ144">
        <f t="shared" si="130"/>
        <v>0.82637798529047191</v>
      </c>
      <c r="AR144">
        <f t="shared" si="131"/>
        <v>-90.901578381951907</v>
      </c>
      <c r="AT144">
        <f t="shared" si="104"/>
        <v>-193836.1819256591</v>
      </c>
      <c r="AU144">
        <f t="shared" si="105"/>
        <v>-537818.73323062004</v>
      </c>
      <c r="AV144">
        <f t="shared" si="145"/>
        <v>-1.9167163544483077</v>
      </c>
      <c r="AW144">
        <f t="shared" si="146"/>
        <v>-237691.60462252726</v>
      </c>
      <c r="AX144">
        <f t="shared" si="147"/>
        <v>-112488.32261954436</v>
      </c>
      <c r="AY144">
        <f t="shared" si="155"/>
        <v>-2.6995704789609745</v>
      </c>
      <c r="BA144">
        <f t="shared" si="132"/>
        <v>2.1739837492741083</v>
      </c>
      <c r="BB144">
        <f t="shared" si="148"/>
        <v>6.745125867434588</v>
      </c>
      <c r="BC144">
        <f t="shared" si="149"/>
        <v>0.78285412451266678</v>
      </c>
      <c r="BD144">
        <f t="shared" si="133"/>
        <v>-135.1457626397617</v>
      </c>
      <c r="BF144">
        <f t="shared" si="134"/>
        <v>-4.6773299999262008</v>
      </c>
      <c r="BG144">
        <f t="shared" si="135"/>
        <v>-133.17957837822061</v>
      </c>
      <c r="BH144">
        <f t="shared" si="150"/>
        <v>46.820421621779388</v>
      </c>
      <c r="BI144">
        <f t="shared" si="151"/>
        <v>46.820421621779388</v>
      </c>
      <c r="BJ144">
        <f t="shared" si="136"/>
        <v>0</v>
      </c>
      <c r="BK144">
        <f t="shared" si="152"/>
        <v>0</v>
      </c>
      <c r="BM144">
        <f t="shared" si="153"/>
        <v>-11.422455867360789</v>
      </c>
      <c r="BN144">
        <f t="shared" si="137"/>
        <v>-178.03381573845891</v>
      </c>
      <c r="BQ144" s="56">
        <f t="shared" si="154"/>
        <v>23.647086667719726</v>
      </c>
      <c r="BR144" s="59"/>
      <c r="BS144" s="59"/>
      <c r="BT144" s="59">
        <v>2187.7620000000002</v>
      </c>
      <c r="BU144" s="59">
        <v>8.5308799999999998</v>
      </c>
      <c r="BV144" s="59">
        <v>-253.785</v>
      </c>
      <c r="BW144" s="61"/>
      <c r="BY144" s="59"/>
      <c r="BZ144" s="59"/>
      <c r="CA144" s="59"/>
      <c r="CC144" s="59"/>
    </row>
    <row r="145" spans="1:81" x14ac:dyDescent="0.2">
      <c r="A145">
        <f t="shared" si="106"/>
        <v>55500</v>
      </c>
      <c r="B145">
        <f t="shared" si="138"/>
        <v>55.5</v>
      </c>
      <c r="C145">
        <f t="shared" si="107"/>
        <v>1.0000233573074351</v>
      </c>
      <c r="D145">
        <f t="shared" si="108"/>
        <v>6.8347425419676673E-3</v>
      </c>
      <c r="F145">
        <f t="shared" si="109"/>
        <v>1.7570290133739536E-2</v>
      </c>
      <c r="G145">
        <f t="shared" si="110"/>
        <v>2.7286442305793822E-2</v>
      </c>
      <c r="H145">
        <f t="shared" si="111"/>
        <v>-3.1143062076942063</v>
      </c>
      <c r="J145">
        <f t="shared" si="112"/>
        <v>15</v>
      </c>
      <c r="M145">
        <f t="shared" si="113"/>
        <v>2.2535966267156878E-2</v>
      </c>
      <c r="N145">
        <f t="shared" si="114"/>
        <v>-1.5707963250000001</v>
      </c>
      <c r="O145">
        <f t="shared" si="115"/>
        <v>10.944922113288747</v>
      </c>
      <c r="P145">
        <f t="shared" si="116"/>
        <v>1.4793021571130944</v>
      </c>
      <c r="Q145">
        <f t="shared" si="117"/>
        <v>9.5265677708752303</v>
      </c>
      <c r="R145">
        <f t="shared" si="118"/>
        <v>1.4656329955578655</v>
      </c>
      <c r="S145">
        <f t="shared" si="119"/>
        <v>0.96595834783965739</v>
      </c>
      <c r="T145">
        <f t="shared" si="120"/>
        <v>-0.26167370470013085</v>
      </c>
      <c r="U145">
        <f t="shared" si="121"/>
        <v>0.96510093935675978</v>
      </c>
      <c r="V145">
        <f t="shared" si="122"/>
        <v>-0.2649677790081027</v>
      </c>
      <c r="X145">
        <f t="shared" si="139"/>
        <v>-4.7712641041054518</v>
      </c>
      <c r="Y145">
        <f t="shared" si="123"/>
        <v>-129.48697910090672</v>
      </c>
      <c r="Z145">
        <f t="shared" si="140"/>
        <v>50.513020899093277</v>
      </c>
      <c r="AC145">
        <v>1</v>
      </c>
      <c r="AD145">
        <f t="shared" si="124"/>
        <v>10.89914308860825</v>
      </c>
      <c r="AE145">
        <f t="shared" si="125"/>
        <v>-4.5608569534202014E-4</v>
      </c>
      <c r="AF145">
        <f t="shared" si="126"/>
        <v>1.680814899603E-3</v>
      </c>
      <c r="AG145">
        <f t="shared" si="141"/>
        <v>5889.3689369416707</v>
      </c>
      <c r="AH145">
        <f t="shared" si="142"/>
        <v>-2193.0177603740685</v>
      </c>
      <c r="AJ145">
        <f t="shared" si="127"/>
        <v>26400</v>
      </c>
      <c r="AK145">
        <f t="shared" si="128"/>
        <v>7070.3025419980804</v>
      </c>
      <c r="AL145">
        <v>1</v>
      </c>
      <c r="AM145">
        <f t="shared" si="129"/>
        <v>9.4739375917872017</v>
      </c>
      <c r="AN145">
        <f t="shared" si="143"/>
        <v>1028.9581538671923</v>
      </c>
      <c r="AO145">
        <f t="shared" si="144"/>
        <v>-2677.9827923002722</v>
      </c>
      <c r="AQ145">
        <f t="shared" si="130"/>
        <v>0.81155656549261479</v>
      </c>
      <c r="AR145">
        <f t="shared" si="131"/>
        <v>-90.082778769680246</v>
      </c>
      <c r="AT145">
        <f t="shared" si="104"/>
        <v>-192773.57771837359</v>
      </c>
      <c r="AU145">
        <f t="shared" si="105"/>
        <v>-532310.47700121684</v>
      </c>
      <c r="AV145">
        <f t="shared" si="145"/>
        <v>-1.9182495101943846</v>
      </c>
      <c r="AW145">
        <f t="shared" si="146"/>
        <v>-233369.84011453175</v>
      </c>
      <c r="AX145">
        <f t="shared" si="147"/>
        <v>-111003.33991858752</v>
      </c>
      <c r="AY145">
        <f t="shared" si="155"/>
        <v>-2.6976107004048204</v>
      </c>
      <c r="BA145">
        <f t="shared" si="132"/>
        <v>2.1907419904266514</v>
      </c>
      <c r="BB145">
        <f t="shared" si="148"/>
        <v>6.8118246508757672</v>
      </c>
      <c r="BC145">
        <f t="shared" si="149"/>
        <v>0.77936119021043582</v>
      </c>
      <c r="BD145">
        <f t="shared" si="133"/>
        <v>-135.34589303362469</v>
      </c>
      <c r="BF145">
        <f t="shared" si="134"/>
        <v>-4.7705686324051184</v>
      </c>
      <c r="BG145">
        <f t="shared" si="135"/>
        <v>-133.39089314762833</v>
      </c>
      <c r="BH145">
        <f t="shared" si="150"/>
        <v>46.609106852371667</v>
      </c>
      <c r="BI145">
        <f t="shared" si="151"/>
        <v>46.609106852371667</v>
      </c>
      <c r="BJ145">
        <f t="shared" si="136"/>
        <v>0</v>
      </c>
      <c r="BK145">
        <f t="shared" si="152"/>
        <v>0</v>
      </c>
      <c r="BM145">
        <f t="shared" si="153"/>
        <v>-11.582393283280886</v>
      </c>
      <c r="BN145">
        <f t="shared" si="137"/>
        <v>-178.04500011400361</v>
      </c>
      <c r="BQ145" s="56">
        <f t="shared" si="154"/>
        <v>23.713785451160906</v>
      </c>
      <c r="BR145" s="59"/>
      <c r="BS145" s="59"/>
      <c r="BT145" s="59">
        <v>2238.721</v>
      </c>
      <c r="BU145" s="59">
        <v>8.3496900000000007</v>
      </c>
      <c r="BV145" s="59">
        <v>-253.78300000000002</v>
      </c>
      <c r="BW145" s="61"/>
      <c r="BY145" s="59"/>
      <c r="BZ145" s="59"/>
      <c r="CA145" s="59"/>
      <c r="CC145" s="59"/>
    </row>
    <row r="146" spans="1:81" x14ac:dyDescent="0.2">
      <c r="A146">
        <f t="shared" si="106"/>
        <v>56000</v>
      </c>
      <c r="B146">
        <f t="shared" si="138"/>
        <v>56</v>
      </c>
      <c r="C146">
        <f t="shared" si="107"/>
        <v>1.0000237800505263</v>
      </c>
      <c r="D146">
        <f t="shared" si="108"/>
        <v>6.8963148555561881E-3</v>
      </c>
      <c r="F146">
        <f t="shared" si="109"/>
        <v>1.7252659773660358E-2</v>
      </c>
      <c r="G146">
        <f t="shared" si="110"/>
        <v>2.7034484507661584E-2</v>
      </c>
      <c r="H146">
        <f t="shared" si="111"/>
        <v>-3.1145581654923387</v>
      </c>
      <c r="J146">
        <f t="shared" si="112"/>
        <v>15</v>
      </c>
      <c r="M146">
        <f t="shared" si="113"/>
        <v>2.2334752282628691E-2</v>
      </c>
      <c r="N146">
        <f t="shared" si="114"/>
        <v>-1.5707963250000001</v>
      </c>
      <c r="O146">
        <f t="shared" si="115"/>
        <v>11.042705537200275</v>
      </c>
      <c r="P146">
        <f t="shared" si="116"/>
        <v>1.4801145783292073</v>
      </c>
      <c r="Q146">
        <f t="shared" si="117"/>
        <v>9.6114512093260736</v>
      </c>
      <c r="R146">
        <f t="shared" si="118"/>
        <v>1.4665651377725237</v>
      </c>
      <c r="S146">
        <f t="shared" si="119"/>
        <v>0.96537385669972109</v>
      </c>
      <c r="T146">
        <f t="shared" si="120"/>
        <v>-0.26392361597551878</v>
      </c>
      <c r="U146">
        <f t="shared" si="121"/>
        <v>0.96450253302618039</v>
      </c>
      <c r="V146">
        <f t="shared" si="122"/>
        <v>-0.26724329592701906</v>
      </c>
      <c r="X146">
        <f t="shared" si="139"/>
        <v>-4.8639570450280862</v>
      </c>
      <c r="Y146">
        <f t="shared" si="123"/>
        <v>-129.65721920019325</v>
      </c>
      <c r="Z146">
        <f t="shared" si="140"/>
        <v>50.342780799806746</v>
      </c>
      <c r="AC146">
        <v>1</v>
      </c>
      <c r="AD146">
        <f t="shared" si="124"/>
        <v>10.997333566884</v>
      </c>
      <c r="AE146">
        <f t="shared" si="125"/>
        <v>-4.6434047255663509E-4</v>
      </c>
      <c r="AF146">
        <f t="shared" si="126"/>
        <v>1.695957376176E-3</v>
      </c>
      <c r="AG146">
        <f t="shared" si="141"/>
        <v>5882.0678497322815</v>
      </c>
      <c r="AH146">
        <f t="shared" si="142"/>
        <v>-2200.1037392626426</v>
      </c>
      <c r="AJ146">
        <f t="shared" si="127"/>
        <v>26400</v>
      </c>
      <c r="AK146">
        <f t="shared" si="128"/>
        <v>7133.9989612953605</v>
      </c>
      <c r="AL146">
        <v>1</v>
      </c>
      <c r="AM146">
        <f t="shared" si="129"/>
        <v>9.5592883809024016</v>
      </c>
      <c r="AN146">
        <f t="shared" si="143"/>
        <v>1023.9874341456132</v>
      </c>
      <c r="AO146">
        <f t="shared" si="144"/>
        <v>-2654.5922201228623</v>
      </c>
      <c r="AQ146">
        <f t="shared" si="130"/>
        <v>0.79713033080908724</v>
      </c>
      <c r="AR146">
        <f t="shared" si="131"/>
        <v>-89.278597050617776</v>
      </c>
      <c r="AT146">
        <f t="shared" si="104"/>
        <v>-191733.4005162883</v>
      </c>
      <c r="AU146">
        <f t="shared" si="105"/>
        <v>-526896.53480213485</v>
      </c>
      <c r="AV146">
        <f t="shared" si="145"/>
        <v>-1.919793037007768</v>
      </c>
      <c r="AW146">
        <f t="shared" si="146"/>
        <v>-229161.7216185462</v>
      </c>
      <c r="AX146">
        <f t="shared" si="147"/>
        <v>-109558.0197863049</v>
      </c>
      <c r="AY146">
        <f t="shared" si="155"/>
        <v>-2.6956329513804129</v>
      </c>
      <c r="BA146">
        <f t="shared" si="132"/>
        <v>2.207435217825704</v>
      </c>
      <c r="BB146">
        <f t="shared" si="148"/>
        <v>6.8777593416747589</v>
      </c>
      <c r="BC146">
        <f t="shared" si="149"/>
        <v>0.77583991437264488</v>
      </c>
      <c r="BD146">
        <f t="shared" si="133"/>
        <v>-135.54764727786204</v>
      </c>
      <c r="BF146">
        <f t="shared" si="134"/>
        <v>-4.8630877684379117</v>
      </c>
      <c r="BG146">
        <f t="shared" si="135"/>
        <v>-133.60355567662305</v>
      </c>
      <c r="BH146">
        <f t="shared" si="150"/>
        <v>46.396444323376954</v>
      </c>
      <c r="BI146">
        <f t="shared" si="151"/>
        <v>46.396444323376954</v>
      </c>
      <c r="BJ146">
        <f t="shared" si="136"/>
        <v>0</v>
      </c>
      <c r="BK146">
        <f t="shared" si="152"/>
        <v>0</v>
      </c>
      <c r="BM146">
        <f t="shared" si="153"/>
        <v>-11.740847110112668</v>
      </c>
      <c r="BN146">
        <f t="shared" si="137"/>
        <v>-178.05590839876101</v>
      </c>
      <c r="BQ146" s="56">
        <f t="shared" si="154"/>
        <v>23.779720141959896</v>
      </c>
      <c r="BR146" s="59"/>
      <c r="BS146" s="59"/>
      <c r="BT146" s="59">
        <v>2290.8679999999999</v>
      </c>
      <c r="BU146" s="59">
        <v>8.2818299999999994</v>
      </c>
      <c r="BV146" s="59">
        <v>-253.62</v>
      </c>
      <c r="BW146" s="61"/>
      <c r="BY146" s="59"/>
      <c r="BZ146" s="59"/>
      <c r="CA146" s="59"/>
      <c r="CC146" s="59"/>
    </row>
    <row r="147" spans="1:81" x14ac:dyDescent="0.2">
      <c r="A147">
        <f t="shared" si="106"/>
        <v>56500</v>
      </c>
      <c r="B147">
        <f t="shared" si="138"/>
        <v>56.5</v>
      </c>
      <c r="C147">
        <f t="shared" si="107"/>
        <v>1.0000242065848544</v>
      </c>
      <c r="D147">
        <f t="shared" si="108"/>
        <v>6.9578871168539998E-3</v>
      </c>
      <c r="F147">
        <f t="shared" si="109"/>
        <v>1.6943611158371799E-2</v>
      </c>
      <c r="G147">
        <f t="shared" si="110"/>
        <v>2.6787209143861842E-2</v>
      </c>
      <c r="H147">
        <f t="shared" si="111"/>
        <v>-3.1148054408561383</v>
      </c>
      <c r="J147">
        <f t="shared" si="112"/>
        <v>15</v>
      </c>
      <c r="M147">
        <f t="shared" si="113"/>
        <v>2.2137099607561179E-2</v>
      </c>
      <c r="N147">
        <f t="shared" si="114"/>
        <v>-1.5707963250000001</v>
      </c>
      <c r="O147">
        <f t="shared" si="115"/>
        <v>11.140496121659853</v>
      </c>
      <c r="P147">
        <f t="shared" si="116"/>
        <v>1.4809127372982869</v>
      </c>
      <c r="Q147">
        <f t="shared" si="117"/>
        <v>9.6963428528408464</v>
      </c>
      <c r="R147">
        <f t="shared" si="118"/>
        <v>1.4674809589300639</v>
      </c>
      <c r="S147">
        <f t="shared" si="119"/>
        <v>0.96478519750185565</v>
      </c>
      <c r="T147">
        <f t="shared" si="120"/>
        <v>-0.26617079474321187</v>
      </c>
      <c r="U147">
        <f t="shared" si="121"/>
        <v>0.96389988655165548</v>
      </c>
      <c r="V147">
        <f t="shared" si="122"/>
        <v>-0.26951598099635843</v>
      </c>
      <c r="X147">
        <f t="shared" si="139"/>
        <v>-4.9559295418225027</v>
      </c>
      <c r="Y147">
        <f t="shared" si="123"/>
        <v>-129.82862449881611</v>
      </c>
      <c r="Z147">
        <f t="shared" si="140"/>
        <v>50.171375501183888</v>
      </c>
      <c r="AC147">
        <v>1</v>
      </c>
      <c r="AD147">
        <f t="shared" si="124"/>
        <v>11.095524045159751</v>
      </c>
      <c r="AE147">
        <f t="shared" si="125"/>
        <v>-4.7266928364761429E-4</v>
      </c>
      <c r="AF147">
        <f t="shared" si="126"/>
        <v>1.7110998527490001E-3</v>
      </c>
      <c r="AG147">
        <f t="shared" si="141"/>
        <v>5874.7196056647153</v>
      </c>
      <c r="AH147">
        <f t="shared" si="142"/>
        <v>-2207.2350141182274</v>
      </c>
      <c r="AJ147">
        <f t="shared" si="127"/>
        <v>26400</v>
      </c>
      <c r="AK147">
        <f t="shared" si="128"/>
        <v>7197.6953805926405</v>
      </c>
      <c r="AL147">
        <v>1</v>
      </c>
      <c r="AM147">
        <f t="shared" si="129"/>
        <v>9.6446391700176015</v>
      </c>
      <c r="AN147">
        <f t="shared" si="143"/>
        <v>1019.1462240881119</v>
      </c>
      <c r="AO147">
        <f t="shared" si="144"/>
        <v>-2631.6022122231007</v>
      </c>
      <c r="AQ147">
        <f t="shared" si="130"/>
        <v>0.78308535630383713</v>
      </c>
      <c r="AR147">
        <f t="shared" si="131"/>
        <v>-88.488645262333591</v>
      </c>
      <c r="AT147">
        <f t="shared" si="104"/>
        <v>-190714.82927932258</v>
      </c>
      <c r="AU147">
        <f t="shared" si="105"/>
        <v>-521574.43261881836</v>
      </c>
      <c r="AV147">
        <f t="shared" si="145"/>
        <v>-1.9213465707716069</v>
      </c>
      <c r="AW147">
        <f t="shared" si="146"/>
        <v>-225063.32421668884</v>
      </c>
      <c r="AX147">
        <f t="shared" si="147"/>
        <v>-108150.86278911179</v>
      </c>
      <c r="AY147">
        <f t="shared" si="155"/>
        <v>-2.6936377408520968</v>
      </c>
      <c r="BA147">
        <f t="shared" si="132"/>
        <v>2.2240628187978406</v>
      </c>
      <c r="BB147">
        <f t="shared" si="148"/>
        <v>6.9429409951785388</v>
      </c>
      <c r="BC147">
        <f t="shared" si="149"/>
        <v>0.77229117008048997</v>
      </c>
      <c r="BD147">
        <f t="shared" si="133"/>
        <v>-135.750975348606</v>
      </c>
      <c r="BF147">
        <f t="shared" si="134"/>
        <v>-4.954904046835817</v>
      </c>
      <c r="BG147">
        <f t="shared" si="135"/>
        <v>-133.81752375139499</v>
      </c>
      <c r="BH147">
        <f t="shared" si="150"/>
        <v>46.182476248605013</v>
      </c>
      <c r="BI147">
        <f t="shared" si="151"/>
        <v>46.182476248605013</v>
      </c>
      <c r="BJ147">
        <f t="shared" si="136"/>
        <v>0</v>
      </c>
      <c r="BK147">
        <f t="shared" si="152"/>
        <v>0</v>
      </c>
      <c r="BM147">
        <f t="shared" si="153"/>
        <v>-11.897845042014355</v>
      </c>
      <c r="BN147">
        <f t="shared" si="137"/>
        <v>-178.06654840278901</v>
      </c>
      <c r="BQ147" s="56">
        <f t="shared" si="154"/>
        <v>23.844901795463677</v>
      </c>
      <c r="BR147" s="59"/>
      <c r="BS147" s="59"/>
      <c r="BT147" s="59">
        <v>2344.2289999999998</v>
      </c>
      <c r="BU147" s="59">
        <v>8.0662299999999991</v>
      </c>
      <c r="BV147" s="59">
        <v>-253.17099999999999</v>
      </c>
      <c r="BW147" s="61"/>
      <c r="BY147" s="59"/>
      <c r="BZ147" s="59"/>
      <c r="CA147" s="59"/>
      <c r="CC147" s="59"/>
    </row>
    <row r="148" spans="1:81" x14ac:dyDescent="0.2">
      <c r="A148">
        <f t="shared" si="106"/>
        <v>57000</v>
      </c>
      <c r="B148">
        <f t="shared" si="138"/>
        <v>57</v>
      </c>
      <c r="C148">
        <f t="shared" si="107"/>
        <v>1.0000246369104142</v>
      </c>
      <c r="D148">
        <f t="shared" si="108"/>
        <v>7.0194593253943092E-3</v>
      </c>
      <c r="F148">
        <f t="shared" si="109"/>
        <v>1.6642836309436009E-2</v>
      </c>
      <c r="G148">
        <f t="shared" si="110"/>
        <v>2.6544485060966603E-2</v>
      </c>
      <c r="H148">
        <f t="shared" si="111"/>
        <v>-3.1150481649390338</v>
      </c>
      <c r="J148">
        <f t="shared" si="112"/>
        <v>15</v>
      </c>
      <c r="M148">
        <f t="shared" si="113"/>
        <v>2.1942914523284326E-2</v>
      </c>
      <c r="N148">
        <f t="shared" si="114"/>
        <v>-1.5707963250000001</v>
      </c>
      <c r="O148">
        <f t="shared" si="115"/>
        <v>11.238293679743864</v>
      </c>
      <c r="P148">
        <f t="shared" si="116"/>
        <v>1.4816970053274288</v>
      </c>
      <c r="Q148">
        <f t="shared" si="117"/>
        <v>9.7812424877837039</v>
      </c>
      <c r="R148">
        <f t="shared" si="118"/>
        <v>1.4683808824664464</v>
      </c>
      <c r="S148">
        <f t="shared" si="119"/>
        <v>0.96419239568528203</v>
      </c>
      <c r="T148">
        <f t="shared" si="120"/>
        <v>-0.26841522332397072</v>
      </c>
      <c r="U148">
        <f t="shared" si="121"/>
        <v>0.96329302653488724</v>
      </c>
      <c r="V148">
        <f t="shared" si="122"/>
        <v>-0.27178581606585472</v>
      </c>
      <c r="X148">
        <f t="shared" si="139"/>
        <v>-5.0471973478529542</v>
      </c>
      <c r="Y148">
        <f t="shared" si="123"/>
        <v>-130.00115492303755</v>
      </c>
      <c r="Z148">
        <f t="shared" si="140"/>
        <v>49.998845076962454</v>
      </c>
      <c r="AC148">
        <v>1</v>
      </c>
      <c r="AD148">
        <f t="shared" si="124"/>
        <v>11.193714523435499</v>
      </c>
      <c r="AE148">
        <f t="shared" si="125"/>
        <v>-4.8107212861495769E-4</v>
      </c>
      <c r="AF148">
        <f t="shared" si="126"/>
        <v>1.726242329322E-3</v>
      </c>
      <c r="AG148">
        <f t="shared" si="141"/>
        <v>5867.3246257390383</v>
      </c>
      <c r="AH148">
        <f t="shared" si="142"/>
        <v>-2214.4088822573412</v>
      </c>
      <c r="AJ148">
        <f t="shared" si="127"/>
        <v>26400</v>
      </c>
      <c r="AK148">
        <f t="shared" si="128"/>
        <v>7261.3917998899205</v>
      </c>
      <c r="AL148">
        <v>1</v>
      </c>
      <c r="AM148">
        <f t="shared" si="129"/>
        <v>9.7299899591328014</v>
      </c>
      <c r="AN148">
        <f t="shared" si="143"/>
        <v>1014.4300791237737</v>
      </c>
      <c r="AO148">
        <f t="shared" si="144"/>
        <v>-2609.0026842266911</v>
      </c>
      <c r="AQ148">
        <f t="shared" si="130"/>
        <v>0.76940832499807643</v>
      </c>
      <c r="AR148">
        <f t="shared" si="131"/>
        <v>-87.712549049780719</v>
      </c>
      <c r="AT148">
        <f t="shared" si="104"/>
        <v>-189717.07928875729</v>
      </c>
      <c r="AU148">
        <f t="shared" si="105"/>
        <v>-516341.78365508019</v>
      </c>
      <c r="AV148">
        <f t="shared" si="145"/>
        <v>-1.9229097594837763</v>
      </c>
      <c r="AW148">
        <f t="shared" si="146"/>
        <v>-221070.89034178128</v>
      </c>
      <c r="AX148">
        <f t="shared" si="147"/>
        <v>-106780.44094652683</v>
      </c>
      <c r="AY148">
        <f t="shared" si="155"/>
        <v>-2.6916255618484595</v>
      </c>
      <c r="BA148">
        <f t="shared" si="132"/>
        <v>2.2406241883445137</v>
      </c>
      <c r="BB148">
        <f t="shared" si="148"/>
        <v>7.0073804005361229</v>
      </c>
      <c r="BC148">
        <f t="shared" si="149"/>
        <v>0.76871580236468318</v>
      </c>
      <c r="BD148">
        <f t="shared" si="133"/>
        <v>-135.95582882916315</v>
      </c>
      <c r="BF148">
        <f t="shared" si="134"/>
        <v>-5.0460335934931608</v>
      </c>
      <c r="BG148">
        <f t="shared" si="135"/>
        <v>-134.03275646981541</v>
      </c>
      <c r="BH148">
        <f t="shared" si="150"/>
        <v>45.967243530184589</v>
      </c>
      <c r="BI148">
        <f t="shared" si="151"/>
        <v>45.967243530184589</v>
      </c>
      <c r="BJ148">
        <f t="shared" si="136"/>
        <v>0</v>
      </c>
      <c r="BK148">
        <f t="shared" si="152"/>
        <v>0</v>
      </c>
      <c r="BM148">
        <f t="shared" si="153"/>
        <v>-12.053413994029283</v>
      </c>
      <c r="BN148">
        <f t="shared" si="137"/>
        <v>-178.07692764065229</v>
      </c>
      <c r="BQ148" s="56">
        <f t="shared" si="154"/>
        <v>23.90934120082126</v>
      </c>
      <c r="BR148" s="59"/>
      <c r="BS148" s="59"/>
      <c r="BT148" s="59">
        <v>2398.8330000000001</v>
      </c>
      <c r="BU148" s="59">
        <v>7.8140200000000002</v>
      </c>
      <c r="BV148" s="59">
        <v>-252.65800000000002</v>
      </c>
      <c r="BW148" s="61"/>
      <c r="BY148" s="59"/>
      <c r="BZ148" s="59"/>
      <c r="CA148" s="59"/>
      <c r="CC148" s="59"/>
    </row>
    <row r="149" spans="1:81" x14ac:dyDescent="0.2">
      <c r="A149">
        <f t="shared" si="106"/>
        <v>57500</v>
      </c>
      <c r="B149">
        <f t="shared" si="138"/>
        <v>57.5</v>
      </c>
      <c r="C149">
        <f t="shared" si="107"/>
        <v>1.0000250710272012</v>
      </c>
      <c r="D149">
        <f t="shared" si="108"/>
        <v>7.081031480710329E-3</v>
      </c>
      <c r="F149">
        <f t="shared" si="109"/>
        <v>1.6350041009439448E-2</v>
      </c>
      <c r="G149">
        <f t="shared" si="110"/>
        <v>2.6306186018645185E-2</v>
      </c>
      <c r="H149">
        <f t="shared" si="111"/>
        <v>-3.1152864639813549</v>
      </c>
      <c r="J149">
        <f t="shared" si="112"/>
        <v>15</v>
      </c>
      <c r="M149">
        <f t="shared" si="113"/>
        <v>2.1752106570907943E-2</v>
      </c>
      <c r="N149">
        <f t="shared" si="114"/>
        <v>-1.5707963250000001</v>
      </c>
      <c r="O149">
        <f t="shared" si="115"/>
        <v>11.336098030966015</v>
      </c>
      <c r="P149">
        <f t="shared" si="116"/>
        <v>1.482467740979369</v>
      </c>
      <c r="Q149">
        <f t="shared" si="117"/>
        <v>9.8661499078524866</v>
      </c>
      <c r="R149">
        <f t="shared" si="118"/>
        <v>1.469265317346456</v>
      </c>
      <c r="S149">
        <f t="shared" si="119"/>
        <v>0.96359547678201019</v>
      </c>
      <c r="T149">
        <f t="shared" si="120"/>
        <v>-0.27065688419263251</v>
      </c>
      <c r="U149">
        <f t="shared" si="121"/>
        <v>0.96268197967109181</v>
      </c>
      <c r="V149">
        <f t="shared" si="122"/>
        <v>-0.27405278314820203</v>
      </c>
      <c r="X149">
        <f t="shared" si="139"/>
        <v>-5.1377757265228379</v>
      </c>
      <c r="Y149">
        <f t="shared" si="123"/>
        <v>-130.1747716951202</v>
      </c>
      <c r="Z149">
        <f t="shared" si="140"/>
        <v>49.825228304879801</v>
      </c>
      <c r="AC149">
        <v>1</v>
      </c>
      <c r="AD149">
        <f t="shared" si="124"/>
        <v>11.291905001711251</v>
      </c>
      <c r="AE149">
        <f t="shared" si="125"/>
        <v>-4.8954900745866545E-4</v>
      </c>
      <c r="AF149">
        <f t="shared" si="126"/>
        <v>1.7413848058949999E-3</v>
      </c>
      <c r="AG149">
        <f t="shared" si="141"/>
        <v>5859.8833319535725</v>
      </c>
      <c r="AH149">
        <f t="shared" si="142"/>
        <v>-2221.6227314519933</v>
      </c>
      <c r="AJ149">
        <f t="shared" si="127"/>
        <v>26400</v>
      </c>
      <c r="AK149">
        <f t="shared" si="128"/>
        <v>7325.0882191872006</v>
      </c>
      <c r="AL149">
        <v>1</v>
      </c>
      <c r="AM149">
        <f t="shared" si="129"/>
        <v>9.8153407482480013</v>
      </c>
      <c r="AN149">
        <f t="shared" si="143"/>
        <v>1009.834743056146</v>
      </c>
      <c r="AO149">
        <f t="shared" si="144"/>
        <v>-2586.7838833283395</v>
      </c>
      <c r="AQ149">
        <f t="shared" si="130"/>
        <v>0.75608649629517621</v>
      </c>
      <c r="AR149">
        <f t="shared" si="131"/>
        <v>-86.949947073945253</v>
      </c>
      <c r="AT149">
        <f t="shared" si="104"/>
        <v>-188739.40026086924</v>
      </c>
      <c r="AU149">
        <f t="shared" si="105"/>
        <v>-511196.28451997036</v>
      </c>
      <c r="AV149">
        <f t="shared" si="145"/>
        <v>-1.9244822627468476</v>
      </c>
      <c r="AW149">
        <f t="shared" si="146"/>
        <v>-217180.82132046798</v>
      </c>
      <c r="AX149">
        <f t="shared" si="147"/>
        <v>-105445.39367837776</v>
      </c>
      <c r="AY149">
        <f t="shared" si="155"/>
        <v>-2.689596892159146</v>
      </c>
      <c r="BA149">
        <f t="shared" si="132"/>
        <v>2.2571187290740808</v>
      </c>
      <c r="BB149">
        <f t="shared" si="148"/>
        <v>7.0710880891805949</v>
      </c>
      <c r="BC149">
        <f t="shared" si="149"/>
        <v>0.76511462941229835</v>
      </c>
      <c r="BD149">
        <f t="shared" si="133"/>
        <v>-136.16216084086722</v>
      </c>
      <c r="BF149">
        <f t="shared" si="134"/>
        <v>-5.1364920422167035</v>
      </c>
      <c r="BG149">
        <f t="shared" si="135"/>
        <v>-134.24921418628296</v>
      </c>
      <c r="BH149">
        <f t="shared" si="150"/>
        <v>45.750785813717044</v>
      </c>
      <c r="BI149">
        <f t="shared" si="151"/>
        <v>45.750785813717044</v>
      </c>
      <c r="BJ149">
        <f t="shared" si="136"/>
        <v>0</v>
      </c>
      <c r="BK149">
        <f t="shared" si="152"/>
        <v>0</v>
      </c>
      <c r="BM149">
        <f t="shared" si="153"/>
        <v>-12.2075801313973</v>
      </c>
      <c r="BN149">
        <f t="shared" si="137"/>
        <v>-178.08705334541571</v>
      </c>
      <c r="BQ149" s="56">
        <f t="shared" si="154"/>
        <v>23.97304888946573</v>
      </c>
      <c r="BR149" s="59"/>
      <c r="BS149" s="59"/>
      <c r="BT149" s="59">
        <v>2454.7089999999998</v>
      </c>
      <c r="BU149" s="59">
        <v>7.6423899999999998</v>
      </c>
      <c r="BV149" s="59">
        <v>-251.97399999999999</v>
      </c>
      <c r="BW149" s="61"/>
      <c r="BY149" s="59"/>
      <c r="BZ149" s="59"/>
      <c r="CA149" s="59"/>
      <c r="CC149" s="59"/>
    </row>
    <row r="150" spans="1:81" x14ac:dyDescent="0.2">
      <c r="A150">
        <f t="shared" si="106"/>
        <v>58000</v>
      </c>
      <c r="B150">
        <f t="shared" si="138"/>
        <v>58</v>
      </c>
      <c r="C150">
        <f t="shared" si="107"/>
        <v>1.0000255089352101</v>
      </c>
      <c r="D150">
        <f t="shared" si="108"/>
        <v>7.1426035823352729E-3</v>
      </c>
      <c r="F150">
        <f t="shared" si="109"/>
        <v>1.6064944067218322E-2</v>
      </c>
      <c r="G150">
        <f t="shared" si="110"/>
        <v>2.607219045930409E-2</v>
      </c>
      <c r="H150">
        <f t="shared" si="111"/>
        <v>-3.1155204595406962</v>
      </c>
      <c r="J150">
        <f t="shared" si="112"/>
        <v>15</v>
      </c>
      <c r="M150">
        <f t="shared" si="113"/>
        <v>2.156458841081391E-2</v>
      </c>
      <c r="N150">
        <f t="shared" si="114"/>
        <v>-1.5707963250000001</v>
      </c>
      <c r="O150">
        <f t="shared" si="115"/>
        <v>11.433909001003126</v>
      </c>
      <c r="P150">
        <f t="shared" si="116"/>
        <v>1.4832252906131909</v>
      </c>
      <c r="Q150">
        <f t="shared" si="117"/>
        <v>9.9510649137675369</v>
      </c>
      <c r="R150">
        <f t="shared" si="118"/>
        <v>1.4701346586745279</v>
      </c>
      <c r="S150">
        <f t="shared" si="119"/>
        <v>0.96299446641411957</v>
      </c>
      <c r="T150">
        <f t="shared" si="120"/>
        <v>-0.27289575997849097</v>
      </c>
      <c r="U150">
        <f t="shared" si="121"/>
        <v>0.96206677274610941</v>
      </c>
      <c r="V150">
        <f t="shared" si="122"/>
        <v>-0.27631686441943043</v>
      </c>
      <c r="X150">
        <f t="shared" si="139"/>
        <v>-5.2276794711358114</v>
      </c>
      <c r="Y150">
        <f t="shared" si="123"/>
        <v>-130.34943728059122</v>
      </c>
      <c r="Z150">
        <f t="shared" si="140"/>
        <v>49.650562719408782</v>
      </c>
      <c r="AC150">
        <v>1</v>
      </c>
      <c r="AD150">
        <f t="shared" si="124"/>
        <v>11.390095479987</v>
      </c>
      <c r="AE150">
        <f t="shared" si="125"/>
        <v>-4.9809992017873746E-4</v>
      </c>
      <c r="AF150">
        <f t="shared" si="126"/>
        <v>1.7565272824680001E-3</v>
      </c>
      <c r="AG150">
        <f t="shared" si="141"/>
        <v>5852.3961472519277</v>
      </c>
      <c r="AH150">
        <f t="shared" si="142"/>
        <v>-2228.8740362174594</v>
      </c>
      <c r="AJ150">
        <f t="shared" si="127"/>
        <v>26400</v>
      </c>
      <c r="AK150">
        <f t="shared" si="128"/>
        <v>7388.7846384844806</v>
      </c>
      <c r="AL150">
        <v>1</v>
      </c>
      <c r="AM150">
        <f t="shared" si="129"/>
        <v>9.9006915373632012</v>
      </c>
      <c r="AN150">
        <f t="shared" si="143"/>
        <v>1005.3561385967126</v>
      </c>
      <c r="AO150">
        <f t="shared" si="144"/>
        <v>-2564.936374956138</v>
      </c>
      <c r="AQ150">
        <f t="shared" si="130"/>
        <v>0.74310767630229624</v>
      </c>
      <c r="AR150">
        <f t="shared" si="131"/>
        <v>-86.200490451066358</v>
      </c>
      <c r="AT150">
        <f t="shared" ref="AT150:AT213" si="156">-AR150*AH150+AG150*AQ150</f>
        <v>-187781.07457380794</v>
      </c>
      <c r="AU150">
        <f t="shared" ref="AU150:AU213" si="157">AQ150*AH150+AG150*AR150</f>
        <v>-506135.71161287138</v>
      </c>
      <c r="AV150">
        <f t="shared" si="145"/>
        <v>-1.9260637512838967</v>
      </c>
      <c r="AW150">
        <f t="shared" si="146"/>
        <v>-213389.66940873562</v>
      </c>
      <c r="AX150">
        <f t="shared" si="147"/>
        <v>-104144.42401641341</v>
      </c>
      <c r="AY150">
        <f t="shared" si="155"/>
        <v>-2.6875521949959893</v>
      </c>
      <c r="BA150">
        <f t="shared" si="132"/>
        <v>2.2735458511413946</v>
      </c>
      <c r="BB150">
        <f t="shared" si="148"/>
        <v>7.1340743429967315</v>
      </c>
      <c r="BC150">
        <f t="shared" si="149"/>
        <v>0.76148844371209257</v>
      </c>
      <c r="BD150">
        <f t="shared" si="133"/>
        <v>-136.36992597745711</v>
      </c>
      <c r="BF150">
        <f t="shared" si="134"/>
        <v>-5.2262945544893613</v>
      </c>
      <c r="BG150">
        <f t="shared" si="135"/>
        <v>-134.46685845930034</v>
      </c>
      <c r="BH150">
        <f t="shared" si="150"/>
        <v>45.53314154069966</v>
      </c>
      <c r="BI150">
        <f t="shared" si="151"/>
        <v>45.53314154069966</v>
      </c>
      <c r="BJ150">
        <f t="shared" si="136"/>
        <v>0</v>
      </c>
      <c r="BK150">
        <f t="shared" si="152"/>
        <v>0</v>
      </c>
      <c r="BM150">
        <f t="shared" si="153"/>
        <v>-12.360368897486094</v>
      </c>
      <c r="BN150">
        <f t="shared" si="137"/>
        <v>-178.09693248184325</v>
      </c>
      <c r="BQ150" s="56">
        <f t="shared" si="154"/>
        <v>24.036035143281865</v>
      </c>
      <c r="BR150" s="59"/>
      <c r="BS150" s="59"/>
      <c r="BT150" s="59">
        <v>2511.886</v>
      </c>
      <c r="BU150" s="59">
        <v>7.45716</v>
      </c>
      <c r="BV150" s="59">
        <v>-252.25200000000001</v>
      </c>
      <c r="BW150" s="61"/>
      <c r="BY150" s="59"/>
      <c r="BZ150" s="59"/>
      <c r="CA150" s="59"/>
      <c r="CC150" s="59"/>
    </row>
    <row r="151" spans="1:81" x14ac:dyDescent="0.2">
      <c r="A151">
        <f t="shared" si="106"/>
        <v>58500</v>
      </c>
      <c r="B151">
        <f t="shared" si="138"/>
        <v>58.5</v>
      </c>
      <c r="C151">
        <f t="shared" si="107"/>
        <v>1.0000259506344362</v>
      </c>
      <c r="D151">
        <f t="shared" si="108"/>
        <v>7.2041756298023554E-3</v>
      </c>
      <c r="F151">
        <f t="shared" si="109"/>
        <v>1.5787276628656921E-2</v>
      </c>
      <c r="G151">
        <f t="shared" si="110"/>
        <v>2.5842381290683065E-2</v>
      </c>
      <c r="H151">
        <f t="shared" si="111"/>
        <v>-3.1157502687093173</v>
      </c>
      <c r="J151">
        <f t="shared" si="112"/>
        <v>15</v>
      </c>
      <c r="M151">
        <f t="shared" si="113"/>
        <v>2.1380275689353963E-2</v>
      </c>
      <c r="N151">
        <f t="shared" si="114"/>
        <v>-1.5707963250000001</v>
      </c>
      <c r="O151">
        <f t="shared" si="115"/>
        <v>11.531726421434787</v>
      </c>
      <c r="P151">
        <f t="shared" si="116"/>
        <v>1.483969988897806</v>
      </c>
      <c r="Q151">
        <f t="shared" si="117"/>
        <v>10.035987312976145</v>
      </c>
      <c r="R151">
        <f t="shared" si="118"/>
        <v>1.470989288274996</v>
      </c>
      <c r="S151">
        <f t="shared" si="119"/>
        <v>0.96238939029104875</v>
      </c>
      <c r="T151">
        <f t="shared" si="120"/>
        <v>-0.27513183346565817</v>
      </c>
      <c r="U151">
        <f t="shared" si="121"/>
        <v>0.96144743263351862</v>
      </c>
      <c r="V151">
        <f t="shared" si="122"/>
        <v>-0.27857804221926119</v>
      </c>
      <c r="X151">
        <f t="shared" si="139"/>
        <v>-5.3169229237550315</v>
      </c>
      <c r="Y151">
        <f t="shared" si="123"/>
        <v>-130.52511533807342</v>
      </c>
      <c r="Z151">
        <f t="shared" si="140"/>
        <v>49.474884661926581</v>
      </c>
      <c r="AC151">
        <v>1</v>
      </c>
      <c r="AD151">
        <f t="shared" si="124"/>
        <v>11.48828595826275</v>
      </c>
      <c r="AE151">
        <f t="shared" si="125"/>
        <v>-5.0672486677517351E-4</v>
      </c>
      <c r="AF151">
        <f t="shared" si="126"/>
        <v>1.771669759041E-3</v>
      </c>
      <c r="AG151">
        <f t="shared" si="141"/>
        <v>5844.8634954703175</v>
      </c>
      <c r="AH151">
        <f t="shared" si="142"/>
        <v>-2236.1603542895882</v>
      </c>
      <c r="AJ151">
        <f t="shared" si="127"/>
        <v>26400</v>
      </c>
      <c r="AK151">
        <f t="shared" si="128"/>
        <v>7452.4810577817616</v>
      </c>
      <c r="AL151">
        <v>1</v>
      </c>
      <c r="AM151">
        <f t="shared" si="129"/>
        <v>9.9860423264784011</v>
      </c>
      <c r="AN151">
        <f t="shared" si="143"/>
        <v>1000.9903584468132</v>
      </c>
      <c r="AO151">
        <f t="shared" si="144"/>
        <v>-2543.4510300649008</v>
      </c>
      <c r="AQ151">
        <f t="shared" si="130"/>
        <v>0.73046018991964934</v>
      </c>
      <c r="AR151">
        <f t="shared" si="131"/>
        <v>-85.463842220598977</v>
      </c>
      <c r="AT151">
        <f t="shared" si="156"/>
        <v>-186841.41560000839</v>
      </c>
      <c r="AU151">
        <f t="shared" si="157"/>
        <v>-501157.91769489896</v>
      </c>
      <c r="AV151">
        <f t="shared" si="145"/>
        <v>-1.9276539064786369</v>
      </c>
      <c r="AW151">
        <f t="shared" si="146"/>
        <v>-209694.13028747108</v>
      </c>
      <c r="AX151">
        <f t="shared" si="147"/>
        <v>-102876.29506092104</v>
      </c>
      <c r="AY151">
        <f t="shared" si="155"/>
        <v>-2.6854919196205156</v>
      </c>
      <c r="BA151">
        <f t="shared" si="132"/>
        <v>2.2899049721944933</v>
      </c>
      <c r="BB151">
        <f t="shared" si="148"/>
        <v>7.1963492021875295</v>
      </c>
      <c r="BC151">
        <f t="shared" si="149"/>
        <v>0.75783801314187871</v>
      </c>
      <c r="BD151">
        <f t="shared" si="133"/>
        <v>-136.57908024277489</v>
      </c>
      <c r="BF151">
        <f t="shared" si="134"/>
        <v>-5.3154558382328947</v>
      </c>
      <c r="BG151">
        <f t="shared" si="135"/>
        <v>-134.68565200162868</v>
      </c>
      <c r="BH151">
        <f t="shared" si="150"/>
        <v>45.314347998371318</v>
      </c>
      <c r="BI151">
        <f t="shared" si="151"/>
        <v>45.314347998371318</v>
      </c>
      <c r="BJ151">
        <f t="shared" si="136"/>
        <v>0</v>
      </c>
      <c r="BK151">
        <f t="shared" si="152"/>
        <v>0</v>
      </c>
      <c r="BM151">
        <f t="shared" si="153"/>
        <v>-12.511805040420425</v>
      </c>
      <c r="BN151">
        <f t="shared" si="137"/>
        <v>-178.10657175885379</v>
      </c>
      <c r="BQ151" s="56">
        <f t="shared" si="154"/>
        <v>24.098310002472665</v>
      </c>
      <c r="BR151" s="59"/>
      <c r="BS151" s="59"/>
      <c r="BT151" s="59">
        <v>2570.3960000000002</v>
      </c>
      <c r="BU151" s="59">
        <v>7.31271</v>
      </c>
      <c r="BV151" s="59">
        <v>-251.702</v>
      </c>
      <c r="BW151" s="61"/>
      <c r="BY151" s="59"/>
      <c r="BZ151" s="59"/>
      <c r="CA151" s="59"/>
      <c r="CC151" s="59"/>
    </row>
    <row r="152" spans="1:81" x14ac:dyDescent="0.2">
      <c r="A152">
        <f t="shared" si="106"/>
        <v>59000</v>
      </c>
      <c r="B152">
        <f t="shared" si="138"/>
        <v>59</v>
      </c>
      <c r="C152">
        <f t="shared" si="107"/>
        <v>1.0000263961248743</v>
      </c>
      <c r="D152">
        <f t="shared" si="108"/>
        <v>7.2657476226447954E-3</v>
      </c>
      <c r="F152">
        <f t="shared" si="109"/>
        <v>1.5516781529843265E-2</v>
      </c>
      <c r="G152">
        <f t="shared" si="110"/>
        <v>2.5616645680558704E-2</v>
      </c>
      <c r="H152">
        <f t="shared" si="111"/>
        <v>-3.1159760043194416</v>
      </c>
      <c r="J152">
        <f t="shared" si="112"/>
        <v>15</v>
      </c>
      <c r="M152">
        <f t="shared" si="113"/>
        <v>2.119908691232554E-2</v>
      </c>
      <c r="N152">
        <f t="shared" si="114"/>
        <v>-1.5707963250000001</v>
      </c>
      <c r="O152">
        <f t="shared" si="115"/>
        <v>11.629550129496065</v>
      </c>
      <c r="P152">
        <f t="shared" si="116"/>
        <v>1.4847021592997924</v>
      </c>
      <c r="Q152">
        <f t="shared" si="117"/>
        <v>10.12091691937179</v>
      </c>
      <c r="R152">
        <f t="shared" si="118"/>
        <v>1.4718295752435366</v>
      </c>
      <c r="S152">
        <f t="shared" si="119"/>
        <v>0.96178027420688983</v>
      </c>
      <c r="T152">
        <f t="shared" si="120"/>
        <v>-0.27736508759340628</v>
      </c>
      <c r="U152">
        <f t="shared" si="121"/>
        <v>0.96082398629176169</v>
      </c>
      <c r="V152">
        <f t="shared" si="122"/>
        <v>-0.28083629905144164</v>
      </c>
      <c r="X152">
        <f t="shared" si="139"/>
        <v>-5.4055199931206763</v>
      </c>
      <c r="Y152">
        <f t="shared" si="123"/>
        <v>-130.70177067154034</v>
      </c>
      <c r="Z152">
        <f t="shared" si="140"/>
        <v>49.298229328459655</v>
      </c>
      <c r="AC152">
        <v>1</v>
      </c>
      <c r="AD152">
        <f t="shared" si="124"/>
        <v>11.586476436538501</v>
      </c>
      <c r="AE152">
        <f t="shared" si="125"/>
        <v>-5.1542384724797402E-4</v>
      </c>
      <c r="AF152">
        <f t="shared" si="126"/>
        <v>1.7868122356139999E-3</v>
      </c>
      <c r="AG152">
        <f t="shared" si="141"/>
        <v>5837.2858012850866</v>
      </c>
      <c r="AH152">
        <f t="shared" si="142"/>
        <v>-2243.4793232803427</v>
      </c>
      <c r="AJ152">
        <f t="shared" si="127"/>
        <v>26400</v>
      </c>
      <c r="AK152">
        <f t="shared" si="128"/>
        <v>7516.1774770790398</v>
      </c>
      <c r="AL152">
        <v>1</v>
      </c>
      <c r="AM152">
        <f t="shared" si="129"/>
        <v>10.071393115593601</v>
      </c>
      <c r="AN152">
        <f t="shared" si="143"/>
        <v>996.73365689212142</v>
      </c>
      <c r="AO152">
        <f t="shared" si="144"/>
        <v>-2522.3190130247067</v>
      </c>
      <c r="AQ152">
        <f t="shared" si="130"/>
        <v>0.71813285457809695</v>
      </c>
      <c r="AR152">
        <f t="shared" si="131"/>
        <v>-84.739676840215438</v>
      </c>
      <c r="AT152">
        <f t="shared" si="156"/>
        <v>-185919.76613701641</v>
      </c>
      <c r="AU152">
        <f t="shared" si="157"/>
        <v>-496260.82863549056</v>
      </c>
      <c r="AV152">
        <f t="shared" si="145"/>
        <v>-1.9292524199384717</v>
      </c>
      <c r="AW152">
        <f t="shared" si="146"/>
        <v>-206091.03598806364</v>
      </c>
      <c r="AX152">
        <f t="shared" si="147"/>
        <v>-101639.82666452439</v>
      </c>
      <c r="AY152">
        <f t="shared" si="155"/>
        <v>-2.6834165019397807</v>
      </c>
      <c r="BA152">
        <f t="shared" si="132"/>
        <v>2.3061955173278736</v>
      </c>
      <c r="BB152">
        <f t="shared" si="148"/>
        <v>7.2579224728520249</v>
      </c>
      <c r="BC152">
        <f t="shared" si="149"/>
        <v>0.75416408200130891</v>
      </c>
      <c r="BD152">
        <f t="shared" si="133"/>
        <v>-136.78958099159178</v>
      </c>
      <c r="BF152">
        <f t="shared" si="134"/>
        <v>-5.4039901656300318</v>
      </c>
      <c r="BG152">
        <f t="shared" si="135"/>
        <v>-134.90555863287614</v>
      </c>
      <c r="BH152">
        <f t="shared" si="150"/>
        <v>45.094441367123864</v>
      </c>
      <c r="BI152">
        <f t="shared" si="151"/>
        <v>45.094441367123864</v>
      </c>
      <c r="BJ152">
        <f t="shared" si="136"/>
        <v>0</v>
      </c>
      <c r="BK152">
        <f t="shared" si="152"/>
        <v>0</v>
      </c>
      <c r="BM152">
        <f t="shared" si="153"/>
        <v>-12.661912638482058</v>
      </c>
      <c r="BN152">
        <f t="shared" si="137"/>
        <v>-178.11597764128439</v>
      </c>
      <c r="BQ152" s="56">
        <f t="shared" si="154"/>
        <v>24.159883273137162</v>
      </c>
      <c r="BR152" s="59"/>
      <c r="BS152" s="59"/>
      <c r="BT152" s="59">
        <v>2630.268</v>
      </c>
      <c r="BU152" s="59">
        <v>7.13504</v>
      </c>
      <c r="BV152" s="59">
        <v>-251.40100000000001</v>
      </c>
      <c r="BW152" s="61"/>
      <c r="BY152" s="59"/>
      <c r="BZ152" s="59"/>
      <c r="CA152" s="59"/>
      <c r="CC152" s="59"/>
    </row>
    <row r="153" spans="1:81" x14ac:dyDescent="0.2">
      <c r="A153">
        <f t="shared" si="106"/>
        <v>59500</v>
      </c>
      <c r="B153">
        <f t="shared" si="138"/>
        <v>59.5</v>
      </c>
      <c r="C153">
        <f t="shared" si="107"/>
        <v>1.0000268454065195</v>
      </c>
      <c r="D153">
        <f t="shared" si="108"/>
        <v>7.3273195603958145E-3</v>
      </c>
      <c r="F153">
        <f t="shared" si="109"/>
        <v>1.5253212689620519E-2</v>
      </c>
      <c r="G153">
        <f t="shared" si="110"/>
        <v>2.539487486277054E-2</v>
      </c>
      <c r="H153">
        <f t="shared" si="111"/>
        <v>-3.1161977751372296</v>
      </c>
      <c r="J153">
        <f t="shared" si="112"/>
        <v>15</v>
      </c>
      <c r="M153">
        <f t="shared" si="113"/>
        <v>2.1020943324827002E-2</v>
      </c>
      <c r="N153">
        <f t="shared" si="114"/>
        <v>-1.5707963250000001</v>
      </c>
      <c r="O153">
        <f t="shared" si="115"/>
        <v>11.727379967842554</v>
      </c>
      <c r="P153">
        <f t="shared" si="116"/>
        <v>1.4854221145470661</v>
      </c>
      <c r="Q153">
        <f t="shared" si="117"/>
        <v>10.205853553027271</v>
      </c>
      <c r="R153">
        <f t="shared" si="118"/>
        <v>1.4726558764714499</v>
      </c>
      <c r="S153">
        <f t="shared" si="119"/>
        <v>0.96116714403769132</v>
      </c>
      <c r="T153">
        <f t="shared" si="120"/>
        <v>-0.27959550545649142</v>
      </c>
      <c r="U153">
        <f t="shared" si="121"/>
        <v>0.96019646076127507</v>
      </c>
      <c r="V153">
        <f t="shared" si="122"/>
        <v>-0.28309161758405998</v>
      </c>
      <c r="X153">
        <f t="shared" si="139"/>
        <v>-5.4934841716817564</v>
      </c>
      <c r="Y153">
        <f t="shared" si="123"/>
        <v>-130.87936918486119</v>
      </c>
      <c r="Z153">
        <f t="shared" si="140"/>
        <v>49.12063081513881</v>
      </c>
      <c r="AC153">
        <v>1</v>
      </c>
      <c r="AD153">
        <f t="shared" si="124"/>
        <v>11.684666914814249</v>
      </c>
      <c r="AE153">
        <f t="shared" si="125"/>
        <v>-5.2419686159713868E-4</v>
      </c>
      <c r="AF153">
        <f t="shared" si="126"/>
        <v>1.8019547121870001E-3</v>
      </c>
      <c r="AG153">
        <f t="shared" si="141"/>
        <v>5829.6634901605366</v>
      </c>
      <c r="AH153">
        <f t="shared" si="142"/>
        <v>-2250.8286575010607</v>
      </c>
      <c r="AJ153">
        <f t="shared" si="127"/>
        <v>26400</v>
      </c>
      <c r="AK153">
        <f t="shared" si="128"/>
        <v>7579.8738963763199</v>
      </c>
      <c r="AL153">
        <v>1</v>
      </c>
      <c r="AM153">
        <f t="shared" si="129"/>
        <v>10.156743904708801</v>
      </c>
      <c r="AN153">
        <f t="shared" si="143"/>
        <v>992.5824418764139</v>
      </c>
      <c r="AO153">
        <f t="shared" si="144"/>
        <v>-2501.5317700729238</v>
      </c>
      <c r="AQ153">
        <f t="shared" si="130"/>
        <v>0.70611495551475778</v>
      </c>
      <c r="AR153">
        <f t="shared" si="131"/>
        <v>-84.02767970625618</v>
      </c>
      <c r="AT153">
        <f t="shared" si="156"/>
        <v>-185015.496930141</v>
      </c>
      <c r="AU153">
        <f t="shared" si="157"/>
        <v>-491442.44032382785</v>
      </c>
      <c r="AV153">
        <f t="shared" si="145"/>
        <v>-1.93085899307914</v>
      </c>
      <c r="AW153">
        <f t="shared" si="146"/>
        <v>-202577.34822022708</v>
      </c>
      <c r="AX153">
        <f t="shared" si="147"/>
        <v>-100433.89232677437</v>
      </c>
      <c r="AY153">
        <f t="shared" si="155"/>
        <v>-2.6813263650723229</v>
      </c>
      <c r="BA153">
        <f t="shared" si="132"/>
        <v>2.3224169190419461</v>
      </c>
      <c r="BB153">
        <f t="shared" si="148"/>
        <v>7.3188037342866021</v>
      </c>
      <c r="BC153">
        <f t="shared" si="149"/>
        <v>0.75046737199318292</v>
      </c>
      <c r="BD153">
        <f t="shared" si="133"/>
        <v>-137.00138687338318</v>
      </c>
      <c r="BF153">
        <f t="shared" si="134"/>
        <v>-5.4919113900618406</v>
      </c>
      <c r="BG153">
        <f t="shared" si="135"/>
        <v>-135.1265432343869</v>
      </c>
      <c r="BH153">
        <f t="shared" si="150"/>
        <v>44.873456765613099</v>
      </c>
      <c r="BI153">
        <f t="shared" si="151"/>
        <v>44.873456765613099</v>
      </c>
      <c r="BJ153">
        <f t="shared" si="136"/>
        <v>0</v>
      </c>
      <c r="BK153">
        <f t="shared" si="152"/>
        <v>0</v>
      </c>
      <c r="BM153">
        <f t="shared" si="153"/>
        <v>-12.810715124348441</v>
      </c>
      <c r="BN153">
        <f t="shared" si="137"/>
        <v>-178.12515636100372</v>
      </c>
      <c r="BQ153" s="56">
        <f t="shared" si="154"/>
        <v>24.220764534571735</v>
      </c>
      <c r="BR153" s="59"/>
      <c r="BS153" s="59"/>
      <c r="BT153" s="59">
        <v>2691.5349999999999</v>
      </c>
      <c r="BU153" s="59">
        <v>6.8809300000000002</v>
      </c>
      <c r="BV153" s="59">
        <v>-251.244</v>
      </c>
      <c r="BW153" s="61"/>
      <c r="BY153" s="59"/>
      <c r="BZ153" s="59"/>
      <c r="CA153" s="59"/>
      <c r="CC153" s="59"/>
    </row>
    <row r="154" spans="1:81" x14ac:dyDescent="0.2">
      <c r="A154">
        <f t="shared" si="106"/>
        <v>60000</v>
      </c>
      <c r="B154">
        <f t="shared" si="138"/>
        <v>60</v>
      </c>
      <c r="C154">
        <f t="shared" si="107"/>
        <v>1.0000272984793666</v>
      </c>
      <c r="D154">
        <f t="shared" si="108"/>
        <v>7.3888914425886349E-3</v>
      </c>
      <c r="F154">
        <f t="shared" si="109"/>
        <v>1.4996334538804452E-2</v>
      </c>
      <c r="G154">
        <f t="shared" si="110"/>
        <v>2.517696395384229E-2</v>
      </c>
      <c r="H154">
        <f t="shared" si="111"/>
        <v>-3.116415686046158</v>
      </c>
      <c r="J154">
        <f t="shared" si="112"/>
        <v>15</v>
      </c>
      <c r="M154">
        <f t="shared" si="113"/>
        <v>2.084576879712011E-2</v>
      </c>
      <c r="N154">
        <f t="shared" si="114"/>
        <v>-1.5707963250000001</v>
      </c>
      <c r="O154">
        <f t="shared" si="115"/>
        <v>11.82521578432697</v>
      </c>
      <c r="P154">
        <f t="shared" si="116"/>
        <v>1.4861301570697676</v>
      </c>
      <c r="Q154">
        <f t="shared" si="117"/>
        <v>10.290797039940966</v>
      </c>
      <c r="R154">
        <f t="shared" si="118"/>
        <v>1.4734685371443277</v>
      </c>
      <c r="S154">
        <f t="shared" si="119"/>
        <v>0.96055002573876713</v>
      </c>
      <c r="T154">
        <f t="shared" si="120"/>
        <v>-0.2818230703054585</v>
      </c>
      <c r="U154">
        <f t="shared" si="121"/>
        <v>0.95956488316163213</v>
      </c>
      <c r="V154">
        <f t="shared" si="122"/>
        <v>-0.2853439806498399</v>
      </c>
      <c r="X154">
        <f t="shared" si="139"/>
        <v>-5.5808285517943892</v>
      </c>
      <c r="Y154">
        <f t="shared" si="123"/>
        <v>-131.05787783850943</v>
      </c>
      <c r="Z154">
        <f t="shared" si="140"/>
        <v>48.942122161490573</v>
      </c>
      <c r="AC154">
        <v>1</v>
      </c>
      <c r="AD154">
        <f t="shared" si="124"/>
        <v>11.782857393090001</v>
      </c>
      <c r="AE154">
        <f t="shared" si="125"/>
        <v>-5.330439098226677E-4</v>
      </c>
      <c r="AF154">
        <f t="shared" si="126"/>
        <v>1.81709718876E-3</v>
      </c>
      <c r="AG154">
        <f t="shared" si="141"/>
        <v>5821.9969882970045</v>
      </c>
      <c r="AH154">
        <f t="shared" si="142"/>
        <v>-2258.2061449436324</v>
      </c>
      <c r="AJ154">
        <f t="shared" si="127"/>
        <v>26400</v>
      </c>
      <c r="AK154">
        <f t="shared" si="128"/>
        <v>7643.5703156735999</v>
      </c>
      <c r="AL154">
        <v>1</v>
      </c>
      <c r="AM154">
        <f t="shared" si="129"/>
        <v>10.242094693824003</v>
      </c>
      <c r="AN154">
        <f t="shared" si="143"/>
        <v>988.53326752374392</v>
      </c>
      <c r="AO154">
        <f t="shared" si="144"/>
        <v>-2481.0810182998412</v>
      </c>
      <c r="AQ154">
        <f t="shared" si="130"/>
        <v>0.69439622248454969</v>
      </c>
      <c r="AR154">
        <f t="shared" si="131"/>
        <v>-83.327546698145966</v>
      </c>
      <c r="AT154">
        <f t="shared" si="156"/>
        <v>-184128.00528084082</v>
      </c>
      <c r="AU154">
        <f t="shared" si="157"/>
        <v>-486700.81573542405</v>
      </c>
      <c r="AV154">
        <f t="shared" si="145"/>
        <v>-1.9324733367297295</v>
      </c>
      <c r="AW154">
        <f t="shared" si="146"/>
        <v>-199150.15207621967</v>
      </c>
      <c r="AX154">
        <f t="shared" si="147"/>
        <v>-99257.416284450766</v>
      </c>
      <c r="AY154">
        <f t="shared" si="155"/>
        <v>-2.6792219198859537</v>
      </c>
      <c r="BA154">
        <f t="shared" si="132"/>
        <v>2.3385686172082356</v>
      </c>
      <c r="BB154">
        <f t="shared" si="148"/>
        <v>7.3790023460211485</v>
      </c>
      <c r="BC154">
        <f t="shared" si="149"/>
        <v>0.74674858315622417</v>
      </c>
      <c r="BD154">
        <f t="shared" si="133"/>
        <v>-137.21445777888476</v>
      </c>
      <c r="BF154">
        <f t="shared" si="134"/>
        <v>-5.5792329622126893</v>
      </c>
      <c r="BG154">
        <f t="shared" si="135"/>
        <v>-135.3485717063038</v>
      </c>
      <c r="BH154">
        <f t="shared" si="150"/>
        <v>44.651428293696199</v>
      </c>
      <c r="BI154">
        <f t="shared" si="151"/>
        <v>44.651428293696199</v>
      </c>
      <c r="BJ154">
        <f t="shared" si="136"/>
        <v>0</v>
      </c>
      <c r="BK154">
        <f t="shared" si="152"/>
        <v>0</v>
      </c>
      <c r="BM154">
        <f t="shared" si="153"/>
        <v>-12.958235308233837</v>
      </c>
      <c r="BN154">
        <f t="shared" si="137"/>
        <v>-178.13411392741909</v>
      </c>
      <c r="BQ154" s="56">
        <f t="shared" si="154"/>
        <v>24.280963146306288</v>
      </c>
      <c r="BR154" s="59"/>
      <c r="BS154" s="59"/>
      <c r="BT154" s="59">
        <v>2754.2289999999998</v>
      </c>
      <c r="BU154" s="59">
        <v>6.7009400000000001</v>
      </c>
      <c r="BV154" s="59">
        <v>-251.05099999999999</v>
      </c>
      <c r="BW154" s="61"/>
      <c r="BY154" s="59"/>
      <c r="BZ154" s="59"/>
      <c r="CA154" s="59"/>
      <c r="CC154" s="59"/>
    </row>
    <row r="155" spans="1:81" x14ac:dyDescent="0.2">
      <c r="A155">
        <f t="shared" si="106"/>
        <v>60500</v>
      </c>
      <c r="B155">
        <f t="shared" si="138"/>
        <v>60.5</v>
      </c>
      <c r="C155">
        <f t="shared" si="107"/>
        <v>1.0000277553434103</v>
      </c>
      <c r="D155">
        <f t="shared" si="108"/>
        <v>7.4504632687564833E-3</v>
      </c>
      <c r="F155">
        <f t="shared" si="109"/>
        <v>1.4745921483548906E-2</v>
      </c>
      <c r="G155">
        <f t="shared" si="110"/>
        <v>2.4962811779524322E-2</v>
      </c>
      <c r="H155">
        <f t="shared" si="111"/>
        <v>-3.1166298382204758</v>
      </c>
      <c r="J155">
        <f t="shared" si="112"/>
        <v>15</v>
      </c>
      <c r="M155">
        <f t="shared" si="113"/>
        <v>2.0673489716152176E-2</v>
      </c>
      <c r="N155">
        <f t="shared" si="114"/>
        <v>-1.5707963250000001</v>
      </c>
      <c r="O155">
        <f t="shared" si="115"/>
        <v>11.923057431786726</v>
      </c>
      <c r="P155">
        <f t="shared" si="116"/>
        <v>1.486826579419658</v>
      </c>
      <c r="Q155">
        <f t="shared" si="117"/>
        <v>10.375747211795462</v>
      </c>
      <c r="R155">
        <f t="shared" si="118"/>
        <v>1.4742678912165448</v>
      </c>
      <c r="S155">
        <f t="shared" si="119"/>
        <v>0.95992894534201556</v>
      </c>
      <c r="T155">
        <f t="shared" si="120"/>
        <v>-0.28404776554692712</v>
      </c>
      <c r="U155">
        <f t="shared" si="121"/>
        <v>0.95892928068869321</v>
      </c>
      <c r="V155">
        <f t="shared" si="122"/>
        <v>-0.2875933712464151</v>
      </c>
      <c r="X155">
        <f t="shared" si="139"/>
        <v>-5.6675658411352101</v>
      </c>
      <c r="Y155">
        <f t="shared" si="123"/>
        <v>-131.23726460831725</v>
      </c>
      <c r="Z155">
        <f t="shared" si="140"/>
        <v>48.762735391682753</v>
      </c>
      <c r="AC155">
        <v>1</v>
      </c>
      <c r="AD155">
        <f t="shared" si="124"/>
        <v>11.88104787136575</v>
      </c>
      <c r="AE155">
        <f t="shared" si="125"/>
        <v>-5.4196499192456107E-4</v>
      </c>
      <c r="AF155">
        <f t="shared" si="126"/>
        <v>1.8322396653330001E-3</v>
      </c>
      <c r="AG155">
        <f t="shared" si="141"/>
        <v>5814.2867225792206</v>
      </c>
      <c r="AH155">
        <f t="shared" si="142"/>
        <v>-2265.609644410401</v>
      </c>
      <c r="AJ155">
        <f t="shared" si="127"/>
        <v>26400</v>
      </c>
      <c r="AK155">
        <f t="shared" si="128"/>
        <v>7707.26673497088</v>
      </c>
      <c r="AL155">
        <v>1</v>
      </c>
      <c r="AM155">
        <f t="shared" si="129"/>
        <v>10.327445482939201</v>
      </c>
      <c r="AN155">
        <f t="shared" si="143"/>
        <v>984.58282708037348</v>
      </c>
      <c r="AO155">
        <f t="shared" si="144"/>
        <v>-2460.9587351398318</v>
      </c>
      <c r="AQ155">
        <f t="shared" si="130"/>
        <v>0.68296680781314023</v>
      </c>
      <c r="AR155">
        <f t="shared" si="131"/>
        <v>-82.638983745389979</v>
      </c>
      <c r="AT155">
        <f t="shared" si="156"/>
        <v>-183256.71373519965</v>
      </c>
      <c r="AU155">
        <f t="shared" si="157"/>
        <v>-482034.08214485459</v>
      </c>
      <c r="AV155">
        <f t="shared" si="145"/>
        <v>-1.9340951707568992</v>
      </c>
      <c r="AW155">
        <f t="shared" si="146"/>
        <v>-195806.65008748267</v>
      </c>
      <c r="AX155">
        <f t="shared" si="147"/>
        <v>-98109.370783691789</v>
      </c>
      <c r="AY155">
        <f t="shared" si="155"/>
        <v>-2.6771035655089421</v>
      </c>
      <c r="BA155">
        <f t="shared" si="132"/>
        <v>2.3546500590399346</v>
      </c>
      <c r="BB155">
        <f t="shared" si="148"/>
        <v>7.4385274546010471</v>
      </c>
      <c r="BC155">
        <f t="shared" si="149"/>
        <v>0.74300839475204294</v>
      </c>
      <c r="BD155">
        <f t="shared" si="133"/>
        <v>-137.42875478927297</v>
      </c>
      <c r="BF155">
        <f t="shared" si="134"/>
        <v>-5.6659679453914658</v>
      </c>
      <c r="BG155">
        <f t="shared" si="135"/>
        <v>-135.57161092668767</v>
      </c>
      <c r="BH155">
        <f t="shared" si="150"/>
        <v>44.428389073312331</v>
      </c>
      <c r="BI155">
        <f t="shared" si="151"/>
        <v>44.428389073312331</v>
      </c>
      <c r="BJ155">
        <f t="shared" si="136"/>
        <v>0</v>
      </c>
      <c r="BK155">
        <f t="shared" si="152"/>
        <v>0</v>
      </c>
      <c r="BM155">
        <f t="shared" si="153"/>
        <v>-13.104495399992512</v>
      </c>
      <c r="BN155">
        <f t="shared" si="137"/>
        <v>-178.14285613741473</v>
      </c>
      <c r="BQ155" s="56">
        <f t="shared" si="154"/>
        <v>24.340488254886186</v>
      </c>
      <c r="BR155" s="59"/>
      <c r="BS155" s="59"/>
      <c r="BT155" s="59">
        <v>2818.3829999999998</v>
      </c>
      <c r="BU155" s="59">
        <v>6.5356199999999998</v>
      </c>
      <c r="BV155" s="59">
        <v>-250.48</v>
      </c>
      <c r="BW155" s="61"/>
      <c r="BY155" s="59"/>
      <c r="BZ155" s="59"/>
      <c r="CA155" s="59"/>
      <c r="CC155" s="59"/>
    </row>
    <row r="156" spans="1:81" x14ac:dyDescent="0.2">
      <c r="A156">
        <f t="shared" si="106"/>
        <v>61000</v>
      </c>
      <c r="B156">
        <f t="shared" si="138"/>
        <v>61</v>
      </c>
      <c r="C156">
        <f t="shared" si="107"/>
        <v>1.0000282159986456</v>
      </c>
      <c r="D156">
        <f t="shared" si="108"/>
        <v>7.5120350384325881E-3</v>
      </c>
      <c r="F156">
        <f t="shared" si="109"/>
        <v>1.4501757400535092E-2</v>
      </c>
      <c r="G156">
        <f t="shared" si="110"/>
        <v>2.4752320710632231E-2</v>
      </c>
      <c r="H156">
        <f t="shared" si="111"/>
        <v>-3.1168403292893681</v>
      </c>
      <c r="J156">
        <f t="shared" si="112"/>
        <v>15</v>
      </c>
      <c r="M156">
        <f t="shared" si="113"/>
        <v>2.0504034882413223E-2</v>
      </c>
      <c r="N156">
        <f t="shared" si="114"/>
        <v>-1.5707963250000001</v>
      </c>
      <c r="O156">
        <f t="shared" si="115"/>
        <v>12.020904767841797</v>
      </c>
      <c r="P156">
        <f t="shared" si="116"/>
        <v>1.4875116646692321</v>
      </c>
      <c r="Q156">
        <f t="shared" si="117"/>
        <v>10.460703905727856</v>
      </c>
      <c r="R156">
        <f t="shared" si="118"/>
        <v>1.4750542618629316</v>
      </c>
      <c r="S156">
        <f t="shared" si="119"/>
        <v>0.95930392895324545</v>
      </c>
      <c r="T156">
        <f t="shared" si="120"/>
        <v>-0.28626957474385939</v>
      </c>
      <c r="U156">
        <f t="shared" si="121"/>
        <v>0.958289680611767</v>
      </c>
      <c r="V156">
        <f t="shared" si="122"/>
        <v>-0.28983977253658383</v>
      </c>
      <c r="X156">
        <f t="shared" si="139"/>
        <v>-5.753708377375192</v>
      </c>
      <c r="Y156">
        <f t="shared" si="123"/>
        <v>-131.41749844616504</v>
      </c>
      <c r="Z156">
        <f t="shared" si="140"/>
        <v>48.582501553834959</v>
      </c>
      <c r="AC156">
        <v>1</v>
      </c>
      <c r="AD156">
        <f t="shared" si="124"/>
        <v>11.9792383496415</v>
      </c>
      <c r="AE156">
        <f t="shared" si="125"/>
        <v>-5.5096010790281859E-4</v>
      </c>
      <c r="AF156">
        <f t="shared" si="126"/>
        <v>1.847382141906E-3</v>
      </c>
      <c r="AG156">
        <f t="shared" si="141"/>
        <v>5806.5331205249877</v>
      </c>
      <c r="AH156">
        <f t="shared" si="142"/>
        <v>-2273.0370827842517</v>
      </c>
      <c r="AJ156">
        <f t="shared" si="127"/>
        <v>26400</v>
      </c>
      <c r="AK156">
        <f t="shared" si="128"/>
        <v>7770.96315426816</v>
      </c>
      <c r="AL156">
        <v>1</v>
      </c>
      <c r="AM156">
        <f t="shared" si="129"/>
        <v>10.412796272054401</v>
      </c>
      <c r="AN156">
        <f t="shared" si="143"/>
        <v>980.72794624982453</v>
      </c>
      <c r="AO156">
        <f t="shared" si="144"/>
        <v>-2441.1571483415814</v>
      </c>
      <c r="AQ156">
        <f t="shared" si="130"/>
        <v>0.67181726570372857</v>
      </c>
      <c r="AR156">
        <f t="shared" si="131"/>
        <v>-81.961706415854891</v>
      </c>
      <c r="AT156">
        <f t="shared" si="156"/>
        <v>-182401.06884726486</v>
      </c>
      <c r="AU156">
        <f t="shared" si="157"/>
        <v>-477440.42847620609</v>
      </c>
      <c r="AV156">
        <f t="shared" si="145"/>
        <v>-1.9357242237072323</v>
      </c>
      <c r="AW156">
        <f t="shared" si="146"/>
        <v>-192544.15661141477</v>
      </c>
      <c r="AX156">
        <f t="shared" si="147"/>
        <v>-96988.773521155468</v>
      </c>
      <c r="AY156">
        <f t="shared" si="155"/>
        <v>-2.6749716898161009</v>
      </c>
      <c r="BA156">
        <f t="shared" si="132"/>
        <v>2.3706606990674661</v>
      </c>
      <c r="BB156">
        <f t="shared" si="148"/>
        <v>7.4973880001255013</v>
      </c>
      <c r="BC156">
        <f t="shared" si="149"/>
        <v>0.7392474661088686</v>
      </c>
      <c r="BD156">
        <f t="shared" si="133"/>
        <v>-137.64424012782297</v>
      </c>
      <c r="BF156">
        <f t="shared" si="134"/>
        <v>-5.752129030114296</v>
      </c>
      <c r="BG156">
        <f t="shared" si="135"/>
        <v>-135.79562871258054</v>
      </c>
      <c r="BH156">
        <f t="shared" si="150"/>
        <v>44.204371287419463</v>
      </c>
      <c r="BI156">
        <f t="shared" si="151"/>
        <v>44.204371287419463</v>
      </c>
      <c r="BJ156">
        <f t="shared" si="136"/>
        <v>0</v>
      </c>
      <c r="BK156">
        <f t="shared" si="152"/>
        <v>0</v>
      </c>
      <c r="BM156">
        <f t="shared" si="153"/>
        <v>-13.249517030239797</v>
      </c>
      <c r="BN156">
        <f t="shared" si="137"/>
        <v>-178.1513885847576</v>
      </c>
      <c r="BQ156" s="56">
        <f t="shared" si="154"/>
        <v>24.399348800410642</v>
      </c>
      <c r="BR156" s="59"/>
      <c r="BS156" s="59"/>
      <c r="BT156" s="59">
        <v>2884.0320000000002</v>
      </c>
      <c r="BU156" s="59">
        <v>6.3265200000000004</v>
      </c>
      <c r="BV156" s="59">
        <v>-250.202</v>
      </c>
      <c r="BW156" s="61"/>
      <c r="BY156" s="59"/>
      <c r="BZ156" s="59"/>
      <c r="CA156" s="59"/>
      <c r="CC156" s="59"/>
    </row>
    <row r="157" spans="1:81" x14ac:dyDescent="0.2">
      <c r="A157">
        <f t="shared" si="106"/>
        <v>61500</v>
      </c>
      <c r="B157">
        <f t="shared" si="138"/>
        <v>61.5</v>
      </c>
      <c r="C157">
        <f t="shared" si="107"/>
        <v>1.0000286804450671</v>
      </c>
      <c r="D157">
        <f t="shared" si="108"/>
        <v>7.5736067511501812E-3</v>
      </c>
      <c r="F157">
        <f t="shared" si="109"/>
        <v>1.4263635161837386E-2</v>
      </c>
      <c r="G157">
        <f t="shared" si="110"/>
        <v>2.4545396507601212E-2</v>
      </c>
      <c r="H157">
        <f t="shared" si="111"/>
        <v>-3.117047253492399</v>
      </c>
      <c r="J157">
        <f t="shared" si="112"/>
        <v>15</v>
      </c>
      <c r="M157">
        <f t="shared" si="113"/>
        <v>2.03373354118245E-2</v>
      </c>
      <c r="N157">
        <f t="shared" si="114"/>
        <v>-1.5707963250000001</v>
      </c>
      <c r="O157">
        <f t="shared" si="115"/>
        <v>12.118757654702346</v>
      </c>
      <c r="P157">
        <f t="shared" si="116"/>
        <v>1.4881856867916818</v>
      </c>
      <c r="Q157">
        <f t="shared" si="117"/>
        <v>10.545666964111085</v>
      </c>
      <c r="R157">
        <f t="shared" si="118"/>
        <v>1.475827961908891</v>
      </c>
      <c r="S157">
        <f t="shared" si="119"/>
        <v>0.95867500274951156</v>
      </c>
      <c r="T157">
        <f t="shared" si="120"/>
        <v>-0.28848848161580876</v>
      </c>
      <c r="U157">
        <f t="shared" si="121"/>
        <v>0.9576461102707815</v>
      </c>
      <c r="V157">
        <f t="shared" si="122"/>
        <v>-0.2920831678485441</v>
      </c>
      <c r="X157">
        <f t="shared" si="139"/>
        <v>-5.8392681421562544</v>
      </c>
      <c r="Y157">
        <f t="shared" si="123"/>
        <v>-131.59854924250132</v>
      </c>
      <c r="Z157">
        <f t="shared" si="140"/>
        <v>48.401450757498679</v>
      </c>
      <c r="AC157">
        <v>1</v>
      </c>
      <c r="AD157">
        <f t="shared" si="124"/>
        <v>12.077428827917251</v>
      </c>
      <c r="AE157">
        <f t="shared" si="125"/>
        <v>-5.6002925775744037E-4</v>
      </c>
      <c r="AF157">
        <f t="shared" si="126"/>
        <v>1.862524618479E-3</v>
      </c>
      <c r="AG157">
        <f t="shared" si="141"/>
        <v>5798.736610234113</v>
      </c>
      <c r="AH157">
        <f t="shared" si="142"/>
        <v>-2280.486452430855</v>
      </c>
      <c r="AJ157">
        <f t="shared" si="127"/>
        <v>26400</v>
      </c>
      <c r="AK157">
        <f t="shared" si="128"/>
        <v>7834.659573565441</v>
      </c>
      <c r="AL157">
        <v>1</v>
      </c>
      <c r="AM157">
        <f t="shared" si="129"/>
        <v>10.498147061169602</v>
      </c>
      <c r="AN157">
        <f t="shared" si="143"/>
        <v>976.96557689631686</v>
      </c>
      <c r="AO157">
        <f t="shared" si="144"/>
        <v>-2421.6687263924928</v>
      </c>
      <c r="AQ157">
        <f t="shared" si="130"/>
        <v>0.66093853271645742</v>
      </c>
      <c r="AR157">
        <f t="shared" si="131"/>
        <v>-81.295439524124262</v>
      </c>
      <c r="AT157">
        <f t="shared" si="156"/>
        <v>-181560.54001239993</v>
      </c>
      <c r="AU157">
        <f t="shared" si="157"/>
        <v>-472918.10278336203</v>
      </c>
      <c r="AV157">
        <f t="shared" si="145"/>
        <v>-1.9373602324667116</v>
      </c>
      <c r="AW157">
        <f t="shared" si="146"/>
        <v>-189360.09252756916</v>
      </c>
      <c r="AX157">
        <f t="shared" si="147"/>
        <v>-95894.685242417792</v>
      </c>
      <c r="AY157">
        <f t="shared" si="155"/>
        <v>-2.6728266698911476</v>
      </c>
      <c r="BA157">
        <f t="shared" si="132"/>
        <v>2.3865999991186655</v>
      </c>
      <c r="BB157">
        <f t="shared" si="148"/>
        <v>7.5555927225520625</v>
      </c>
      <c r="BC157">
        <f t="shared" si="149"/>
        <v>0.73546643742443596</v>
      </c>
      <c r="BD157">
        <f t="shared" si="133"/>
        <v>-137.86087711390638</v>
      </c>
      <c r="BF157">
        <f t="shared" si="134"/>
        <v>-5.8377285479913423</v>
      </c>
      <c r="BG157">
        <f t="shared" si="135"/>
        <v>-136.02059378291017</v>
      </c>
      <c r="BH157">
        <f t="shared" si="150"/>
        <v>43.979406217089831</v>
      </c>
      <c r="BI157">
        <f t="shared" si="151"/>
        <v>43.979406217089831</v>
      </c>
      <c r="BJ157">
        <f t="shared" si="136"/>
        <v>0</v>
      </c>
      <c r="BK157">
        <f t="shared" si="152"/>
        <v>0</v>
      </c>
      <c r="BM157">
        <f t="shared" si="153"/>
        <v>-13.393321270543403</v>
      </c>
      <c r="BN157">
        <f t="shared" si="137"/>
        <v>-178.15971666900376</v>
      </c>
      <c r="BQ157" s="56">
        <f t="shared" si="154"/>
        <v>24.457553522837195</v>
      </c>
      <c r="BR157" s="59"/>
      <c r="BS157" s="59"/>
      <c r="BT157" s="59">
        <v>2951.2089999999998</v>
      </c>
      <c r="BU157" s="59">
        <v>6.1830800000000004</v>
      </c>
      <c r="BV157" s="59">
        <v>-249.92599999999999</v>
      </c>
      <c r="BW157" s="61"/>
      <c r="BY157" s="59"/>
      <c r="BZ157" s="59"/>
      <c r="CA157" s="59"/>
      <c r="CC157" s="59"/>
    </row>
    <row r="158" spans="1:81" x14ac:dyDescent="0.2">
      <c r="A158">
        <f t="shared" si="106"/>
        <v>62000</v>
      </c>
      <c r="B158">
        <f t="shared" si="138"/>
        <v>62</v>
      </c>
      <c r="C158">
        <f t="shared" si="107"/>
        <v>1.0000291486826696</v>
      </c>
      <c r="D158">
        <f t="shared" si="108"/>
        <v>7.6351784064424945E-3</v>
      </c>
      <c r="F158">
        <f t="shared" si="109"/>
        <v>1.403135618748076E-2</v>
      </c>
      <c r="G158">
        <f t="shared" si="110"/>
        <v>2.4341948173217307E-2</v>
      </c>
      <c r="H158">
        <f t="shared" si="111"/>
        <v>-3.1172507018267828</v>
      </c>
      <c r="J158">
        <f t="shared" si="112"/>
        <v>15</v>
      </c>
      <c r="M158">
        <f t="shared" si="113"/>
        <v>2.0173324642374302E-2</v>
      </c>
      <c r="N158">
        <f t="shared" si="114"/>
        <v>-1.5707963250000001</v>
      </c>
      <c r="O158">
        <f t="shared" si="115"/>
        <v>12.216615958985521</v>
      </c>
      <c r="P158">
        <f t="shared" si="116"/>
        <v>1.488848911022769</v>
      </c>
      <c r="Q158">
        <f t="shared" si="117"/>
        <v>10.630636234345666</v>
      </c>
      <c r="R158">
        <f t="shared" si="118"/>
        <v>1.4765892942401464</v>
      </c>
      <c r="S158">
        <f t="shared" si="119"/>
        <v>0.95804219297645998</v>
      </c>
      <c r="T158">
        <f t="shared" si="120"/>
        <v>-0.29070447003915112</v>
      </c>
      <c r="U158">
        <f t="shared" si="121"/>
        <v>0.95699859707346691</v>
      </c>
      <c r="V158">
        <f t="shared" si="122"/>
        <v>-0.29432354067610839</v>
      </c>
      <c r="X158">
        <f t="shared" si="139"/>
        <v>-5.9242567744101926</v>
      </c>
      <c r="Y158">
        <f t="shared" si="123"/>
        <v>-131.78038779059506</v>
      </c>
      <c r="Z158">
        <f t="shared" si="140"/>
        <v>48.219612209404943</v>
      </c>
      <c r="AC158">
        <v>1</v>
      </c>
      <c r="AD158">
        <f t="shared" si="124"/>
        <v>12.175619306192999</v>
      </c>
      <c r="AE158">
        <f t="shared" si="125"/>
        <v>-5.691724414884265E-4</v>
      </c>
      <c r="AF158">
        <f t="shared" si="126"/>
        <v>1.8776670950520001E-3</v>
      </c>
      <c r="AG158">
        <f t="shared" si="141"/>
        <v>5790.8976203376988</v>
      </c>
      <c r="AH158">
        <f t="shared" si="142"/>
        <v>-2287.9558087255896</v>
      </c>
      <c r="AJ158">
        <f t="shared" si="127"/>
        <v>26400</v>
      </c>
      <c r="AK158">
        <f t="shared" si="128"/>
        <v>7898.355992862721</v>
      </c>
      <c r="AL158">
        <v>1</v>
      </c>
      <c r="AM158">
        <f t="shared" si="129"/>
        <v>10.583497850284802</v>
      </c>
      <c r="AN158">
        <f t="shared" si="143"/>
        <v>973.29279109357128</v>
      </c>
      <c r="AO158">
        <f t="shared" si="144"/>
        <v>-2402.4861693737853</v>
      </c>
      <c r="AQ158">
        <f t="shared" si="130"/>
        <v>0.65032190934512579</v>
      </c>
      <c r="AR158">
        <f t="shared" si="131"/>
        <v>-80.639916758795607</v>
      </c>
      <c r="AT158">
        <f t="shared" si="156"/>
        <v>-180734.61836615429</v>
      </c>
      <c r="AU158">
        <f t="shared" si="157"/>
        <v>-468465.40985276725</v>
      </c>
      <c r="AV158">
        <f t="shared" si="145"/>
        <v>-1.9390029419363657</v>
      </c>
      <c r="AW158">
        <f t="shared" si="146"/>
        <v>-186251.98022400145</v>
      </c>
      <c r="AX158">
        <f t="shared" si="147"/>
        <v>-94826.20748672208</v>
      </c>
      <c r="AY158">
        <f t="shared" si="155"/>
        <v>-2.6706688724666501</v>
      </c>
      <c r="BA158">
        <f t="shared" si="132"/>
        <v>2.4024674283033054</v>
      </c>
      <c r="BB158">
        <f t="shared" si="148"/>
        <v>7.6131501677770608</v>
      </c>
      <c r="BC158">
        <f t="shared" si="149"/>
        <v>0.73166593053028439</v>
      </c>
      <c r="BD158">
        <f t="shared" si="133"/>
        <v>-138.07863011920045</v>
      </c>
      <c r="BF158">
        <f t="shared" si="134"/>
        <v>-5.9227784849570044</v>
      </c>
      <c r="BG158">
        <f t="shared" si="135"/>
        <v>-136.2464757231368</v>
      </c>
      <c r="BH158">
        <f t="shared" si="150"/>
        <v>43.753524276863203</v>
      </c>
      <c r="BI158">
        <f t="shared" si="151"/>
        <v>43.753524276863203</v>
      </c>
      <c r="BJ158">
        <f t="shared" si="136"/>
        <v>0</v>
      </c>
      <c r="BK158">
        <f t="shared" si="152"/>
        <v>0</v>
      </c>
      <c r="BM158">
        <f t="shared" si="153"/>
        <v>-13.535928652734064</v>
      </c>
      <c r="BN158">
        <f t="shared" si="137"/>
        <v>-178.16784560393634</v>
      </c>
      <c r="BQ158" s="56">
        <f t="shared" si="154"/>
        <v>24.515110968062199</v>
      </c>
      <c r="BR158" s="59"/>
      <c r="BS158" s="59"/>
      <c r="BT158" s="59">
        <v>3019.9520000000002</v>
      </c>
      <c r="BU158" s="59">
        <v>6.0130600000000003</v>
      </c>
      <c r="BV158" s="59">
        <v>-249.65100000000001</v>
      </c>
      <c r="BW158" s="61"/>
      <c r="BY158" s="59"/>
      <c r="BZ158" s="59"/>
      <c r="CA158" s="59"/>
      <c r="CC158" s="59"/>
    </row>
    <row r="159" spans="1:81" x14ac:dyDescent="0.2">
      <c r="A159">
        <f t="shared" si="106"/>
        <v>62500</v>
      </c>
      <c r="B159">
        <f t="shared" si="138"/>
        <v>62.5</v>
      </c>
      <c r="C159">
        <f t="shared" si="107"/>
        <v>1.0000296207114479</v>
      </c>
      <c r="D159">
        <f t="shared" si="108"/>
        <v>7.6967500038427642E-3</v>
      </c>
      <c r="F159">
        <f t="shared" si="109"/>
        <v>1.3804730023853509E-2</v>
      </c>
      <c r="G159">
        <f t="shared" si="110"/>
        <v>2.4141887813024461E-2</v>
      </c>
      <c r="H159">
        <f t="shared" si="111"/>
        <v>-3.1174507621869756</v>
      </c>
      <c r="J159">
        <f t="shared" si="112"/>
        <v>15</v>
      </c>
      <c r="M159">
        <f t="shared" si="113"/>
        <v>2.0011938045235309E-2</v>
      </c>
      <c r="N159">
        <f t="shared" si="114"/>
        <v>-1.5707963250000001</v>
      </c>
      <c r="O159">
        <f t="shared" si="115"/>
        <v>12.314479551540977</v>
      </c>
      <c r="P159">
        <f t="shared" si="116"/>
        <v>1.4895015942056067</v>
      </c>
      <c r="Q159">
        <f t="shared" si="117"/>
        <v>10.71561156866127</v>
      </c>
      <c r="R159">
        <f t="shared" si="118"/>
        <v>1.4773385521932345</v>
      </c>
      <c r="S159">
        <f t="shared" si="119"/>
        <v>0.95740552594568207</v>
      </c>
      <c r="T159">
        <f t="shared" si="120"/>
        <v>-0.29291752404729698</v>
      </c>
      <c r="U159">
        <f t="shared" si="121"/>
        <v>0.95634716849254808</v>
      </c>
      <c r="V159">
        <f t="shared" si="122"/>
        <v>-0.29656087467889986</v>
      </c>
      <c r="X159">
        <f t="shared" si="139"/>
        <v>-6.0086855830568311</v>
      </c>
      <c r="Y159">
        <f t="shared" si="123"/>
        <v>-131.96298575242972</v>
      </c>
      <c r="Z159">
        <f t="shared" si="140"/>
        <v>48.037014247570283</v>
      </c>
      <c r="AC159">
        <v>1</v>
      </c>
      <c r="AD159">
        <f t="shared" si="124"/>
        <v>12.273809784468751</v>
      </c>
      <c r="AE159">
        <f t="shared" si="125"/>
        <v>-5.7838965909577677E-4</v>
      </c>
      <c r="AF159">
        <f t="shared" si="126"/>
        <v>1.892809571625E-3</v>
      </c>
      <c r="AG159">
        <f t="shared" si="141"/>
        <v>5783.0165799477281</v>
      </c>
      <c r="AH159">
        <f t="shared" si="142"/>
        <v>-2295.4432676981323</v>
      </c>
      <c r="AJ159">
        <f t="shared" si="127"/>
        <v>26400</v>
      </c>
      <c r="AK159">
        <f t="shared" si="128"/>
        <v>7962.052412160001</v>
      </c>
      <c r="AL159">
        <v>1</v>
      </c>
      <c r="AM159">
        <f t="shared" si="129"/>
        <v>10.668848639400002</v>
      </c>
      <c r="AN159">
        <f t="shared" si="143"/>
        <v>969.70677549756806</v>
      </c>
      <c r="AO159">
        <f t="shared" si="144"/>
        <v>-2383.6024002241902</v>
      </c>
      <c r="AQ159">
        <f t="shared" si="130"/>
        <v>0.63995904262127223</v>
      </c>
      <c r="AR159">
        <f t="shared" si="131"/>
        <v>-79.994880327659033</v>
      </c>
      <c r="AT159">
        <f t="shared" si="156"/>
        <v>-179922.81574447639</v>
      </c>
      <c r="AU159">
        <f t="shared" si="157"/>
        <v>-464080.70892177412</v>
      </c>
      <c r="AV159">
        <f t="shared" si="145"/>
        <v>-1.9406521047231997</v>
      </c>
      <c r="AW159">
        <f t="shared" si="146"/>
        <v>-183217.43885583486</v>
      </c>
      <c r="AX159">
        <f t="shared" si="147"/>
        <v>-93782.480468030684</v>
      </c>
      <c r="AY159">
        <f t="shared" si="155"/>
        <v>-2.6684986543427804</v>
      </c>
      <c r="BA159">
        <f t="shared" si="132"/>
        <v>2.4182624630016201</v>
      </c>
      <c r="BB159">
        <f t="shared" si="148"/>
        <v>7.6700686935009266</v>
      </c>
      <c r="BC159">
        <f t="shared" si="149"/>
        <v>0.72784654961958073</v>
      </c>
      <c r="BD159">
        <f t="shared" si="133"/>
        <v>-138.29746452598667</v>
      </c>
      <c r="BF159">
        <f t="shared" si="134"/>
        <v>-6.0072904938806424</v>
      </c>
      <c r="BG159">
        <f t="shared" si="135"/>
        <v>-136.47324495155007</v>
      </c>
      <c r="BH159">
        <f t="shared" si="150"/>
        <v>43.526755048449928</v>
      </c>
      <c r="BI159">
        <f t="shared" si="151"/>
        <v>43.526755048449928</v>
      </c>
      <c r="BJ159">
        <f t="shared" si="136"/>
        <v>0</v>
      </c>
      <c r="BK159">
        <f t="shared" si="152"/>
        <v>0</v>
      </c>
      <c r="BM159">
        <f t="shared" si="153"/>
        <v>-13.677359187381571</v>
      </c>
      <c r="BN159">
        <f t="shared" si="137"/>
        <v>-178.17578042556343</v>
      </c>
      <c r="BQ159" s="56">
        <f t="shared" si="154"/>
        <v>24.572029493786061</v>
      </c>
      <c r="BR159" s="59"/>
      <c r="BS159" s="59"/>
      <c r="BT159" s="59">
        <v>3090.2950000000001</v>
      </c>
      <c r="BU159" s="59">
        <v>5.8544900000000002</v>
      </c>
      <c r="BV159" s="59">
        <v>-248.41800000000001</v>
      </c>
      <c r="BW159" s="61"/>
      <c r="BY159" s="59"/>
      <c r="BZ159" s="59"/>
      <c r="CA159" s="59"/>
      <c r="CC159" s="59"/>
    </row>
    <row r="160" spans="1:81" x14ac:dyDescent="0.2">
      <c r="A160">
        <f t="shared" si="106"/>
        <v>63000</v>
      </c>
      <c r="B160">
        <f t="shared" si="138"/>
        <v>63</v>
      </c>
      <c r="C160">
        <f t="shared" si="107"/>
        <v>1.0000300965313964</v>
      </c>
      <c r="D160">
        <f t="shared" si="108"/>
        <v>7.7583215428842318E-3</v>
      </c>
      <c r="F160">
        <f t="shared" si="109"/>
        <v>1.3583573946275365E-2</v>
      </c>
      <c r="G160">
        <f t="shared" si="110"/>
        <v>2.3945130502941451E-2</v>
      </c>
      <c r="H160">
        <f t="shared" si="111"/>
        <v>-3.1176475194970585</v>
      </c>
      <c r="J160">
        <f t="shared" si="112"/>
        <v>15</v>
      </c>
      <c r="M160">
        <f t="shared" si="113"/>
        <v>1.9853113140114391E-2</v>
      </c>
      <c r="N160">
        <f t="shared" si="114"/>
        <v>-1.5707963250000001</v>
      </c>
      <c r="O160">
        <f t="shared" si="115"/>
        <v>12.412348307284566</v>
      </c>
      <c r="P160">
        <f t="shared" si="116"/>
        <v>1.4901439851192766</v>
      </c>
      <c r="Q160">
        <f t="shared" si="117"/>
        <v>10.800592823927614</v>
      </c>
      <c r="R160">
        <f t="shared" si="118"/>
        <v>1.4780760199277883</v>
      </c>
      <c r="S160">
        <f t="shared" si="119"/>
        <v>0.95676502803208174</v>
      </c>
      <c r="T160">
        <f t="shared" si="120"/>
        <v>-0.29512762783088592</v>
      </c>
      <c r="U160">
        <f t="shared" si="121"/>
        <v>0.95569185206295149</v>
      </c>
      <c r="V160">
        <f t="shared" si="122"/>
        <v>-0.29879515368252807</v>
      </c>
      <c r="X160">
        <f t="shared" si="139"/>
        <v>-6.0925655591159602</v>
      </c>
      <c r="Y160">
        <f t="shared" si="123"/>
        <v>-132.1463156261504</v>
      </c>
      <c r="Z160">
        <f t="shared" si="140"/>
        <v>47.853684373849603</v>
      </c>
      <c r="AC160">
        <v>1</v>
      </c>
      <c r="AD160">
        <f t="shared" si="124"/>
        <v>12.3720002627445</v>
      </c>
      <c r="AE160">
        <f t="shared" si="125"/>
        <v>-5.876809105794913E-4</v>
      </c>
      <c r="AF160">
        <f t="shared" si="126"/>
        <v>1.9079520481979999E-3</v>
      </c>
      <c r="AG160">
        <f t="shared" si="141"/>
        <v>5775.0939186069663</v>
      </c>
      <c r="AH160">
        <f t="shared" si="142"/>
        <v>-2302.9470037881379</v>
      </c>
      <c r="AJ160">
        <f t="shared" si="127"/>
        <v>26400</v>
      </c>
      <c r="AK160">
        <f t="shared" si="128"/>
        <v>8025.7488314572811</v>
      </c>
      <c r="AL160">
        <v>1</v>
      </c>
      <c r="AM160">
        <f t="shared" si="129"/>
        <v>10.7541994285152</v>
      </c>
      <c r="AN160">
        <f t="shared" si="143"/>
        <v>966.20482602332481</v>
      </c>
      <c r="AO160">
        <f t="shared" si="144"/>
        <v>-2365.0105563913876</v>
      </c>
      <c r="AQ160">
        <f t="shared" si="130"/>
        <v>0.62984190968067011</v>
      </c>
      <c r="AR160">
        <f t="shared" si="131"/>
        <v>-79.360080619764446</v>
      </c>
      <c r="AT160">
        <f t="shared" si="156"/>
        <v>-179124.66370139096</v>
      </c>
      <c r="AU160">
        <f t="shared" si="157"/>
        <v>-459762.41150611953</v>
      </c>
      <c r="AV160">
        <f t="shared" si="145"/>
        <v>-1.9423074808455787</v>
      </c>
      <c r="AW160">
        <f t="shared" si="146"/>
        <v>-180254.17985933952</v>
      </c>
      <c r="AX160">
        <f t="shared" si="147"/>
        <v>-92762.681083094329</v>
      </c>
      <c r="AY160">
        <f t="shared" si="155"/>
        <v>-2.6663163627860165</v>
      </c>
      <c r="BA160">
        <f t="shared" si="132"/>
        <v>2.4339845868565377</v>
      </c>
      <c r="BB160">
        <f t="shared" si="148"/>
        <v>7.7263564748870976</v>
      </c>
      <c r="BC160">
        <f t="shared" si="149"/>
        <v>0.72400888194043778</v>
      </c>
      <c r="BD160">
        <f t="shared" si="133"/>
        <v>-138.5173466874266</v>
      </c>
      <c r="BF160">
        <f t="shared" si="134"/>
        <v>-6.091275906592398</v>
      </c>
      <c r="BG160">
        <f t="shared" si="135"/>
        <v>-136.70087268712973</v>
      </c>
      <c r="BH160">
        <f t="shared" si="150"/>
        <v>43.299127312870269</v>
      </c>
      <c r="BI160">
        <f t="shared" si="151"/>
        <v>43.299127312870269</v>
      </c>
      <c r="BJ160">
        <f t="shared" si="136"/>
        <v>0</v>
      </c>
      <c r="BK160">
        <f t="shared" si="152"/>
        <v>0</v>
      </c>
      <c r="BM160">
        <f t="shared" si="153"/>
        <v>-13.817632381479495</v>
      </c>
      <c r="BN160">
        <f t="shared" si="137"/>
        <v>-178.18352599970314</v>
      </c>
      <c r="BQ160" s="56">
        <f t="shared" si="154"/>
        <v>24.628317275172233</v>
      </c>
      <c r="BR160" s="59"/>
      <c r="BS160" s="59"/>
      <c r="BT160" s="59">
        <v>3162.2779999999998</v>
      </c>
      <c r="BU160" s="59">
        <v>5.6099300000000003</v>
      </c>
      <c r="BV160" s="59">
        <v>-248.626</v>
      </c>
      <c r="BW160" s="61"/>
      <c r="BY160" s="59"/>
      <c r="BZ160" s="59"/>
      <c r="CA160" s="59"/>
      <c r="CC160" s="59"/>
    </row>
    <row r="161" spans="1:81" x14ac:dyDescent="0.2">
      <c r="A161">
        <f t="shared" si="106"/>
        <v>63500</v>
      </c>
      <c r="B161">
        <f t="shared" si="138"/>
        <v>63.5</v>
      </c>
      <c r="C161">
        <f t="shared" si="107"/>
        <v>1.0000305761425097</v>
      </c>
      <c r="D161">
        <f t="shared" si="108"/>
        <v>7.819893023100136E-3</v>
      </c>
      <c r="F161">
        <f t="shared" si="109"/>
        <v>1.3367712584146242E-2</v>
      </c>
      <c r="G161">
        <f t="shared" si="110"/>
        <v>2.3751594163654834E-2</v>
      </c>
      <c r="H161">
        <f t="shared" si="111"/>
        <v>-3.1178410558363452</v>
      </c>
      <c r="J161">
        <f t="shared" si="112"/>
        <v>15</v>
      </c>
      <c r="M161">
        <f t="shared" si="113"/>
        <v>1.9696789414601679E-2</v>
      </c>
      <c r="N161">
        <f t="shared" si="114"/>
        <v>-1.5707963250000001</v>
      </c>
      <c r="O161">
        <f t="shared" si="115"/>
        <v>12.510222105039832</v>
      </c>
      <c r="P161">
        <f t="shared" si="116"/>
        <v>1.490776324792159</v>
      </c>
      <c r="Q161">
        <f t="shared" si="117"/>
        <v>10.885579861474135</v>
      </c>
      <c r="R161">
        <f t="shared" si="118"/>
        <v>1.4788019727815882</v>
      </c>
      <c r="S161">
        <f t="shared" si="119"/>
        <v>0.95612072567124851</v>
      </c>
      <c r="T161">
        <f t="shared" si="120"/>
        <v>-0.29733476573796297</v>
      </c>
      <c r="U161">
        <f t="shared" si="121"/>
        <v>0.95503267537902181</v>
      </c>
      <c r="V161">
        <f t="shared" si="122"/>
        <v>-0.30102636167874625</v>
      </c>
      <c r="X161">
        <f t="shared" si="139"/>
        <v>-6.1759073872654007</v>
      </c>
      <c r="Y161">
        <f t="shared" si="123"/>
        <v>-132.33035071498441</v>
      </c>
      <c r="Z161">
        <f t="shared" si="140"/>
        <v>47.669649285015595</v>
      </c>
      <c r="AC161">
        <v>1</v>
      </c>
      <c r="AD161">
        <f t="shared" si="124"/>
        <v>12.47019074102025</v>
      </c>
      <c r="AE161">
        <f t="shared" si="125"/>
        <v>-5.9704619593956996E-4</v>
      </c>
      <c r="AF161">
        <f t="shared" si="126"/>
        <v>1.9230945247710001E-3</v>
      </c>
      <c r="AG161">
        <f t="shared" si="141"/>
        <v>5767.1300662392305</v>
      </c>
      <c r="AH161">
        <f t="shared" si="142"/>
        <v>-2310.4652477058812</v>
      </c>
      <c r="AJ161">
        <f t="shared" si="127"/>
        <v>26400</v>
      </c>
      <c r="AK161">
        <f t="shared" si="128"/>
        <v>8089.4452507545611</v>
      </c>
      <c r="AL161">
        <v>1</v>
      </c>
      <c r="AM161">
        <f t="shared" si="129"/>
        <v>10.839550217630402</v>
      </c>
      <c r="AN161">
        <f t="shared" si="143"/>
        <v>962.7843428071227</v>
      </c>
      <c r="AO161">
        <f t="shared" si="144"/>
        <v>-2346.7039818515291</v>
      </c>
      <c r="AQ161">
        <f t="shared" si="130"/>
        <v>0.61996280223186606</v>
      </c>
      <c r="AR161">
        <f t="shared" si="131"/>
        <v>-78.735275883446988</v>
      </c>
      <c r="AT161">
        <f t="shared" si="156"/>
        <v>-178339.71258053792</v>
      </c>
      <c r="AU161">
        <f t="shared" si="157"/>
        <v>-455508.97933049483</v>
      </c>
      <c r="AV161">
        <f t="shared" si="145"/>
        <v>-1.9439688374522797</v>
      </c>
      <c r="AW161">
        <f t="shared" si="146"/>
        <v>-177360.00270596423</v>
      </c>
      <c r="AX161">
        <f t="shared" si="147"/>
        <v>-91766.021037955812</v>
      </c>
      <c r="AY161">
        <f t="shared" si="155"/>
        <v>-2.664122335908873</v>
      </c>
      <c r="BA161">
        <f t="shared" si="132"/>
        <v>2.4496332907693761</v>
      </c>
      <c r="BB161">
        <f t="shared" si="148"/>
        <v>7.7820215100229317</v>
      </c>
      <c r="BC161">
        <f t="shared" si="149"/>
        <v>0.72015349845659338</v>
      </c>
      <c r="BD161">
        <f t="shared" si="133"/>
        <v>-138.73824388970772</v>
      </c>
      <c r="BF161">
        <f t="shared" si="134"/>
        <v>-6.1747457453563035</v>
      </c>
      <c r="BG161">
        <f t="shared" si="135"/>
        <v>-136.92933091888833</v>
      </c>
      <c r="BH161">
        <f t="shared" si="150"/>
        <v>43.070669081111674</v>
      </c>
      <c r="BI161">
        <f t="shared" si="151"/>
        <v>43.070669081111674</v>
      </c>
      <c r="BJ161">
        <f t="shared" si="136"/>
        <v>0</v>
      </c>
      <c r="BK161">
        <f t="shared" si="152"/>
        <v>0</v>
      </c>
      <c r="BM161">
        <f t="shared" si="153"/>
        <v>-13.956767255379232</v>
      </c>
      <c r="BN161">
        <f t="shared" si="137"/>
        <v>-178.19108702918058</v>
      </c>
      <c r="BQ161" s="56">
        <f t="shared" si="154"/>
        <v>24.683982310308068</v>
      </c>
      <c r="BR161" s="59"/>
      <c r="BS161" s="59"/>
      <c r="BT161" s="59">
        <v>3235.9369999999999</v>
      </c>
      <c r="BU161" s="59">
        <v>5.4320899999999996</v>
      </c>
      <c r="BV161" s="59">
        <v>-248.57499999999999</v>
      </c>
      <c r="BW161" s="61"/>
      <c r="BY161" s="59"/>
      <c r="BZ161" s="59"/>
      <c r="CA161" s="59"/>
      <c r="CC161" s="59"/>
    </row>
    <row r="162" spans="1:81" x14ac:dyDescent="0.2">
      <c r="A162">
        <f t="shared" si="106"/>
        <v>64000</v>
      </c>
      <c r="B162">
        <f t="shared" si="138"/>
        <v>64</v>
      </c>
      <c r="C162">
        <f t="shared" si="107"/>
        <v>1.0000310595447828</v>
      </c>
      <c r="D162">
        <f t="shared" si="108"/>
        <v>7.8814644440237218E-3</v>
      </c>
      <c r="F162">
        <f t="shared" si="109"/>
        <v>1.315697756721575E-2</v>
      </c>
      <c r="G162">
        <f t="shared" si="110"/>
        <v>2.3561199441383955E-2</v>
      </c>
      <c r="H162">
        <f t="shared" si="111"/>
        <v>-3.1180314505586164</v>
      </c>
      <c r="J162">
        <f t="shared" si="112"/>
        <v>15</v>
      </c>
      <c r="M162">
        <f t="shared" si="113"/>
        <v>1.9542908247300105E-2</v>
      </c>
      <c r="N162">
        <f t="shared" si="114"/>
        <v>-1.5707963250000001</v>
      </c>
      <c r="O162">
        <f t="shared" si="115"/>
        <v>12.60810082738683</v>
      </c>
      <c r="P162">
        <f t="shared" si="116"/>
        <v>1.4913988468008004</v>
      </c>
      <c r="Q162">
        <f t="shared" si="117"/>
        <v>10.970572546918007</v>
      </c>
      <c r="R162">
        <f t="shared" si="118"/>
        <v>1.4795166776093038</v>
      </c>
      <c r="S162">
        <f t="shared" si="119"/>
        <v>0.95547264535684662</v>
      </c>
      <c r="T162">
        <f t="shared" si="120"/>
        <v>-0.2995389222741372</v>
      </c>
      <c r="U162">
        <f t="shared" si="121"/>
        <v>0.954369666091754</v>
      </c>
      <c r="V162">
        <f t="shared" si="122"/>
        <v>-0.30325448282558898</v>
      </c>
      <c r="X162">
        <f t="shared" si="139"/>
        <v>-6.2587214568753859</v>
      </c>
      <c r="Y162">
        <f t="shared" si="123"/>
        <v>-132.5150650975576</v>
      </c>
      <c r="Z162">
        <f t="shared" si="140"/>
        <v>47.484934902442404</v>
      </c>
      <c r="AC162">
        <v>1</v>
      </c>
      <c r="AD162">
        <f t="shared" si="124"/>
        <v>12.568381219296</v>
      </c>
      <c r="AE162">
        <f t="shared" si="125"/>
        <v>-6.064855151760131E-4</v>
      </c>
      <c r="AF162">
        <f t="shared" si="126"/>
        <v>1.938237001344E-3</v>
      </c>
      <c r="AG162">
        <f t="shared" si="141"/>
        <v>5759.1254530999686</v>
      </c>
      <c r="AH162">
        <f t="shared" si="142"/>
        <v>-2317.9962843920725</v>
      </c>
      <c r="AJ162">
        <f t="shared" si="127"/>
        <v>26400</v>
      </c>
      <c r="AK162">
        <f t="shared" si="128"/>
        <v>8153.1416700518412</v>
      </c>
      <c r="AL162">
        <v>1</v>
      </c>
      <c r="AM162">
        <f t="shared" si="129"/>
        <v>10.924901006745602</v>
      </c>
      <c r="AN162">
        <f t="shared" si="143"/>
        <v>959.44282543687416</v>
      </c>
      <c r="AO162">
        <f t="shared" si="144"/>
        <v>-2328.67621947831</v>
      </c>
      <c r="AQ162">
        <f t="shared" si="130"/>
        <v>0.61031431187061336</v>
      </c>
      <c r="AR162">
        <f t="shared" si="131"/>
        <v>-78.12023191943851</v>
      </c>
      <c r="AT162">
        <f t="shared" si="156"/>
        <v>-177567.53063722022</v>
      </c>
      <c r="AU162">
        <f t="shared" si="157"/>
        <v>-451318.9223565383</v>
      </c>
      <c r="AV162">
        <f t="shared" si="145"/>
        <v>-1.9456359485544807</v>
      </c>
      <c r="AW162">
        <f t="shared" si="146"/>
        <v>-174532.79088181388</v>
      </c>
      <c r="AX162">
        <f t="shared" si="147"/>
        <v>-90791.745084947863</v>
      </c>
      <c r="AY162">
        <f t="shared" si="155"/>
        <v>-2.6619169030316701</v>
      </c>
      <c r="BA162">
        <f t="shared" si="132"/>
        <v>2.4652080728986894</v>
      </c>
      <c r="BB162">
        <f t="shared" si="148"/>
        <v>7.8370716251903865</v>
      </c>
      <c r="BC162">
        <f t="shared" si="149"/>
        <v>0.71628095447718931</v>
      </c>
      <c r="BD162">
        <f t="shared" si="133"/>
        <v>-138.96012431595992</v>
      </c>
      <c r="BF162">
        <f t="shared" si="134"/>
        <v>-6.2577107338212121</v>
      </c>
      <c r="BG162">
        <f t="shared" si="135"/>
        <v>-137.15859237661908</v>
      </c>
      <c r="BH162">
        <f t="shared" si="150"/>
        <v>42.841407623380917</v>
      </c>
      <c r="BI162">
        <f t="shared" si="151"/>
        <v>42.841407623380917</v>
      </c>
      <c r="BJ162">
        <f t="shared" si="136"/>
        <v>0</v>
      </c>
      <c r="BK162">
        <f t="shared" si="152"/>
        <v>0</v>
      </c>
      <c r="BM162">
        <f t="shared" si="153"/>
        <v>-14.094782359011598</v>
      </c>
      <c r="BN162">
        <f t="shared" si="137"/>
        <v>-178.1984680606592</v>
      </c>
      <c r="BQ162" s="56">
        <f t="shared" si="154"/>
        <v>24.739032425475521</v>
      </c>
      <c r="BR162" s="59"/>
      <c r="BS162" s="59"/>
      <c r="BT162" s="59">
        <v>3311.3110000000001</v>
      </c>
      <c r="BU162" s="59">
        <v>5.2356100000000003</v>
      </c>
      <c r="BV162" s="59">
        <v>-247.75799999999998</v>
      </c>
      <c r="BW162" s="61"/>
      <c r="BY162" s="59"/>
      <c r="BZ162" s="59"/>
      <c r="CA162" s="59"/>
      <c r="CC162" s="59"/>
    </row>
    <row r="163" spans="1:81" x14ac:dyDescent="0.2">
      <c r="A163">
        <f t="shared" si="106"/>
        <v>64500</v>
      </c>
      <c r="B163">
        <f t="shared" si="138"/>
        <v>64.5</v>
      </c>
      <c r="C163">
        <f t="shared" si="107"/>
        <v>1.0000315467382095</v>
      </c>
      <c r="D163">
        <f t="shared" si="108"/>
        <v>7.9430358051882366E-3</v>
      </c>
      <c r="F163">
        <f t="shared" si="109"/>
        <v>1.2951207191619473E-2</v>
      </c>
      <c r="G163">
        <f t="shared" si="110"/>
        <v>2.3373869594641442E-2</v>
      </c>
      <c r="H163">
        <f t="shared" si="111"/>
        <v>-3.1182187804053587</v>
      </c>
      <c r="J163">
        <f t="shared" si="112"/>
        <v>15</v>
      </c>
      <c r="M163">
        <f t="shared" si="113"/>
        <v>1.9391412834530337E-2</v>
      </c>
      <c r="N163">
        <f t="shared" si="114"/>
        <v>-1.5707963250000001</v>
      </c>
      <c r="O163">
        <f t="shared" si="115"/>
        <v>12.705984360517911</v>
      </c>
      <c r="P163">
        <f t="shared" si="116"/>
        <v>1.4920117775550832</v>
      </c>
      <c r="Q163">
        <f t="shared" si="117"/>
        <v>11.055570750000021</v>
      </c>
      <c r="R163">
        <f t="shared" si="118"/>
        <v>1.4802203931057893</v>
      </c>
      <c r="S163">
        <f t="shared" si="119"/>
        <v>0.95482081363801297</v>
      </c>
      <c r="T163">
        <f t="shared" si="120"/>
        <v>-0.30174008210272191</v>
      </c>
      <c r="U163">
        <f t="shared" si="121"/>
        <v>0.95370285190603554</v>
      </c>
      <c r="V163">
        <f t="shared" si="122"/>
        <v>-0.3054795014474907</v>
      </c>
      <c r="X163">
        <f t="shared" si="139"/>
        <v>-6.341017872547722</v>
      </c>
      <c r="Y163">
        <f t="shared" si="123"/>
        <v>-132.7004335995349</v>
      </c>
      <c r="Z163">
        <f t="shared" si="140"/>
        <v>47.299566400465096</v>
      </c>
      <c r="AC163">
        <v>1</v>
      </c>
      <c r="AD163">
        <f t="shared" si="124"/>
        <v>12.666571697571749</v>
      </c>
      <c r="AE163">
        <f t="shared" si="125"/>
        <v>-6.1599886828882049E-4</v>
      </c>
      <c r="AF163">
        <f t="shared" si="126"/>
        <v>1.9533794779170001E-3</v>
      </c>
      <c r="AG163">
        <f t="shared" si="141"/>
        <v>5751.0805097272232</v>
      </c>
      <c r="AH163">
        <f t="shared" si="142"/>
        <v>-2325.5384510714521</v>
      </c>
      <c r="AJ163">
        <f t="shared" si="127"/>
        <v>26400</v>
      </c>
      <c r="AK163">
        <f t="shared" si="128"/>
        <v>8216.8380893491194</v>
      </c>
      <c r="AL163">
        <v>1</v>
      </c>
      <c r="AM163">
        <f t="shared" si="129"/>
        <v>11.010251795860801</v>
      </c>
      <c r="AN163">
        <f t="shared" si="143"/>
        <v>956.17786843448869</v>
      </c>
      <c r="AO163">
        <f t="shared" si="144"/>
        <v>-2310.921003744063</v>
      </c>
      <c r="AQ163">
        <f t="shared" si="130"/>
        <v>0.60088931618795816</v>
      </c>
      <c r="AR163">
        <f t="shared" si="131"/>
        <v>-77.514721788246604</v>
      </c>
      <c r="AT163">
        <f t="shared" si="156"/>
        <v>-176807.70320784164</v>
      </c>
      <c r="AU163">
        <f t="shared" si="157"/>
        <v>-447190.79690294631</v>
      </c>
      <c r="AV163">
        <f t="shared" si="145"/>
        <v>-1.9473085947699937</v>
      </c>
      <c r="AW163">
        <f t="shared" si="146"/>
        <v>-171770.50807903809</v>
      </c>
      <c r="AX163">
        <f t="shared" si="147"/>
        <v>-89839.12936283504</v>
      </c>
      <c r="AY163">
        <f t="shared" si="155"/>
        <v>-2.6597003850272904</v>
      </c>
      <c r="BA163">
        <f t="shared" si="132"/>
        <v>2.480708438662083</v>
      </c>
      <c r="BB163">
        <f t="shared" si="148"/>
        <v>7.8915144799542603</v>
      </c>
      <c r="BC163">
        <f t="shared" si="149"/>
        <v>0.71239179025729671</v>
      </c>
      <c r="BD163">
        <f t="shared" si="133"/>
        <v>-139.18295701184766</v>
      </c>
      <c r="BF163">
        <f t="shared" si="134"/>
        <v>-6.3401813074776578</v>
      </c>
      <c r="BG163">
        <f t="shared" si="135"/>
        <v>-137.38863050297664</v>
      </c>
      <c r="BH163">
        <f t="shared" si="150"/>
        <v>42.611369497023361</v>
      </c>
      <c r="BI163">
        <f t="shared" si="151"/>
        <v>42.611369497023361</v>
      </c>
      <c r="BJ163">
        <f t="shared" si="136"/>
        <v>0</v>
      </c>
      <c r="BK163">
        <f t="shared" si="152"/>
        <v>0</v>
      </c>
      <c r="BM163">
        <f t="shared" si="153"/>
        <v>-14.231695787431917</v>
      </c>
      <c r="BN163">
        <f t="shared" si="137"/>
        <v>-178.20567349112898</v>
      </c>
      <c r="BQ163" s="56">
        <f t="shared" si="154"/>
        <v>24.793475280239395</v>
      </c>
      <c r="BR163" s="59"/>
      <c r="BS163" s="59"/>
      <c r="BT163" s="59">
        <v>3388.442</v>
      </c>
      <c r="BU163" s="59">
        <v>5.0528199999999996</v>
      </c>
      <c r="BV163" s="59">
        <v>-247.756</v>
      </c>
      <c r="BW163" s="61"/>
      <c r="BY163" s="59"/>
      <c r="BZ163" s="59"/>
      <c r="CA163" s="59"/>
      <c r="CC163" s="59"/>
    </row>
    <row r="164" spans="1:81" x14ac:dyDescent="0.2">
      <c r="A164">
        <f t="shared" si="106"/>
        <v>65000</v>
      </c>
      <c r="B164">
        <f t="shared" si="138"/>
        <v>65</v>
      </c>
      <c r="C164">
        <f t="shared" si="107"/>
        <v>1.0000320377227847</v>
      </c>
      <c r="D164">
        <f t="shared" si="108"/>
        <v>8.0046071061269305E-3</v>
      </c>
      <c r="F164">
        <f t="shared" si="109"/>
        <v>1.2750246104425021E-2</v>
      </c>
      <c r="G164">
        <f t="shared" si="110"/>
        <v>2.3189530386637926E-2</v>
      </c>
      <c r="H164">
        <f t="shared" si="111"/>
        <v>-3.1184031196133621</v>
      </c>
      <c r="J164">
        <f t="shared" si="112"/>
        <v>15</v>
      </c>
      <c r="M164">
        <f t="shared" si="113"/>
        <v>1.9242248120418564E-2</v>
      </c>
      <c r="N164">
        <f t="shared" si="114"/>
        <v>-1.5707963250000001</v>
      </c>
      <c r="O164">
        <f t="shared" si="115"/>
        <v>12.803872594100076</v>
      </c>
      <c r="P164">
        <f t="shared" si="116"/>
        <v>1.49261533657043</v>
      </c>
      <c r="Q164">
        <f t="shared" si="117"/>
        <v>11.140574344427945</v>
      </c>
      <c r="R164">
        <f t="shared" si="118"/>
        <v>1.4809133701147483</v>
      </c>
      <c r="S164">
        <f t="shared" si="119"/>
        <v>0.95416525711676647</v>
      </c>
      <c r="T164">
        <f t="shared" si="120"/>
        <v>-0.30393823004485804</v>
      </c>
      <c r="U164">
        <f t="shared" si="121"/>
        <v>0.95303226057790469</v>
      </c>
      <c r="V164">
        <f t="shared" si="122"/>
        <v>-0.30770140203538582</v>
      </c>
      <c r="X164">
        <f t="shared" si="139"/>
        <v>-6.4228064641861735</v>
      </c>
      <c r="Y164">
        <f t="shared" si="123"/>
        <v>-132.8864317665163</v>
      </c>
      <c r="Z164">
        <f t="shared" si="140"/>
        <v>47.113568233483704</v>
      </c>
      <c r="AC164">
        <v>1</v>
      </c>
      <c r="AD164">
        <f t="shared" si="124"/>
        <v>12.764762175847499</v>
      </c>
      <c r="AE164">
        <f t="shared" si="125"/>
        <v>-6.2558625527799213E-4</v>
      </c>
      <c r="AF164">
        <f t="shared" si="126"/>
        <v>1.96852195449E-3</v>
      </c>
      <c r="AG164">
        <f t="shared" si="141"/>
        <v>5742.9956668929244</v>
      </c>
      <c r="AH164">
        <f t="shared" si="142"/>
        <v>-2333.0901353950894</v>
      </c>
      <c r="AJ164">
        <f t="shared" si="127"/>
        <v>26400</v>
      </c>
      <c r="AK164">
        <f t="shared" si="128"/>
        <v>8280.5345086464004</v>
      </c>
      <c r="AL164">
        <v>1</v>
      </c>
      <c r="AM164">
        <f t="shared" si="129"/>
        <v>11.095602584976001</v>
      </c>
      <c r="AN164">
        <f t="shared" si="143"/>
        <v>952.98715697518469</v>
      </c>
      <c r="AO164">
        <f t="shared" si="144"/>
        <v>-2293.4322537363892</v>
      </c>
      <c r="AQ164">
        <f t="shared" si="130"/>
        <v>0.59168096562333594</v>
      </c>
      <c r="AR164">
        <f t="shared" si="131"/>
        <v>-76.918525531033666</v>
      </c>
      <c r="AT164">
        <f t="shared" si="156"/>
        <v>-176059.83192383213</v>
      </c>
      <c r="AU164">
        <f t="shared" si="157"/>
        <v>-443123.20385271602</v>
      </c>
      <c r="AV164">
        <f t="shared" si="145"/>
        <v>-1.9489865630791001</v>
      </c>
      <c r="AW164">
        <f t="shared" si="146"/>
        <v>-169071.19458650734</v>
      </c>
      <c r="AX164">
        <f t="shared" si="147"/>
        <v>-88907.479833292848</v>
      </c>
      <c r="AY164">
        <f t="shared" si="155"/>
        <v>-2.6574730946498173</v>
      </c>
      <c r="BA164">
        <f t="shared" si="132"/>
        <v>2.4961339007406895</v>
      </c>
      <c r="BB164">
        <f t="shared" si="148"/>
        <v>7.9453575720750003</v>
      </c>
      <c r="BC164">
        <f t="shared" si="149"/>
        <v>0.70848653157071717</v>
      </c>
      <c r="BD164">
        <f t="shared" si="133"/>
        <v>-139.40671185275116</v>
      </c>
      <c r="BF164">
        <f t="shared" si="134"/>
        <v>-6.4221676236474732</v>
      </c>
      <c r="BG164">
        <f t="shared" si="135"/>
        <v>-137.61941942682262</v>
      </c>
      <c r="BH164">
        <f t="shared" si="150"/>
        <v>42.380580573177383</v>
      </c>
      <c r="BI164">
        <f t="shared" si="151"/>
        <v>42.380580573177383</v>
      </c>
      <c r="BJ164">
        <f t="shared" si="136"/>
        <v>0</v>
      </c>
      <c r="BK164">
        <f t="shared" si="152"/>
        <v>0</v>
      </c>
      <c r="BM164">
        <f t="shared" si="153"/>
        <v>-14.367525195722475</v>
      </c>
      <c r="BN164">
        <f t="shared" si="137"/>
        <v>-178.21270757407149</v>
      </c>
      <c r="BQ164" s="56">
        <f t="shared" si="154"/>
        <v>24.847318372360139</v>
      </c>
      <c r="BR164" s="59"/>
      <c r="BS164" s="59"/>
      <c r="BT164" s="59">
        <v>3467.3690000000001</v>
      </c>
      <c r="BU164" s="59">
        <v>4.9028999999999998</v>
      </c>
      <c r="BV164" s="59">
        <v>-247.51300000000001</v>
      </c>
      <c r="BW164" s="61"/>
      <c r="BY164" s="59"/>
      <c r="BZ164" s="59"/>
      <c r="CA164" s="59"/>
      <c r="CC164" s="59"/>
    </row>
    <row r="165" spans="1:81" x14ac:dyDescent="0.2">
      <c r="A165">
        <f t="shared" si="106"/>
        <v>65500</v>
      </c>
      <c r="B165">
        <f t="shared" si="138"/>
        <v>65.5</v>
      </c>
      <c r="C165">
        <f t="shared" si="107"/>
        <v>1.0000325324985029</v>
      </c>
      <c r="D165">
        <f t="shared" si="108"/>
        <v>8.0661783463730555E-3</v>
      </c>
      <c r="F165">
        <f t="shared" si="109"/>
        <v>1.2553945005520532E-2</v>
      </c>
      <c r="G165">
        <f t="shared" si="110"/>
        <v>2.3008109983003313E-2</v>
      </c>
      <c r="H165">
        <f t="shared" si="111"/>
        <v>-3.1185845400169967</v>
      </c>
      <c r="J165">
        <f t="shared" si="112"/>
        <v>15</v>
      </c>
      <c r="M165">
        <f t="shared" si="113"/>
        <v>1.9095360730186361E-2</v>
      </c>
      <c r="N165">
        <f t="shared" si="114"/>
        <v>-1.5707963250000001</v>
      </c>
      <c r="O165">
        <f t="shared" si="115"/>
        <v>12.901765421143589</v>
      </c>
      <c r="P165">
        <f t="shared" si="116"/>
        <v>1.493209736727718</v>
      </c>
      <c r="Q165">
        <f t="shared" si="117"/>
        <v>11.225583207726956</v>
      </c>
      <c r="R165">
        <f t="shared" si="118"/>
        <v>1.4815958519235299</v>
      </c>
      <c r="S165">
        <f t="shared" si="119"/>
        <v>0.95350600244543282</v>
      </c>
      <c r="T165">
        <f t="shared" si="120"/>
        <v>-0.30613335107961909</v>
      </c>
      <c r="U165">
        <f t="shared" si="121"/>
        <v>0.9523579199118215</v>
      </c>
      <c r="V165">
        <f t="shared" si="122"/>
        <v>-0.30992016924678972</v>
      </c>
      <c r="X165">
        <f t="shared" si="139"/>
        <v>-6.5040967966230587</v>
      </c>
      <c r="Y165">
        <f t="shared" si="123"/>
        <v>-133.07303583812535</v>
      </c>
      <c r="Z165">
        <f t="shared" si="140"/>
        <v>46.92696416187465</v>
      </c>
      <c r="AC165">
        <v>1</v>
      </c>
      <c r="AD165">
        <f t="shared" si="124"/>
        <v>12.862952654123252</v>
      </c>
      <c r="AE165">
        <f t="shared" si="125"/>
        <v>-6.3524767614352791E-4</v>
      </c>
      <c r="AF165">
        <f t="shared" si="126"/>
        <v>1.983664431063E-3</v>
      </c>
      <c r="AG165">
        <f t="shared" si="141"/>
        <v>5734.8713555545737</v>
      </c>
      <c r="AH165">
        <f t="shared" si="142"/>
        <v>-2340.6497736666156</v>
      </c>
      <c r="AJ165">
        <f t="shared" si="127"/>
        <v>26400</v>
      </c>
      <c r="AK165">
        <f t="shared" si="128"/>
        <v>8344.2309279436795</v>
      </c>
      <c r="AL165">
        <v>1</v>
      </c>
      <c r="AM165">
        <f t="shared" si="129"/>
        <v>11.180953374091201</v>
      </c>
      <c r="AN165">
        <f t="shared" si="143"/>
        <v>949.86846282968349</v>
      </c>
      <c r="AO165">
        <f t="shared" si="144"/>
        <v>-2276.2040664746919</v>
      </c>
      <c r="AQ165">
        <f t="shared" si="130"/>
        <v>0.58268267101736393</v>
      </c>
      <c r="AR165">
        <f t="shared" si="131"/>
        <v>-76.331429903274682</v>
      </c>
      <c r="AT165">
        <f t="shared" si="156"/>
        <v>-175323.53396735352</v>
      </c>
      <c r="AU165">
        <f t="shared" si="157"/>
        <v>-439114.78694284806</v>
      </c>
      <c r="AV165">
        <f t="shared" si="145"/>
        <v>-1.9506696465913718</v>
      </c>
      <c r="AW165">
        <f t="shared" si="146"/>
        <v>-166432.96386798221</v>
      </c>
      <c r="AX165">
        <f t="shared" si="147"/>
        <v>-87996.130807414316</v>
      </c>
      <c r="AY165">
        <f t="shared" si="155"/>
        <v>-2.6552353368478925</v>
      </c>
      <c r="BA165">
        <f t="shared" si="132"/>
        <v>2.5114839790861443</v>
      </c>
      <c r="BB165">
        <f t="shared" si="148"/>
        <v>7.9986082422531926</v>
      </c>
      <c r="BC165">
        <f t="shared" si="149"/>
        <v>0.70456569025652072</v>
      </c>
      <c r="BD165">
        <f t="shared" si="133"/>
        <v>-139.63135951245184</v>
      </c>
      <c r="BF165">
        <f t="shared" si="134"/>
        <v>-6.5036795710309816</v>
      </c>
      <c r="BG165">
        <f t="shared" si="135"/>
        <v>-137.85093393777149</v>
      </c>
      <c r="BH165">
        <f t="shared" si="150"/>
        <v>42.149066062228513</v>
      </c>
      <c r="BI165">
        <f t="shared" si="151"/>
        <v>42.149066062228513</v>
      </c>
      <c r="BJ165">
        <f t="shared" si="136"/>
        <v>0</v>
      </c>
      <c r="BK165">
        <f t="shared" si="152"/>
        <v>0</v>
      </c>
      <c r="BM165">
        <f t="shared" si="153"/>
        <v>-14.502287813284177</v>
      </c>
      <c r="BN165">
        <f t="shared" si="137"/>
        <v>-178.21957442531968</v>
      </c>
      <c r="BQ165" s="56">
        <f t="shared" si="154"/>
        <v>24.900569042538329</v>
      </c>
      <c r="BR165" s="59"/>
      <c r="BS165" s="59"/>
      <c r="BT165" s="59">
        <v>3548.134</v>
      </c>
      <c r="BU165" s="59">
        <v>4.6522600000000001</v>
      </c>
      <c r="BV165" s="59">
        <v>-246.726</v>
      </c>
      <c r="BW165" s="61"/>
      <c r="BY165" s="59"/>
      <c r="BZ165" s="59"/>
      <c r="CA165" s="59"/>
      <c r="CC165" s="59"/>
    </row>
    <row r="166" spans="1:81" x14ac:dyDescent="0.2">
      <c r="A166">
        <f t="shared" ref="A166:A200" si="158">A165+500</f>
        <v>66000</v>
      </c>
      <c r="B166">
        <f t="shared" si="138"/>
        <v>66</v>
      </c>
      <c r="C166">
        <f t="shared" si="107"/>
        <v>1.000033031065358</v>
      </c>
      <c r="D166">
        <f t="shared" si="108"/>
        <v>8.1277495254598649E-3</v>
      </c>
      <c r="F166">
        <f t="shared" si="109"/>
        <v>1.2362160365760707E-2</v>
      </c>
      <c r="G166">
        <f t="shared" si="110"/>
        <v>2.2829538854518532E-2</v>
      </c>
      <c r="H166">
        <f t="shared" si="111"/>
        <v>-3.1187631111454817</v>
      </c>
      <c r="J166">
        <f t="shared" si="112"/>
        <v>15</v>
      </c>
      <c r="M166">
        <f t="shared" si="113"/>
        <v>1.8950698906472829E-2</v>
      </c>
      <c r="N166">
        <f t="shared" si="114"/>
        <v>-1.5707963250000001</v>
      </c>
      <c r="O166">
        <f t="shared" si="115"/>
        <v>12.999662737876465</v>
      </c>
      <c r="P166">
        <f t="shared" si="116"/>
        <v>1.4937951845215487</v>
      </c>
      <c r="Q166">
        <f t="shared" si="117"/>
        <v>11.310597221096765</v>
      </c>
      <c r="R166">
        <f t="shared" si="118"/>
        <v>1.4822680745447772</v>
      </c>
      <c r="S166">
        <f t="shared" si="119"/>
        <v>0.95284307632407783</v>
      </c>
      <c r="T166">
        <f t="shared" si="120"/>
        <v>-0.30832543034409965</v>
      </c>
      <c r="U166">
        <f t="shared" si="121"/>
        <v>0.95167985775795372</v>
      </c>
      <c r="V166">
        <f t="shared" si="122"/>
        <v>-0.31213578790586094</v>
      </c>
      <c r="X166">
        <f t="shared" si="139"/>
        <v>-6.5848981788255081</v>
      </c>
      <c r="Y166">
        <f t="shared" si="123"/>
        <v>-133.26022272322868</v>
      </c>
      <c r="Z166">
        <f t="shared" si="140"/>
        <v>46.739777276771321</v>
      </c>
      <c r="AC166">
        <v>1</v>
      </c>
      <c r="AD166">
        <f t="shared" si="124"/>
        <v>12.961143132399</v>
      </c>
      <c r="AE166">
        <f t="shared" si="125"/>
        <v>-6.4498313088542805E-4</v>
      </c>
      <c r="AF166">
        <f t="shared" si="126"/>
        <v>1.9988069076359999E-3</v>
      </c>
      <c r="AG166">
        <f t="shared" si="141"/>
        <v>5726.7080068072846</v>
      </c>
      <c r="AH166">
        <f t="shared" si="142"/>
        <v>-2348.2158491479267</v>
      </c>
      <c r="AJ166">
        <f t="shared" si="127"/>
        <v>26400</v>
      </c>
      <c r="AK166">
        <f t="shared" si="128"/>
        <v>8407.9273472409604</v>
      </c>
      <c r="AL166">
        <v>1</v>
      </c>
      <c r="AM166">
        <f t="shared" si="129"/>
        <v>11.266304163206401</v>
      </c>
      <c r="AN166">
        <f t="shared" si="143"/>
        <v>946.8196405161641</v>
      </c>
      <c r="AO166">
        <f t="shared" si="144"/>
        <v>-2259.230710511888</v>
      </c>
      <c r="AQ166">
        <f t="shared" si="130"/>
        <v>0.57388809182209466</v>
      </c>
      <c r="AR166">
        <f t="shared" si="131"/>
        <v>-75.753228120516496</v>
      </c>
      <c r="AT166">
        <f t="shared" si="156"/>
        <v>-174598.44136626631</v>
      </c>
      <c r="AU166">
        <f t="shared" si="157"/>
        <v>-435164.23113211448</v>
      </c>
      <c r="AV166">
        <f t="shared" si="145"/>
        <v>-1.95235764432291</v>
      </c>
      <c r="AW166">
        <f t="shared" si="146"/>
        <v>-163853.9993167643</v>
      </c>
      <c r="AX166">
        <f t="shared" si="147"/>
        <v>-87104.443556393962</v>
      </c>
      <c r="AY166">
        <f t="shared" si="155"/>
        <v>-2.652987409063587</v>
      </c>
      <c r="BA166">
        <f t="shared" si="132"/>
        <v>2.5267582009298146</v>
      </c>
      <c r="BB166">
        <f t="shared" si="148"/>
        <v>8.0512736787122492</v>
      </c>
      <c r="BC166">
        <f t="shared" si="149"/>
        <v>0.70062976474067695</v>
      </c>
      <c r="BD166">
        <f t="shared" si="133"/>
        <v>-139.85687143324523</v>
      </c>
      <c r="BF166">
        <f t="shared" si="134"/>
        <v>-6.5847267788352069</v>
      </c>
      <c r="BG166">
        <f t="shared" si="135"/>
        <v>-138.0831494618763</v>
      </c>
      <c r="BH166">
        <f t="shared" si="150"/>
        <v>41.916850538123697</v>
      </c>
      <c r="BI166">
        <f t="shared" si="151"/>
        <v>41.916850538123697</v>
      </c>
      <c r="BJ166">
        <f t="shared" si="136"/>
        <v>0</v>
      </c>
      <c r="BK166">
        <f t="shared" si="152"/>
        <v>0</v>
      </c>
      <c r="BM166">
        <f t="shared" si="153"/>
        <v>-14.636000457547457</v>
      </c>
      <c r="BN166">
        <f t="shared" si="137"/>
        <v>-178.22627802863107</v>
      </c>
      <c r="BQ166" s="56">
        <f t="shared" si="154"/>
        <v>24.953234478997388</v>
      </c>
      <c r="BR166" s="59"/>
      <c r="BS166" s="59"/>
      <c r="BT166" s="59">
        <v>3630.7809999999999</v>
      </c>
      <c r="BU166" s="59">
        <v>4.4950999999999999</v>
      </c>
      <c r="BV166" s="59">
        <v>-246.21199999999999</v>
      </c>
      <c r="BW166" s="61"/>
      <c r="BY166" s="59"/>
      <c r="BZ166" s="59"/>
      <c r="CA166" s="59"/>
      <c r="CC166" s="59"/>
    </row>
    <row r="167" spans="1:81" x14ac:dyDescent="0.2">
      <c r="A167">
        <f t="shared" si="158"/>
        <v>66500</v>
      </c>
      <c r="B167">
        <f t="shared" si="138"/>
        <v>66.5</v>
      </c>
      <c r="C167">
        <f t="shared" si="107"/>
        <v>1.000033533423345</v>
      </c>
      <c r="D167">
        <f t="shared" si="108"/>
        <v>8.1893206429206195E-3</v>
      </c>
      <c r="F167">
        <f t="shared" si="109"/>
        <v>1.2174754160361446E-2</v>
      </c>
      <c r="G167">
        <f t="shared" si="110"/>
        <v>2.2653749684571806E-2</v>
      </c>
      <c r="H167">
        <f t="shared" si="111"/>
        <v>-3.1189389003154284</v>
      </c>
      <c r="J167">
        <f t="shared" si="112"/>
        <v>15</v>
      </c>
      <c r="M167">
        <f t="shared" si="113"/>
        <v>1.8808212448529427E-2</v>
      </c>
      <c r="N167">
        <f t="shared" si="114"/>
        <v>-1.5707963250000001</v>
      </c>
      <c r="O167">
        <f t="shared" si="115"/>
        <v>13.097564443624595</v>
      </c>
      <c r="P167">
        <f t="shared" si="116"/>
        <v>1.4943718802974721</v>
      </c>
      <c r="Q167">
        <f t="shared" si="117"/>
        <v>11.395616269275108</v>
      </c>
      <c r="R167">
        <f t="shared" si="118"/>
        <v>1.4829302669856055</v>
      </c>
      <c r="S167">
        <f t="shared" si="119"/>
        <v>0.9521765054979574</v>
      </c>
      <c r="T167">
        <f t="shared" si="120"/>
        <v>-0.31051445313348558</v>
      </c>
      <c r="U167">
        <f t="shared" si="121"/>
        <v>0.95099810200947754</v>
      </c>
      <c r="V167">
        <f t="shared" si="122"/>
        <v>-0.31434824300344572</v>
      </c>
      <c r="X167">
        <f t="shared" si="139"/>
        <v>-6.6652196727031807</v>
      </c>
      <c r="Y167">
        <f t="shared" si="123"/>
        <v>-133.44796997623007</v>
      </c>
      <c r="Z167">
        <f t="shared" si="140"/>
        <v>46.55203002376993</v>
      </c>
      <c r="AC167">
        <v>1</v>
      </c>
      <c r="AD167">
        <f t="shared" si="124"/>
        <v>13.05933361067475</v>
      </c>
      <c r="AE167">
        <f t="shared" si="125"/>
        <v>-6.5479261950369245E-4</v>
      </c>
      <c r="AF167">
        <f t="shared" si="126"/>
        <v>2.0139493842089998E-3</v>
      </c>
      <c r="AG167">
        <f t="shared" si="141"/>
        <v>5718.5060518362197</v>
      </c>
      <c r="AH167">
        <f t="shared" si="142"/>
        <v>-2355.7868904401407</v>
      </c>
      <c r="AJ167">
        <f t="shared" si="127"/>
        <v>26400</v>
      </c>
      <c r="AK167">
        <f t="shared" si="128"/>
        <v>8471.6237665382396</v>
      </c>
      <c r="AL167">
        <v>1</v>
      </c>
      <c r="AM167">
        <f t="shared" si="129"/>
        <v>11.351654952321601</v>
      </c>
      <c r="AN167">
        <f t="shared" si="143"/>
        <v>943.83862364970764</v>
      </c>
      <c r="AO167">
        <f t="shared" si="144"/>
        <v>-2242.5066198073691</v>
      </c>
      <c r="AQ167">
        <f t="shared" si="130"/>
        <v>0.56529112492933864</v>
      </c>
      <c r="AR167">
        <f t="shared" si="131"/>
        <v>-75.18371961560203</v>
      </c>
      <c r="AT167">
        <f t="shared" si="156"/>
        <v>-173884.20032600476</v>
      </c>
      <c r="AU167">
        <f t="shared" si="157"/>
        <v>-431270.26104276843</v>
      </c>
      <c r="AV167">
        <f t="shared" si="145"/>
        <v>-1.9540503609834627</v>
      </c>
      <c r="AW167">
        <f t="shared" si="146"/>
        <v>-161332.55117653421</v>
      </c>
      <c r="AX167">
        <f t="shared" si="147"/>
        <v>-86231.805000960419</v>
      </c>
      <c r="AY167">
        <f t="shared" si="155"/>
        <v>-2.6507296015175239</v>
      </c>
      <c r="BA167">
        <f t="shared" si="132"/>
        <v>2.5419561007940938</v>
      </c>
      <c r="BB167">
        <f t="shared" si="148"/>
        <v>8.1033609216256366</v>
      </c>
      <c r="BC167">
        <f t="shared" si="149"/>
        <v>0.69667924053406116</v>
      </c>
      <c r="BD167">
        <f t="shared" si="133"/>
        <v>-140.08321979740722</v>
      </c>
      <c r="BF167">
        <f t="shared" si="134"/>
        <v>-6.6653186255050914</v>
      </c>
      <c r="BG167">
        <f t="shared" si="135"/>
        <v>-138.31604203839743</v>
      </c>
      <c r="BH167">
        <f t="shared" si="150"/>
        <v>41.683957961602573</v>
      </c>
      <c r="BI167">
        <f t="shared" si="151"/>
        <v>41.683957961602573</v>
      </c>
      <c r="BJ167">
        <f t="shared" si="136"/>
        <v>0</v>
      </c>
      <c r="BK167">
        <f t="shared" si="152"/>
        <v>0</v>
      </c>
      <c r="BM167">
        <f t="shared" si="153"/>
        <v>-14.768679547130731</v>
      </c>
      <c r="BN167">
        <f t="shared" si="137"/>
        <v>-178.23282224099023</v>
      </c>
      <c r="BQ167" s="56">
        <f t="shared" si="154"/>
        <v>25.005321721910772</v>
      </c>
      <c r="BR167" s="59"/>
      <c r="BS167" s="59"/>
      <c r="BT167" s="59">
        <v>3715.3519999999999</v>
      </c>
      <c r="BU167" s="59">
        <v>4.3437000000000001</v>
      </c>
      <c r="BV167" s="59">
        <v>-245.97</v>
      </c>
      <c r="BW167" s="61"/>
      <c r="BY167" s="59"/>
      <c r="BZ167" s="59"/>
      <c r="CA167" s="59"/>
      <c r="CC167" s="59"/>
    </row>
    <row r="168" spans="1:81" x14ac:dyDescent="0.2">
      <c r="A168">
        <f t="shared" si="158"/>
        <v>67000</v>
      </c>
      <c r="B168">
        <f t="shared" si="138"/>
        <v>67</v>
      </c>
      <c r="C168">
        <f t="shared" si="107"/>
        <v>1.0000340395724574</v>
      </c>
      <c r="D168">
        <f t="shared" si="108"/>
        <v>8.250891698288576E-3</v>
      </c>
      <c r="F168">
        <f t="shared" si="109"/>
        <v>1.1991593616604306E-2</v>
      </c>
      <c r="G168">
        <f t="shared" si="110"/>
        <v>2.2480677281072014E-2</v>
      </c>
      <c r="H168">
        <f t="shared" si="111"/>
        <v>-3.1191119727189283</v>
      </c>
      <c r="J168">
        <f t="shared" si="112"/>
        <v>15</v>
      </c>
      <c r="M168">
        <f t="shared" si="113"/>
        <v>1.8667852654137413E-2</v>
      </c>
      <c r="N168">
        <f t="shared" si="114"/>
        <v>-1.5707963250000001</v>
      </c>
      <c r="O168">
        <f t="shared" si="115"/>
        <v>13.19547044069717</v>
      </c>
      <c r="P168">
        <f t="shared" si="116"/>
        <v>1.4949400184787378</v>
      </c>
      <c r="Q168">
        <f t="shared" si="117"/>
        <v>11.480640240407256</v>
      </c>
      <c r="R168">
        <f t="shared" si="118"/>
        <v>1.4835826515049468</v>
      </c>
      <c r="S168">
        <f t="shared" si="119"/>
        <v>0.95150631675497832</v>
      </c>
      <c r="T168">
        <f t="shared" si="120"/>
        <v>-0.31270040490110779</v>
      </c>
      <c r="U168">
        <f t="shared" si="121"/>
        <v>0.9503126805998926</v>
      </c>
      <c r="V168">
        <f t="shared" si="122"/>
        <v>-0.31655751969710311</v>
      </c>
      <c r="X168">
        <f t="shared" si="139"/>
        <v>-6.7450701015383032</v>
      </c>
      <c r="Y168">
        <f t="shared" si="123"/>
        <v>-133.6362557743856</v>
      </c>
      <c r="Z168">
        <f t="shared" si="140"/>
        <v>46.363744225614397</v>
      </c>
      <c r="AC168">
        <v>1</v>
      </c>
      <c r="AD168">
        <f t="shared" si="124"/>
        <v>13.157524088950499</v>
      </c>
      <c r="AE168">
        <f t="shared" si="125"/>
        <v>-6.6467614199832109E-4</v>
      </c>
      <c r="AF168">
        <f t="shared" si="126"/>
        <v>2.0290918607819997E-3</v>
      </c>
      <c r="AG168">
        <f t="shared" si="141"/>
        <v>5710.2659218694116</v>
      </c>
      <c r="AH168">
        <f t="shared" si="142"/>
        <v>-2363.3614699358654</v>
      </c>
      <c r="AJ168">
        <f t="shared" si="127"/>
        <v>26400</v>
      </c>
      <c r="AK168">
        <f t="shared" si="128"/>
        <v>8535.3201858355205</v>
      </c>
      <c r="AL168">
        <v>1</v>
      </c>
      <c r="AM168">
        <f t="shared" si="129"/>
        <v>11.437005741436801</v>
      </c>
      <c r="AN168">
        <f t="shared" si="143"/>
        <v>940.92342147776526</v>
      </c>
      <c r="AO168">
        <f t="shared" si="144"/>
        <v>-2226.0263878580408</v>
      </c>
      <c r="AQ168">
        <f t="shared" si="130"/>
        <v>0.55688589408030298</v>
      </c>
      <c r="AR168">
        <f t="shared" si="131"/>
        <v>-74.622709806760597</v>
      </c>
      <c r="AT168">
        <f t="shared" si="156"/>
        <v>-173180.47059616671</v>
      </c>
      <c r="AU168">
        <f t="shared" si="157"/>
        <v>-427431.63947231555</v>
      </c>
      <c r="AV168">
        <f t="shared" si="145"/>
        <v>-1.9557476067729096</v>
      </c>
      <c r="AW168">
        <f t="shared" si="146"/>
        <v>-158866.93361875101</v>
      </c>
      <c r="AX168">
        <f t="shared" si="147"/>
        <v>-85377.626474517529</v>
      </c>
      <c r="AY168">
        <f t="shared" si="155"/>
        <v>-2.6484621974809617</v>
      </c>
      <c r="BA168">
        <f t="shared" si="132"/>
        <v>2.557077220505569</v>
      </c>
      <c r="BB168">
        <f t="shared" si="148"/>
        <v>8.1548768673947123</v>
      </c>
      <c r="BC168">
        <f t="shared" si="149"/>
        <v>0.69271459070805208</v>
      </c>
      <c r="BD168">
        <f t="shared" si="133"/>
        <v>-140.31037749994437</v>
      </c>
      <c r="BF168">
        <f t="shared" si="134"/>
        <v>-6.7454642470784059</v>
      </c>
      <c r="BG168">
        <f t="shared" si="135"/>
        <v>-138.54958829759988</v>
      </c>
      <c r="BH168">
        <f t="shared" si="150"/>
        <v>41.450411702400118</v>
      </c>
      <c r="BI168">
        <f t="shared" si="151"/>
        <v>41.450411702400118</v>
      </c>
      <c r="BJ168">
        <f t="shared" si="136"/>
        <v>0</v>
      </c>
      <c r="BK168">
        <f t="shared" si="152"/>
        <v>0</v>
      </c>
      <c r="BM168">
        <f t="shared" si="153"/>
        <v>-14.900341114473118</v>
      </c>
      <c r="BN168">
        <f t="shared" si="137"/>
        <v>-178.23921079765549</v>
      </c>
      <c r="BQ168" s="56">
        <f t="shared" si="154"/>
        <v>25.056837667679851</v>
      </c>
      <c r="BR168" s="59"/>
      <c r="BS168" s="59"/>
      <c r="BT168" s="59">
        <v>3801.8939999999998</v>
      </c>
      <c r="BU168" s="59">
        <v>4.1437400000000002</v>
      </c>
      <c r="BV168" s="59">
        <v>-245.16899999999998</v>
      </c>
      <c r="BW168" s="61"/>
      <c r="BY168" s="59"/>
      <c r="BZ168" s="59"/>
      <c r="CA168" s="59"/>
      <c r="CC168" s="59"/>
    </row>
    <row r="169" spans="1:81" x14ac:dyDescent="0.2">
      <c r="A169">
        <f t="shared" si="158"/>
        <v>67500</v>
      </c>
      <c r="B169">
        <f t="shared" si="138"/>
        <v>67.5</v>
      </c>
      <c r="C169">
        <f t="shared" si="107"/>
        <v>1.0000345495126901</v>
      </c>
      <c r="D169">
        <f t="shared" si="108"/>
        <v>8.3124626910970022E-3</v>
      </c>
      <c r="F169">
        <f t="shared" si="109"/>
        <v>1.1812550974976752E-2</v>
      </c>
      <c r="G169">
        <f t="shared" si="110"/>
        <v>2.2310258492569145E-2</v>
      </c>
      <c r="H169">
        <f t="shared" si="111"/>
        <v>-3.119282391507431</v>
      </c>
      <c r="J169">
        <f t="shared" si="112"/>
        <v>15</v>
      </c>
      <c r="M169">
        <f t="shared" si="113"/>
        <v>1.8529572264106765E-2</v>
      </c>
      <c r="N169">
        <f t="shared" si="114"/>
        <v>-1.5707963250000001</v>
      </c>
      <c r="O169">
        <f t="shared" si="115"/>
        <v>13.293380634277131</v>
      </c>
      <c r="P169">
        <f t="shared" si="116"/>
        <v>1.4954997877831024</v>
      </c>
      <c r="Q169">
        <f t="shared" si="117"/>
        <v>11.565669025921256</v>
      </c>
      <c r="R169">
        <f t="shared" si="118"/>
        <v>1.4842254438596629</v>
      </c>
      <c r="S169">
        <f t="shared" si="119"/>
        <v>0.95083253692317504</v>
      </c>
      <c r="T169">
        <f t="shared" si="120"/>
        <v>-0.31488327125847859</v>
      </c>
      <c r="U169">
        <f t="shared" si="121"/>
        <v>0.94962362150035495</v>
      </c>
      <c r="V169">
        <f t="shared" si="122"/>
        <v>-0.31876360331111292</v>
      </c>
      <c r="X169">
        <f t="shared" si="139"/>
        <v>-6.8244580580571359</v>
      </c>
      <c r="Y169">
        <f t="shared" si="123"/>
        <v>-133.82505889608848</v>
      </c>
      <c r="Z169">
        <f t="shared" si="140"/>
        <v>46.174941103911522</v>
      </c>
      <c r="AC169">
        <v>1</v>
      </c>
      <c r="AD169">
        <f t="shared" si="124"/>
        <v>13.255714567226249</v>
      </c>
      <c r="AE169">
        <f t="shared" si="125"/>
        <v>-6.7463369836931399E-4</v>
      </c>
      <c r="AF169">
        <f t="shared" si="126"/>
        <v>2.0442343373550001E-3</v>
      </c>
      <c r="AG169">
        <f t="shared" si="141"/>
        <v>5701.9880481309792</v>
      </c>
      <c r="AH169">
        <f t="shared" si="142"/>
        <v>-2370.9382023390526</v>
      </c>
      <c r="AJ169">
        <f t="shared" si="127"/>
        <v>26400</v>
      </c>
      <c r="AK169">
        <f t="shared" si="128"/>
        <v>8599.0166051328015</v>
      </c>
      <c r="AL169">
        <v>1</v>
      </c>
      <c r="AM169">
        <f t="shared" si="129"/>
        <v>11.522356530552001</v>
      </c>
      <c r="AN169">
        <f t="shared" si="143"/>
        <v>938.07211559092207</v>
      </c>
      <c r="AO169">
        <f t="shared" si="144"/>
        <v>-2209.7847620749912</v>
      </c>
      <c r="AQ169">
        <f t="shared" si="130"/>
        <v>0.54866673982223202</v>
      </c>
      <c r="AR169">
        <f t="shared" si="131"/>
        <v>-74.070009876001322</v>
      </c>
      <c r="AT169">
        <f t="shared" si="156"/>
        <v>-172486.92486976908</v>
      </c>
      <c r="AU169">
        <f t="shared" si="157"/>
        <v>-423647.16597170045</v>
      </c>
      <c r="AV169">
        <f t="shared" si="145"/>
        <v>-1.9574491971866386</v>
      </c>
      <c r="AW169">
        <f t="shared" si="146"/>
        <v>-156455.52196760924</v>
      </c>
      <c r="AX169">
        <f t="shared" si="147"/>
        <v>-84541.342555312309</v>
      </c>
      <c r="AY169">
        <f t="shared" si="155"/>
        <v>-2.6461854735354926</v>
      </c>
      <c r="BA169">
        <f t="shared" si="132"/>
        <v>2.5721211092098697</v>
      </c>
      <c r="BB169">
        <f t="shared" si="148"/>
        <v>8.205828272782874</v>
      </c>
      <c r="BC169">
        <f t="shared" si="149"/>
        <v>0.68873627634885404</v>
      </c>
      <c r="BD169">
        <f t="shared" si="133"/>
        <v>-140.53831812256317</v>
      </c>
      <c r="BF169">
        <f t="shared" si="134"/>
        <v>-6.825172545183726</v>
      </c>
      <c r="BG169">
        <f t="shared" si="135"/>
        <v>-138.78376543952837</v>
      </c>
      <c r="BH169">
        <f t="shared" si="150"/>
        <v>41.216234560471634</v>
      </c>
      <c r="BI169">
        <f t="shared" si="151"/>
        <v>41.216234560471634</v>
      </c>
      <c r="BJ169">
        <f t="shared" si="136"/>
        <v>0</v>
      </c>
      <c r="BK169">
        <f t="shared" si="152"/>
        <v>0</v>
      </c>
      <c r="BM169">
        <f t="shared" si="153"/>
        <v>-15.0310008179666</v>
      </c>
      <c r="BN169">
        <f t="shared" si="137"/>
        <v>-178.2454473169652</v>
      </c>
      <c r="BQ169" s="56">
        <f t="shared" si="154"/>
        <v>25.107789073068009</v>
      </c>
      <c r="BR169" s="59"/>
      <c r="BS169" s="59"/>
      <c r="BT169" s="59">
        <v>3890.451</v>
      </c>
      <c r="BU169" s="59">
        <v>3.9573</v>
      </c>
      <c r="BV169" s="59">
        <v>-244.768</v>
      </c>
      <c r="BW169" s="61"/>
      <c r="BY169" s="59"/>
      <c r="BZ169" s="59"/>
      <c r="CA169" s="59"/>
      <c r="CC169" s="59"/>
    </row>
    <row r="170" spans="1:81" x14ac:dyDescent="0.2">
      <c r="A170">
        <f t="shared" si="158"/>
        <v>68000</v>
      </c>
      <c r="B170">
        <f t="shared" si="138"/>
        <v>68</v>
      </c>
      <c r="C170">
        <f t="shared" si="107"/>
        <v>1.0000350632440371</v>
      </c>
      <c r="D170">
        <f t="shared" si="108"/>
        <v>8.3740336208791635E-3</v>
      </c>
      <c r="F170">
        <f t="shared" si="109"/>
        <v>1.1637503262933934E-2</v>
      </c>
      <c r="G170">
        <f t="shared" si="110"/>
        <v>2.2142432128347662E-2</v>
      </c>
      <c r="H170">
        <f t="shared" si="111"/>
        <v>-3.1194502178716523</v>
      </c>
      <c r="J170">
        <f t="shared" si="112"/>
        <v>15</v>
      </c>
      <c r="M170">
        <f t="shared" si="113"/>
        <v>1.8393325409223629E-2</v>
      </c>
      <c r="N170">
        <f t="shared" si="114"/>
        <v>-1.5707963250000001</v>
      </c>
      <c r="O170">
        <f t="shared" si="115"/>
        <v>13.391294932316434</v>
      </c>
      <c r="P170">
        <f t="shared" si="116"/>
        <v>1.4960513714302022</v>
      </c>
      <c r="Q170">
        <f t="shared" si="117"/>
        <v>11.650702520408609</v>
      </c>
      <c r="R170">
        <f t="shared" si="118"/>
        <v>1.4848588535399909</v>
      </c>
      <c r="S170">
        <f t="shared" si="119"/>
        <v>0.95015519286819838</v>
      </c>
      <c r="T170">
        <f t="shared" si="120"/>
        <v>-0.31706303797531149</v>
      </c>
      <c r="U170">
        <f t="shared" si="121"/>
        <v>0.94893095271702244</v>
      </c>
      <c r="V170">
        <f t="shared" si="122"/>
        <v>-0.32096647933646488</v>
      </c>
      <c r="X170">
        <f t="shared" si="139"/>
        <v>-6.9033919121614371</v>
      </c>
      <c r="Y170">
        <f t="shared" si="123"/>
        <v>-134.0143587000766</v>
      </c>
      <c r="Z170">
        <f t="shared" si="140"/>
        <v>45.985641299923401</v>
      </c>
      <c r="AC170">
        <v>1</v>
      </c>
      <c r="AD170">
        <f t="shared" si="124"/>
        <v>13.353905045502001</v>
      </c>
      <c r="AE170">
        <f t="shared" si="125"/>
        <v>-6.8466528861667114E-4</v>
      </c>
      <c r="AF170">
        <f t="shared" si="126"/>
        <v>2.059376813928E-3</v>
      </c>
      <c r="AG170">
        <f t="shared" si="141"/>
        <v>5693.6728617947374</v>
      </c>
      <c r="AH170">
        <f t="shared" si="142"/>
        <v>-2378.5157432489455</v>
      </c>
      <c r="AJ170">
        <f t="shared" si="127"/>
        <v>26400</v>
      </c>
      <c r="AK170">
        <f t="shared" si="128"/>
        <v>8662.7130244300806</v>
      </c>
      <c r="AL170">
        <v>1</v>
      </c>
      <c r="AM170">
        <f t="shared" si="129"/>
        <v>11.607707319667202</v>
      </c>
      <c r="AN170">
        <f t="shared" si="143"/>
        <v>935.28285679892144</v>
      </c>
      <c r="AO170">
        <f t="shared" si="144"/>
        <v>-2193.7766383940116</v>
      </c>
      <c r="AQ170">
        <f t="shared" si="130"/>
        <v>0.54062820997999672</v>
      </c>
      <c r="AR170">
        <f t="shared" si="131"/>
        <v>-73.525436557279562</v>
      </c>
      <c r="AT170">
        <f t="shared" si="156"/>
        <v>-171803.2482132572</v>
      </c>
      <c r="AU170">
        <f t="shared" si="157"/>
        <v>-419915.67548647529</v>
      </c>
      <c r="AV170">
        <f t="shared" si="145"/>
        <v>-1.959154952829365</v>
      </c>
      <c r="AW170">
        <f t="shared" si="146"/>
        <v>-154096.75006412485</v>
      </c>
      <c r="AX170">
        <f t="shared" si="147"/>
        <v>-83722.4099632781</v>
      </c>
      <c r="AY170">
        <f t="shared" si="155"/>
        <v>-2.6438996998209774</v>
      </c>
      <c r="BA170">
        <f t="shared" si="132"/>
        <v>2.5870873233880429</v>
      </c>
      <c r="BB170">
        <f t="shared" si="148"/>
        <v>8.2562217589116571</v>
      </c>
      <c r="BC170">
        <f t="shared" si="149"/>
        <v>0.68474474699161236</v>
      </c>
      <c r="BD170">
        <f t="shared" si="133"/>
        <v>-140.76701590879702</v>
      </c>
      <c r="BF170">
        <f t="shared" si="134"/>
        <v>-6.9044521946997879</v>
      </c>
      <c r="BG170">
        <f t="shared" si="135"/>
        <v>-139.01855121371284</v>
      </c>
      <c r="BH170">
        <f t="shared" si="150"/>
        <v>40.98144878628716</v>
      </c>
      <c r="BI170">
        <f t="shared" si="151"/>
        <v>40.98144878628716</v>
      </c>
      <c r="BJ170">
        <f t="shared" si="136"/>
        <v>0</v>
      </c>
      <c r="BK170">
        <f t="shared" si="152"/>
        <v>0</v>
      </c>
      <c r="BM170">
        <f t="shared" si="153"/>
        <v>-15.160673953611445</v>
      </c>
      <c r="BN170">
        <f t="shared" si="137"/>
        <v>-178.25153530491585</v>
      </c>
      <c r="BQ170" s="56">
        <f t="shared" si="154"/>
        <v>25.158182559196792</v>
      </c>
      <c r="BR170" s="59"/>
      <c r="BS170" s="59"/>
      <c r="BT170" s="59">
        <v>3981.0720000000001</v>
      </c>
      <c r="BU170" s="59">
        <v>3.8980899999999998</v>
      </c>
      <c r="BV170" s="59">
        <v>-244.315</v>
      </c>
      <c r="BW170" s="61"/>
      <c r="BY170" s="59"/>
      <c r="BZ170" s="59"/>
      <c r="CA170" s="59"/>
      <c r="CC170" s="59"/>
    </row>
    <row r="171" spans="1:81" x14ac:dyDescent="0.2">
      <c r="A171">
        <f t="shared" si="158"/>
        <v>68500</v>
      </c>
      <c r="B171">
        <f t="shared" si="138"/>
        <v>68.5</v>
      </c>
      <c r="C171">
        <f t="shared" si="107"/>
        <v>1.0000355807664925</v>
      </c>
      <c r="D171">
        <f t="shared" si="108"/>
        <v>8.4356044871683293E-3</v>
      </c>
      <c r="F171">
        <f t="shared" si="109"/>
        <v>1.1466332080522994E-2</v>
      </c>
      <c r="G171">
        <f t="shared" si="110"/>
        <v>2.1977138882273595E-2</v>
      </c>
      <c r="H171">
        <f t="shared" si="111"/>
        <v>-3.1196155111177264</v>
      </c>
      <c r="J171">
        <f t="shared" si="112"/>
        <v>15</v>
      </c>
      <c r="M171">
        <f t="shared" si="113"/>
        <v>1.8259067559521266E-2</v>
      </c>
      <c r="N171">
        <f t="shared" si="114"/>
        <v>-1.5707963250000001</v>
      </c>
      <c r="O171">
        <f t="shared" si="115"/>
        <v>13.489213245435829</v>
      </c>
      <c r="P171">
        <f t="shared" si="116"/>
        <v>1.4965949473399611</v>
      </c>
      <c r="Q171">
        <f t="shared" si="117"/>
        <v>11.735740621510082</v>
      </c>
      <c r="R171">
        <f t="shared" si="118"/>
        <v>1.4854830839948603</v>
      </c>
      <c r="S171">
        <f t="shared" si="119"/>
        <v>0.94947431149082073</v>
      </c>
      <c r="T171">
        <f t="shared" si="120"/>
        <v>-0.3192396909795237</v>
      </c>
      <c r="U171">
        <f t="shared" si="121"/>
        <v>0.94823470228841911</v>
      </c>
      <c r="V171">
        <f t="shared" si="122"/>
        <v>-0.32316613343083062</v>
      </c>
      <c r="X171">
        <f t="shared" si="139"/>
        <v>-6.9818798183368482</v>
      </c>
      <c r="Y171">
        <f t="shared" si="123"/>
        <v>-134.20413510551609</v>
      </c>
      <c r="Z171">
        <f t="shared" si="140"/>
        <v>45.795864894483913</v>
      </c>
      <c r="AC171">
        <v>1</v>
      </c>
      <c r="AD171">
        <f t="shared" si="124"/>
        <v>13.45209552377775</v>
      </c>
      <c r="AE171">
        <f t="shared" si="125"/>
        <v>-6.9477091274039243E-4</v>
      </c>
      <c r="AF171">
        <f t="shared" si="126"/>
        <v>2.0745192905009999E-3</v>
      </c>
      <c r="AG171">
        <f t="shared" si="141"/>
        <v>5685.3207939382364</v>
      </c>
      <c r="AH171">
        <f t="shared" si="142"/>
        <v>-2386.0927878048165</v>
      </c>
      <c r="AJ171">
        <f t="shared" si="127"/>
        <v>26400</v>
      </c>
      <c r="AK171">
        <f t="shared" si="128"/>
        <v>8726.4094437273616</v>
      </c>
      <c r="AL171">
        <v>1</v>
      </c>
      <c r="AM171">
        <f t="shared" si="129"/>
        <v>11.693058108782401</v>
      </c>
      <c r="AN171">
        <f t="shared" si="143"/>
        <v>932.55386216255283</v>
      </c>
      <c r="AO171">
        <f t="shared" si="144"/>
        <v>-2177.9970561088212</v>
      </c>
      <c r="AQ171">
        <f t="shared" si="130"/>
        <v>0.53276505061267976</v>
      </c>
      <c r="AR171">
        <f t="shared" si="131"/>
        <v>-72.988811933937129</v>
      </c>
      <c r="AT171">
        <f t="shared" si="156"/>
        <v>-171129.13752547768</v>
      </c>
      <c r="AU171">
        <f t="shared" si="157"/>
        <v>-416236.03705772146</v>
      </c>
      <c r="AV171">
        <f t="shared" si="145"/>
        <v>-1.9608646992369654</v>
      </c>
      <c r="AW171">
        <f t="shared" si="146"/>
        <v>-151789.10776145884</v>
      </c>
      <c r="AX171">
        <f t="shared" si="147"/>
        <v>-82920.306517505858</v>
      </c>
      <c r="AY171">
        <f t="shared" si="155"/>
        <v>-2.6416051402723135</v>
      </c>
      <c r="BA171">
        <f t="shared" si="132"/>
        <v>2.6019754268742696</v>
      </c>
      <c r="BB171">
        <f t="shared" si="148"/>
        <v>8.3060638151239488</v>
      </c>
      <c r="BC171">
        <f t="shared" si="149"/>
        <v>0.68074044103534814</v>
      </c>
      <c r="BD171">
        <f t="shared" si="133"/>
        <v>-140.99644574023222</v>
      </c>
      <c r="BF171">
        <f t="shared" si="134"/>
        <v>-6.9833116510933815</v>
      </c>
      <c r="BG171">
        <f t="shared" si="135"/>
        <v>-139.25392389975758</v>
      </c>
      <c r="BH171">
        <f t="shared" si="150"/>
        <v>40.746076100242419</v>
      </c>
      <c r="BI171">
        <f t="shared" si="151"/>
        <v>40.746076100242419</v>
      </c>
      <c r="BJ171">
        <f t="shared" si="136"/>
        <v>0</v>
      </c>
      <c r="BK171">
        <f t="shared" si="152"/>
        <v>0</v>
      </c>
      <c r="BM171">
        <f t="shared" si="153"/>
        <v>-15.289375466217329</v>
      </c>
      <c r="BN171">
        <f t="shared" si="137"/>
        <v>-178.25747815952536</v>
      </c>
      <c r="BQ171" s="56">
        <f t="shared" si="154"/>
        <v>25.208024615409084</v>
      </c>
      <c r="BR171" s="59"/>
      <c r="BS171" s="59"/>
      <c r="BT171" s="59">
        <v>4073.8029999999999</v>
      </c>
      <c r="BU171" s="59">
        <v>3.5600999999999998</v>
      </c>
      <c r="BV171" s="59">
        <v>-244.142</v>
      </c>
      <c r="BW171" s="61"/>
      <c r="BY171" s="59"/>
      <c r="BZ171" s="59"/>
      <c r="CA171" s="59"/>
      <c r="CC171" s="59"/>
    </row>
    <row r="172" spans="1:81" x14ac:dyDescent="0.2">
      <c r="A172">
        <f t="shared" si="158"/>
        <v>69000</v>
      </c>
      <c r="B172">
        <f t="shared" si="138"/>
        <v>69</v>
      </c>
      <c r="C172">
        <f t="shared" si="107"/>
        <v>1.0000361020800503</v>
      </c>
      <c r="D172">
        <f t="shared" si="108"/>
        <v>8.4971752894977687E-3</v>
      </c>
      <c r="F172">
        <f t="shared" si="109"/>
        <v>1.1298923397162101E-2</v>
      </c>
      <c r="G172">
        <f t="shared" si="110"/>
        <v>2.1814321260189753E-2</v>
      </c>
      <c r="H172">
        <f t="shared" si="111"/>
        <v>-3.1197783287398106</v>
      </c>
      <c r="J172">
        <f t="shared" si="112"/>
        <v>15</v>
      </c>
      <c r="M172">
        <f t="shared" si="113"/>
        <v>1.8126755475756619E-2</v>
      </c>
      <c r="N172">
        <f t="shared" si="114"/>
        <v>-1.5707963250000001</v>
      </c>
      <c r="O172">
        <f t="shared" si="115"/>
        <v>13.587135486828968</v>
      </c>
      <c r="P172">
        <f t="shared" si="116"/>
        <v>1.4971306883224871</v>
      </c>
      <c r="Q172">
        <f t="shared" si="117"/>
        <v>11.820783229806448</v>
      </c>
      <c r="R172">
        <f t="shared" si="118"/>
        <v>1.4860983328475785</v>
      </c>
      <c r="S172">
        <f t="shared" si="119"/>
        <v>0.94878991972445503</v>
      </c>
      <c r="T172">
        <f t="shared" si="120"/>
        <v>-0.32141321635722264</v>
      </c>
      <c r="U172">
        <f t="shared" si="121"/>
        <v>0.94753489828281612</v>
      </c>
      <c r="V172">
        <f t="shared" si="122"/>
        <v>-0.32536255141851739</v>
      </c>
      <c r="X172">
        <f t="shared" si="139"/>
        <v>-7.0599297227544122</v>
      </c>
      <c r="Y172">
        <f t="shared" si="123"/>
        <v>-134.39436857292034</v>
      </c>
      <c r="Z172">
        <f t="shared" si="140"/>
        <v>45.605631427079658</v>
      </c>
      <c r="AC172">
        <v>1</v>
      </c>
      <c r="AD172">
        <f t="shared" si="124"/>
        <v>13.5502860020535</v>
      </c>
      <c r="AE172">
        <f t="shared" si="125"/>
        <v>-7.0495057074047808E-4</v>
      </c>
      <c r="AF172">
        <f t="shared" si="126"/>
        <v>2.0896617670739998E-3</v>
      </c>
      <c r="AG172">
        <f t="shared" si="141"/>
        <v>5676.9322754971927</v>
      </c>
      <c r="AH172">
        <f t="shared" si="142"/>
        <v>-2393.6680693884064</v>
      </c>
      <c r="AJ172">
        <f t="shared" si="127"/>
        <v>26400</v>
      </c>
      <c r="AK172">
        <f t="shared" si="128"/>
        <v>8790.1058630246407</v>
      </c>
      <c r="AL172">
        <v>1</v>
      </c>
      <c r="AM172">
        <f t="shared" si="129"/>
        <v>11.7784088978976</v>
      </c>
      <c r="AN172">
        <f t="shared" si="143"/>
        <v>929.88341217259631</v>
      </c>
      <c r="AO172">
        <f t="shared" si="144"/>
        <v>-2162.4411929164485</v>
      </c>
      <c r="AQ172">
        <f t="shared" si="130"/>
        <v>0.52507219742714628</v>
      </c>
      <c r="AR172">
        <f t="shared" si="131"/>
        <v>-72.459963244946181</v>
      </c>
      <c r="AT172">
        <f t="shared" si="156"/>
        <v>-170464.3010239448</v>
      </c>
      <c r="AU172">
        <f t="shared" si="157"/>
        <v>-412607.15257968026</v>
      </c>
      <c r="AV172">
        <f t="shared" si="145"/>
        <v>-1.9625782667059262</v>
      </c>
      <c r="AW172">
        <f t="shared" si="146"/>
        <v>-149531.13854408448</v>
      </c>
      <c r="AX172">
        <f t="shared" si="147"/>
        <v>-82134.530150577644</v>
      </c>
      <c r="AY172">
        <f t="shared" si="155"/>
        <v>-2.6393020528455788</v>
      </c>
      <c r="BA172">
        <f t="shared" si="132"/>
        <v>2.6167849908747898</v>
      </c>
      <c r="BB172">
        <f t="shared" si="148"/>
        <v>8.355360802719499</v>
      </c>
      <c r="BC172">
        <f t="shared" si="149"/>
        <v>0.67672378613965267</v>
      </c>
      <c r="BD172">
        <f t="shared" si="133"/>
        <v>-141.2265831137791</v>
      </c>
      <c r="BF172">
        <f t="shared" si="134"/>
        <v>-7.0617591574519158</v>
      </c>
      <c r="BG172">
        <f t="shared" si="135"/>
        <v>-139.48986228877214</v>
      </c>
      <c r="BH172">
        <f t="shared" si="150"/>
        <v>40.510137711227856</v>
      </c>
      <c r="BI172">
        <f t="shared" si="151"/>
        <v>40.510137711227856</v>
      </c>
      <c r="BJ172">
        <f t="shared" si="136"/>
        <v>0</v>
      </c>
      <c r="BK172">
        <f t="shared" si="152"/>
        <v>0</v>
      </c>
      <c r="BM172">
        <f t="shared" si="153"/>
        <v>-15.417119960171416</v>
      </c>
      <c r="BN172">
        <f t="shared" si="137"/>
        <v>-178.26327917499307</v>
      </c>
      <c r="BQ172" s="56">
        <f t="shared" si="154"/>
        <v>25.257321603004634</v>
      </c>
      <c r="BR172" s="59"/>
      <c r="BS172" s="59"/>
      <c r="BT172" s="59">
        <v>4168.6940000000004</v>
      </c>
      <c r="BU172" s="59">
        <v>3.4098799999999998</v>
      </c>
      <c r="BV172" s="59">
        <v>-243.709</v>
      </c>
      <c r="BW172" s="61"/>
      <c r="BY172" s="59"/>
      <c r="BZ172" s="59"/>
      <c r="CA172" s="59"/>
      <c r="CC172" s="59"/>
    </row>
    <row r="173" spans="1:81" x14ac:dyDescent="0.2">
      <c r="A173">
        <f t="shared" si="158"/>
        <v>69500</v>
      </c>
      <c r="B173">
        <f t="shared" si="138"/>
        <v>69.5</v>
      </c>
      <c r="C173">
        <f t="shared" si="107"/>
        <v>1.0000366271847048</v>
      </c>
      <c r="D173">
        <f t="shared" si="108"/>
        <v>8.5587460274007578E-3</v>
      </c>
      <c r="F173">
        <f t="shared" si="109"/>
        <v>1.1135167358913588E-2</v>
      </c>
      <c r="G173">
        <f t="shared" si="110"/>
        <v>2.1653923510666664E-2</v>
      </c>
      <c r="H173">
        <f t="shared" si="111"/>
        <v>-3.1199387264893335</v>
      </c>
      <c r="J173">
        <f t="shared" si="112"/>
        <v>15</v>
      </c>
      <c r="M173">
        <f t="shared" si="113"/>
        <v>1.7996347162981392E-2</v>
      </c>
      <c r="N173">
        <f t="shared" si="114"/>
        <v>-1.5707963250000001</v>
      </c>
      <c r="O173">
        <f t="shared" si="115"/>
        <v>13.685061572170612</v>
      </c>
      <c r="P173">
        <f t="shared" si="116"/>
        <v>1.4976587622598732</v>
      </c>
      <c r="Q173">
        <f t="shared" si="117"/>
        <v>11.905830248713865</v>
      </c>
      <c r="R173">
        <f t="shared" si="118"/>
        <v>1.4867047921023659</v>
      </c>
      <c r="S173">
        <f t="shared" si="119"/>
        <v>0.94810204453268832</v>
      </c>
      <c r="T173">
        <f t="shared" si="120"/>
        <v>-0.32358360035267542</v>
      </c>
      <c r="U173">
        <f t="shared" si="121"/>
        <v>0.94683156879562824</v>
      </c>
      <c r="V173">
        <f t="shared" si="122"/>
        <v>-0.32755571929040456</v>
      </c>
      <c r="X173">
        <f t="shared" si="139"/>
        <v>-7.1375493700805803</v>
      </c>
      <c r="Y173">
        <f t="shared" si="123"/>
        <v>-134.58504008586192</v>
      </c>
      <c r="Z173">
        <f t="shared" si="140"/>
        <v>45.41495991413808</v>
      </c>
      <c r="AC173">
        <v>1</v>
      </c>
      <c r="AD173">
        <f t="shared" si="124"/>
        <v>13.648476480329249</v>
      </c>
      <c r="AE173">
        <f t="shared" si="125"/>
        <v>-7.1520426261692798E-4</v>
      </c>
      <c r="AF173">
        <f t="shared" si="126"/>
        <v>2.1048042436469998E-3</v>
      </c>
      <c r="AG173">
        <f t="shared" si="141"/>
        <v>5668.5077372203605</v>
      </c>
      <c r="AH173">
        <f t="shared" si="142"/>
        <v>-2401.2403583811274</v>
      </c>
      <c r="AJ173">
        <f t="shared" si="127"/>
        <v>26400</v>
      </c>
      <c r="AK173">
        <f t="shared" si="128"/>
        <v>8853.8022823219217</v>
      </c>
      <c r="AL173">
        <v>1</v>
      </c>
      <c r="AM173">
        <f t="shared" si="129"/>
        <v>11.863759687012802</v>
      </c>
      <c r="AN173">
        <f t="shared" si="143"/>
        <v>927.26984806758583</v>
      </c>
      <c r="AO173">
        <f t="shared" si="144"/>
        <v>-2147.1043601647871</v>
      </c>
      <c r="AQ173">
        <f t="shared" si="130"/>
        <v>0.51754476762239932</v>
      </c>
      <c r="AR173">
        <f t="shared" si="131"/>
        <v>-71.938722699513505</v>
      </c>
      <c r="AT173">
        <f t="shared" si="156"/>
        <v>-169808.45775683489</v>
      </c>
      <c r="AU173">
        <f t="shared" si="157"/>
        <v>-409027.95561122615</v>
      </c>
      <c r="AV173">
        <f t="shared" si="145"/>
        <v>-1.9642954901300327</v>
      </c>
      <c r="AW173">
        <f t="shared" si="146"/>
        <v>-147321.43726387009</v>
      </c>
      <c r="AX173">
        <f t="shared" si="147"/>
        <v>-81364.597976257195</v>
      </c>
      <c r="AY173">
        <f t="shared" si="155"/>
        <v>-2.6369906897340845</v>
      </c>
      <c r="BA173">
        <f t="shared" si="132"/>
        <v>2.631515593987849</v>
      </c>
      <c r="BB173">
        <f t="shared" si="148"/>
        <v>8.404118958567409</v>
      </c>
      <c r="BC173">
        <f t="shared" si="149"/>
        <v>0.67269519960405177</v>
      </c>
      <c r="BD173">
        <f t="shared" si="133"/>
        <v>-141.45740411993603</v>
      </c>
      <c r="BF173">
        <f t="shared" si="134"/>
        <v>-7.1398027512260782</v>
      </c>
      <c r="BG173">
        <f t="shared" si="135"/>
        <v>-139.72634566560325</v>
      </c>
      <c r="BH173">
        <f t="shared" si="150"/>
        <v>40.273654334396753</v>
      </c>
      <c r="BI173">
        <f t="shared" si="151"/>
        <v>40.273654334396753</v>
      </c>
      <c r="BJ173">
        <f t="shared" si="136"/>
        <v>0</v>
      </c>
      <c r="BK173">
        <f t="shared" si="152"/>
        <v>0</v>
      </c>
      <c r="BM173">
        <f t="shared" si="153"/>
        <v>-15.543921709793487</v>
      </c>
      <c r="BN173">
        <f t="shared" si="137"/>
        <v>-178.26894154566725</v>
      </c>
      <c r="BQ173" s="56">
        <f t="shared" si="154"/>
        <v>25.306079758852547</v>
      </c>
      <c r="BR173" s="59"/>
      <c r="BS173" s="59"/>
      <c r="BT173" s="59">
        <v>4265.7950000000001</v>
      </c>
      <c r="BU173" s="59">
        <v>3.2244999999999999</v>
      </c>
      <c r="BV173" s="59">
        <v>-243.32400000000001</v>
      </c>
      <c r="BW173" s="61"/>
      <c r="BY173" s="59"/>
      <c r="BZ173" s="59"/>
      <c r="CA173" s="59"/>
      <c r="CC173" s="59"/>
    </row>
    <row r="174" spans="1:81" x14ac:dyDescent="0.2">
      <c r="A174">
        <f t="shared" si="158"/>
        <v>70000</v>
      </c>
      <c r="B174">
        <f t="shared" si="138"/>
        <v>70</v>
      </c>
      <c r="C174">
        <f t="shared" si="107"/>
        <v>1.00003715608045</v>
      </c>
      <c r="D174">
        <f t="shared" si="108"/>
        <v>8.6203167004105779E-3</v>
      </c>
      <c r="F174">
        <f t="shared" si="109"/>
        <v>1.0974958105634536E-2</v>
      </c>
      <c r="G174">
        <f t="shared" si="110"/>
        <v>2.1495891558928313E-2</v>
      </c>
      <c r="H174">
        <f t="shared" si="111"/>
        <v>-3.1200967584410719</v>
      </c>
      <c r="J174">
        <f t="shared" si="112"/>
        <v>15</v>
      </c>
      <c r="M174">
        <f t="shared" si="113"/>
        <v>1.7867801826102953E-2</v>
      </c>
      <c r="N174">
        <f t="shared" si="114"/>
        <v>-1.5707963250000001</v>
      </c>
      <c r="O174">
        <f t="shared" si="115"/>
        <v>13.782991419528727</v>
      </c>
      <c r="P174">
        <f t="shared" si="116"/>
        <v>1.4981793322803081</v>
      </c>
      <c r="Q174">
        <f t="shared" si="117"/>
        <v>11.99088158438369</v>
      </c>
      <c r="R174">
        <f t="shared" si="118"/>
        <v>1.4873026483421863</v>
      </c>
      <c r="S174">
        <f t="shared" si="119"/>
        <v>0.9474107129068321</v>
      </c>
      <c r="T174">
        <f t="shared" si="120"/>
        <v>-0.32575082936826272</v>
      </c>
      <c r="U174">
        <f t="shared" si="121"/>
        <v>0.94612474194682861</v>
      </c>
      <c r="V174">
        <f t="shared" si="122"/>
        <v>-0.3297456232038628</v>
      </c>
      <c r="X174">
        <f t="shared" si="139"/>
        <v>-7.2147463100098737</v>
      </c>
      <c r="Y174">
        <f t="shared" si="123"/>
        <v>-134.77613113344043</v>
      </c>
      <c r="Z174">
        <f t="shared" si="140"/>
        <v>45.22386886655957</v>
      </c>
      <c r="AC174">
        <v>1</v>
      </c>
      <c r="AD174">
        <f t="shared" si="124"/>
        <v>13.746666958605001</v>
      </c>
      <c r="AE174">
        <f t="shared" si="125"/>
        <v>-7.2553198836974224E-4</v>
      </c>
      <c r="AF174">
        <f t="shared" si="126"/>
        <v>2.1199467202199997E-3</v>
      </c>
      <c r="AG174">
        <f t="shared" si="141"/>
        <v>5660.047609624824</v>
      </c>
      <c r="AH174">
        <f t="shared" si="142"/>
        <v>-2408.8084609732869</v>
      </c>
      <c r="AJ174">
        <f t="shared" si="127"/>
        <v>26400</v>
      </c>
      <c r="AK174">
        <f t="shared" si="128"/>
        <v>8917.4987016192008</v>
      </c>
      <c r="AL174">
        <v>1</v>
      </c>
      <c r="AM174">
        <f t="shared" si="129"/>
        <v>11.949110476128002</v>
      </c>
      <c r="AN174">
        <f t="shared" si="143"/>
        <v>924.71156928264736</v>
      </c>
      <c r="AO174">
        <f t="shared" si="144"/>
        <v>-2131.9819982928452</v>
      </c>
      <c r="AQ174">
        <f t="shared" si="130"/>
        <v>0.51017805214019696</v>
      </c>
      <c r="AR174">
        <f t="shared" si="131"/>
        <v>-71.424927299627569</v>
      </c>
      <c r="AT174">
        <f t="shared" si="156"/>
        <v>-169161.33713924562</v>
      </c>
      <c r="AU174">
        <f t="shared" si="157"/>
        <v>-405497.41023848206</v>
      </c>
      <c r="AV174">
        <f t="shared" si="145"/>
        <v>-1.9660162088439344</v>
      </c>
      <c r="AW174">
        <f t="shared" si="146"/>
        <v>-145158.647986578</v>
      </c>
      <c r="AX174">
        <f t="shared" si="147"/>
        <v>-80610.045407271056</v>
      </c>
      <c r="AY174">
        <f t="shared" si="155"/>
        <v>-2.6346712975748239</v>
      </c>
      <c r="BA174">
        <f t="shared" si="132"/>
        <v>2.6461668222245751</v>
      </c>
      <c r="BB174">
        <f t="shared" si="148"/>
        <v>8.452344398600415</v>
      </c>
      <c r="BC174">
        <f t="shared" si="149"/>
        <v>0.66865508873088952</v>
      </c>
      <c r="BD174">
        <f t="shared" si="133"/>
        <v>-141.68888542199761</v>
      </c>
      <c r="BF174">
        <f t="shared" si="134"/>
        <v>-7.2174502706966939</v>
      </c>
      <c r="BG174">
        <f t="shared" si="135"/>
        <v>-139.96335379182878</v>
      </c>
      <c r="BH174">
        <f t="shared" si="150"/>
        <v>40.03664620817122</v>
      </c>
      <c r="BI174">
        <f t="shared" si="151"/>
        <v>40.03664620817122</v>
      </c>
      <c r="BJ174">
        <f t="shared" si="136"/>
        <v>0</v>
      </c>
      <c r="BK174">
        <f t="shared" si="152"/>
        <v>0</v>
      </c>
      <c r="BM174">
        <f t="shared" si="153"/>
        <v>-15.669794669297108</v>
      </c>
      <c r="BN174">
        <f t="shared" si="137"/>
        <v>-178.27446836983117</v>
      </c>
      <c r="BQ174" s="56">
        <f t="shared" si="154"/>
        <v>25.354305198885552</v>
      </c>
      <c r="BR174" s="59"/>
      <c r="BS174" s="59"/>
      <c r="BT174" s="59">
        <v>4365.1580000000004</v>
      </c>
      <c r="BU174" s="59">
        <v>3.07782</v>
      </c>
      <c r="BV174" s="59">
        <v>-242.172</v>
      </c>
      <c r="BW174" s="61"/>
      <c r="BY174" s="59"/>
      <c r="BZ174" s="59"/>
      <c r="CA174" s="59"/>
      <c r="CC174" s="59"/>
    </row>
    <row r="175" spans="1:81" x14ac:dyDescent="0.2">
      <c r="A175">
        <f t="shared" si="158"/>
        <v>70500</v>
      </c>
      <c r="B175">
        <f t="shared" si="138"/>
        <v>70.5</v>
      </c>
      <c r="C175">
        <f t="shared" si="107"/>
        <v>1.0000376887672795</v>
      </c>
      <c r="D175">
        <f t="shared" si="108"/>
        <v>8.6818873080605069E-3</v>
      </c>
      <c r="F175">
        <f t="shared" si="109"/>
        <v>1.081819359742861E-2</v>
      </c>
      <c r="G175">
        <f t="shared" si="110"/>
        <v>2.1340172943783171E-2</v>
      </c>
      <c r="H175">
        <f t="shared" si="111"/>
        <v>-3.120252477056217</v>
      </c>
      <c r="J175">
        <f t="shared" si="112"/>
        <v>15</v>
      </c>
      <c r="M175">
        <f t="shared" si="113"/>
        <v>1.7741079827336265E-2</v>
      </c>
      <c r="N175">
        <f t="shared" si="114"/>
        <v>-1.5707963250000001</v>
      </c>
      <c r="O175">
        <f t="shared" si="115"/>
        <v>13.880924949280297</v>
      </c>
      <c r="P175">
        <f t="shared" si="116"/>
        <v>1.4986925569248684</v>
      </c>
      <c r="Q175">
        <f t="shared" si="117"/>
        <v>12.075937145606504</v>
      </c>
      <c r="R175">
        <f t="shared" si="118"/>
        <v>1.4878920829182982</v>
      </c>
      <c r="S175">
        <f t="shared" si="119"/>
        <v>0.94671595186348867</v>
      </c>
      <c r="T175">
        <f t="shared" si="120"/>
        <v>-0.32791488996441548</v>
      </c>
      <c r="U175">
        <f t="shared" si="121"/>
        <v>0.94541444587838142</v>
      </c>
      <c r="V175">
        <f t="shared" si="122"/>
        <v>-0.33193224948265565</v>
      </c>
      <c r="X175">
        <f t="shared" si="139"/>
        <v>-7.2915279035338543</v>
      </c>
      <c r="Y175">
        <f t="shared" si="123"/>
        <v>-134.9676236934699</v>
      </c>
      <c r="Z175">
        <f t="shared" si="140"/>
        <v>45.032376306530097</v>
      </c>
      <c r="AC175">
        <v>1</v>
      </c>
      <c r="AD175">
        <f t="shared" si="124"/>
        <v>13.844857436880751</v>
      </c>
      <c r="AE175">
        <f t="shared" si="125"/>
        <v>-7.3593374799892065E-4</v>
      </c>
      <c r="AF175">
        <f t="shared" si="126"/>
        <v>2.135089196793E-3</v>
      </c>
      <c r="AG175">
        <f t="shared" si="141"/>
        <v>5651.5523229517057</v>
      </c>
      <c r="AH175">
        <f t="shared" si="142"/>
        <v>-2416.3712180227212</v>
      </c>
      <c r="AJ175">
        <f t="shared" si="127"/>
        <v>26400</v>
      </c>
      <c r="AK175">
        <f t="shared" si="128"/>
        <v>8981.1951209164799</v>
      </c>
      <c r="AL175">
        <v>1</v>
      </c>
      <c r="AM175">
        <f t="shared" si="129"/>
        <v>12.034461265243202</v>
      </c>
      <c r="AN175">
        <f t="shared" si="143"/>
        <v>922.2070310221693</v>
      </c>
      <c r="AO175">
        <f t="shared" si="144"/>
        <v>-2117.0696724547524</v>
      </c>
      <c r="AQ175">
        <f t="shared" si="130"/>
        <v>0.50296750829896386</v>
      </c>
      <c r="AR175">
        <f t="shared" si="131"/>
        <v>-70.918418670153912</v>
      </c>
      <c r="AT175">
        <f t="shared" si="156"/>
        <v>-168522.67851234888</v>
      </c>
      <c r="AU175">
        <f t="shared" si="157"/>
        <v>-402014.50998602418</v>
      </c>
      <c r="AV175">
        <f t="shared" si="145"/>
        <v>-1.9677402664732608</v>
      </c>
      <c r="AW175">
        <f t="shared" si="146"/>
        <v>-143041.46194268682</v>
      </c>
      <c r="AX175">
        <f t="shared" si="147"/>
        <v>-79870.425320137423</v>
      </c>
      <c r="AY175">
        <f t="shared" si="155"/>
        <v>-2.6323441176457889</v>
      </c>
      <c r="BA175">
        <f t="shared" si="132"/>
        <v>2.6607382690305887</v>
      </c>
      <c r="BB175">
        <f t="shared" si="148"/>
        <v>8.5000431211951852</v>
      </c>
      <c r="BC175">
        <f t="shared" si="149"/>
        <v>0.66460385117252807</v>
      </c>
      <c r="BD175">
        <f t="shared" si="133"/>
        <v>-141.92100423616185</v>
      </c>
      <c r="BF175">
        <f t="shared" si="134"/>
        <v>-7.2947093611796205</v>
      </c>
      <c r="BG175">
        <f t="shared" si="135"/>
        <v>-140.20086688947819</v>
      </c>
      <c r="BH175">
        <f t="shared" si="150"/>
        <v>39.799133110521808</v>
      </c>
      <c r="BI175">
        <f t="shared" si="151"/>
        <v>39.799133110521808</v>
      </c>
      <c r="BJ175">
        <f t="shared" si="136"/>
        <v>0</v>
      </c>
      <c r="BK175">
        <f t="shared" si="152"/>
        <v>0</v>
      </c>
      <c r="BM175">
        <f t="shared" si="153"/>
        <v>-15.794752482374808</v>
      </c>
      <c r="BN175">
        <f t="shared" si="137"/>
        <v>-178.27986265331634</v>
      </c>
      <c r="BQ175" s="56">
        <f t="shared" si="154"/>
        <v>25.402003921480322</v>
      </c>
      <c r="BR175" s="59"/>
      <c r="BS175" s="59"/>
      <c r="BT175" s="59">
        <v>4466.8360000000002</v>
      </c>
      <c r="BU175" s="59">
        <v>2.9233199999999999</v>
      </c>
      <c r="BV175" s="59">
        <v>-240.90300000000002</v>
      </c>
      <c r="BW175" s="61"/>
      <c r="BY175" s="59"/>
      <c r="BZ175" s="59"/>
      <c r="CA175" s="59"/>
      <c r="CC175" s="59"/>
    </row>
    <row r="176" spans="1:81" x14ac:dyDescent="0.2">
      <c r="A176">
        <f t="shared" si="158"/>
        <v>71000</v>
      </c>
      <c r="B176">
        <f t="shared" si="138"/>
        <v>71</v>
      </c>
      <c r="C176">
        <f t="shared" si="107"/>
        <v>1.0000382252451878</v>
      </c>
      <c r="D176">
        <f t="shared" si="108"/>
        <v>8.7434578498838279E-3</v>
      </c>
      <c r="F176">
        <f t="shared" si="109"/>
        <v>1.0664775449860723E-2</v>
      </c>
      <c r="G176">
        <f t="shared" si="110"/>
        <v>2.1186716757401289E-2</v>
      </c>
      <c r="H176">
        <f t="shared" si="111"/>
        <v>-3.1204059332425991</v>
      </c>
      <c r="J176">
        <f t="shared" si="112"/>
        <v>15</v>
      </c>
      <c r="M176">
        <f t="shared" si="113"/>
        <v>1.7616142645453615E-2</v>
      </c>
      <c r="N176">
        <f t="shared" si="114"/>
        <v>-1.5707963250000001</v>
      </c>
      <c r="O176">
        <f t="shared" si="115"/>
        <v>13.978862084030661</v>
      </c>
      <c r="P176">
        <f t="shared" si="116"/>
        <v>1.4991985903073497</v>
      </c>
      <c r="Q176">
        <f t="shared" si="117"/>
        <v>12.160996843720138</v>
      </c>
      <c r="R176">
        <f t="shared" si="118"/>
        <v>1.4884732721319258</v>
      </c>
      <c r="S176">
        <f t="shared" si="119"/>
        <v>0.94601778844213147</v>
      </c>
      <c r="T176">
        <f t="shared" si="120"/>
        <v>-0.3300757688595366</v>
      </c>
      <c r="U176">
        <f t="shared" si="121"/>
        <v>0.9447007087516921</v>
      </c>
      <c r="V176">
        <f t="shared" si="122"/>
        <v>-0.33411558461682478</v>
      </c>
      <c r="X176">
        <f t="shared" si="139"/>
        <v>-7.3679013289591486</v>
      </c>
      <c r="Y176">
        <f t="shared" si="123"/>
        <v>-135.1595002163518</v>
      </c>
      <c r="Z176">
        <f t="shared" si="140"/>
        <v>44.840499783648198</v>
      </c>
      <c r="AC176">
        <v>1</v>
      </c>
      <c r="AD176">
        <f t="shared" si="124"/>
        <v>13.9430479151565</v>
      </c>
      <c r="AE176">
        <f t="shared" si="125"/>
        <v>-7.4640954150446352E-4</v>
      </c>
      <c r="AF176">
        <f t="shared" si="126"/>
        <v>2.150231673366E-3</v>
      </c>
      <c r="AG176">
        <f t="shared" si="141"/>
        <v>5643.02230712235</v>
      </c>
      <c r="AH176">
        <f t="shared" si="142"/>
        <v>-2423.9275039604054</v>
      </c>
      <c r="AJ176">
        <f t="shared" si="127"/>
        <v>26400</v>
      </c>
      <c r="AK176">
        <f t="shared" si="128"/>
        <v>9044.8915402137609</v>
      </c>
      <c r="AL176">
        <v>1</v>
      </c>
      <c r="AM176">
        <f t="shared" si="129"/>
        <v>12.119812054358402</v>
      </c>
      <c r="AN176">
        <f t="shared" si="143"/>
        <v>919.7547419494922</v>
      </c>
      <c r="AO176">
        <f t="shared" si="144"/>
        <v>-2102.3630683189976</v>
      </c>
      <c r="AQ176">
        <f t="shared" si="130"/>
        <v>0.49590875278948676</v>
      </c>
      <c r="AR176">
        <f t="shared" si="131"/>
        <v>-70.419042896107115</v>
      </c>
      <c r="AT176">
        <f t="shared" si="156"/>
        <v>-167892.23072415331</v>
      </c>
      <c r="AU176">
        <f t="shared" si="157"/>
        <v>-398578.27677427925</v>
      </c>
      <c r="AV176">
        <f t="shared" si="145"/>
        <v>-1.9694675107909561</v>
      </c>
      <c r="AW176">
        <f t="shared" si="146"/>
        <v>-140968.61557681419</v>
      </c>
      <c r="AX176">
        <f t="shared" si="147"/>
        <v>-79145.307264204166</v>
      </c>
      <c r="AY176">
        <f t="shared" si="155"/>
        <v>-2.6300093860545948</v>
      </c>
      <c r="BA176">
        <f t="shared" si="132"/>
        <v>2.6752295353082776</v>
      </c>
      <c r="BB176">
        <f t="shared" si="148"/>
        <v>8.5472210104430921</v>
      </c>
      <c r="BC176">
        <f t="shared" si="149"/>
        <v>0.66054187526363872</v>
      </c>
      <c r="BD176">
        <f t="shared" si="133"/>
        <v>-142.15373831249099</v>
      </c>
      <c r="BF176">
        <f t="shared" si="134"/>
        <v>-7.3715874809811774</v>
      </c>
      <c r="BG176">
        <f t="shared" si="135"/>
        <v>-140.43886562544438</v>
      </c>
      <c r="BH176">
        <f t="shared" si="150"/>
        <v>39.561134374555621</v>
      </c>
      <c r="BI176">
        <f t="shared" si="151"/>
        <v>39.561134374555621</v>
      </c>
      <c r="BJ176">
        <f t="shared" si="136"/>
        <v>0</v>
      </c>
      <c r="BK176">
        <f t="shared" si="152"/>
        <v>0</v>
      </c>
      <c r="BM176">
        <f t="shared" si="153"/>
        <v>-15.918808491424272</v>
      </c>
      <c r="BN176">
        <f t="shared" si="137"/>
        <v>-178.28512731295339</v>
      </c>
      <c r="BQ176" s="56">
        <f t="shared" si="154"/>
        <v>25.449181810728231</v>
      </c>
      <c r="BR176" s="59"/>
      <c r="BS176" s="59"/>
      <c r="BT176" s="59">
        <v>4570.8819999999996</v>
      </c>
      <c r="BU176" s="59">
        <v>2.7266900000000001</v>
      </c>
      <c r="BV176" s="59">
        <v>-241.25200000000001</v>
      </c>
      <c r="BW176" s="61"/>
      <c r="BY176" s="59"/>
      <c r="BZ176" s="59"/>
      <c r="CA176" s="59"/>
      <c r="CC176" s="59"/>
    </row>
    <row r="177" spans="1:81" x14ac:dyDescent="0.2">
      <c r="A177">
        <f t="shared" si="158"/>
        <v>71500</v>
      </c>
      <c r="B177">
        <f t="shared" si="138"/>
        <v>71.5</v>
      </c>
      <c r="C177">
        <f t="shared" si="107"/>
        <v>1.0000387655141685</v>
      </c>
      <c r="D177">
        <f t="shared" si="108"/>
        <v>8.8050283254138325E-3</v>
      </c>
      <c r="F177">
        <f t="shared" si="109"/>
        <v>1.0514608777430908E-2</v>
      </c>
      <c r="G177">
        <f t="shared" si="110"/>
        <v>2.1035473587787654E-2</v>
      </c>
      <c r="H177">
        <f t="shared" si="111"/>
        <v>-3.1205571764122126</v>
      </c>
      <c r="J177">
        <f t="shared" si="112"/>
        <v>15</v>
      </c>
      <c r="M177">
        <f t="shared" si="113"/>
        <v>1.7492952836744149E-2</v>
      </c>
      <c r="N177">
        <f t="shared" si="114"/>
        <v>-1.5707963250000001</v>
      </c>
      <c r="O177">
        <f t="shared" si="115"/>
        <v>14.076802748536187</v>
      </c>
      <c r="P177">
        <f t="shared" si="116"/>
        <v>1.4996975822674736</v>
      </c>
      <c r="Q177">
        <f t="shared" si="117"/>
        <v>12.246060592521522</v>
      </c>
      <c r="R177">
        <f t="shared" si="118"/>
        <v>1.4890463874084301</v>
      </c>
      <c r="S177">
        <f t="shared" si="119"/>
        <v>0.94531624970270356</v>
      </c>
      <c r="T177">
        <f t="shared" si="120"/>
        <v>-0.3322334529299058</v>
      </c>
      <c r="U177">
        <f t="shared" si="121"/>
        <v>0.94398355874507556</v>
      </c>
      <c r="V177">
        <f t="shared" si="122"/>
        <v>-0.33629561526255736</v>
      </c>
      <c r="X177">
        <f t="shared" si="139"/>
        <v>-7.4438735876865261</v>
      </c>
      <c r="Y177">
        <f t="shared" si="123"/>
        <v>-135.35174360960019</v>
      </c>
      <c r="Z177">
        <f t="shared" si="140"/>
        <v>44.648256390399808</v>
      </c>
      <c r="AC177">
        <v>1</v>
      </c>
      <c r="AD177">
        <f t="shared" si="124"/>
        <v>14.04123839343225</v>
      </c>
      <c r="AE177">
        <f t="shared" si="125"/>
        <v>-7.5695936888637043E-4</v>
      </c>
      <c r="AF177">
        <f t="shared" si="126"/>
        <v>2.1653741499389999E-3</v>
      </c>
      <c r="AG177">
        <f t="shared" si="141"/>
        <v>5634.4579916949069</v>
      </c>
      <c r="AH177">
        <f t="shared" si="142"/>
        <v>-2431.4762257406937</v>
      </c>
      <c r="AJ177">
        <f t="shared" si="127"/>
        <v>26400</v>
      </c>
      <c r="AK177">
        <f t="shared" si="128"/>
        <v>9108.58795951104</v>
      </c>
      <c r="AL177">
        <v>1</v>
      </c>
      <c r="AM177">
        <f t="shared" si="129"/>
        <v>12.205162843473602</v>
      </c>
      <c r="AN177">
        <f t="shared" si="143"/>
        <v>917.35326198723556</v>
      </c>
      <c r="AO177">
        <f t="shared" si="144"/>
        <v>-2087.8579880348711</v>
      </c>
      <c r="AQ177">
        <f t="shared" si="130"/>
        <v>0.48899755501222492</v>
      </c>
      <c r="AR177">
        <f t="shared" si="131"/>
        <v>-69.926650366748163</v>
      </c>
      <c r="AT177">
        <f t="shared" si="156"/>
        <v>-167269.75173067203</v>
      </c>
      <c r="AU177">
        <f t="shared" si="157"/>
        <v>-395187.7599208373</v>
      </c>
      <c r="AV177">
        <f t="shared" si="145"/>
        <v>-1.9711977935795437</v>
      </c>
      <c r="AW177">
        <f t="shared" si="146"/>
        <v>-138938.88869037171</v>
      </c>
      <c r="AX177">
        <f t="shared" si="147"/>
        <v>-78434.276712248946</v>
      </c>
      <c r="AY177">
        <f t="shared" si="155"/>
        <v>-2.6276673339188279</v>
      </c>
      <c r="BA177">
        <f t="shared" si="132"/>
        <v>2.6896402294395525</v>
      </c>
      <c r="BB177">
        <f t="shared" si="148"/>
        <v>8.5938838393153034</v>
      </c>
      <c r="BC177">
        <f t="shared" si="149"/>
        <v>0.65646954033928417</v>
      </c>
      <c r="BD177">
        <f t="shared" si="133"/>
        <v>-142.38706591668682</v>
      </c>
      <c r="BF177">
        <f t="shared" si="134"/>
        <v>-7.4480919071164511</v>
      </c>
      <c r="BG177">
        <f t="shared" si="135"/>
        <v>-140.6773310965547</v>
      </c>
      <c r="BH177">
        <f t="shared" si="150"/>
        <v>39.322668903445305</v>
      </c>
      <c r="BI177">
        <f t="shared" si="151"/>
        <v>39.322668903445305</v>
      </c>
      <c r="BJ177">
        <f t="shared" si="136"/>
        <v>0</v>
      </c>
      <c r="BK177">
        <f t="shared" si="152"/>
        <v>0</v>
      </c>
      <c r="BM177">
        <f t="shared" si="153"/>
        <v>-16.041975746431753</v>
      </c>
      <c r="BN177">
        <f t="shared" si="137"/>
        <v>-178.29026517986784</v>
      </c>
      <c r="BQ177" s="56">
        <f t="shared" si="154"/>
        <v>25.495844639600442</v>
      </c>
      <c r="BR177" s="59"/>
      <c r="BS177" s="59"/>
      <c r="BT177" s="59">
        <v>4677.3509999999997</v>
      </c>
      <c r="BU177" s="59">
        <v>2.54392</v>
      </c>
      <c r="BV177" s="59">
        <v>-240.63800000000001</v>
      </c>
      <c r="BW177" s="61"/>
      <c r="BY177" s="59"/>
      <c r="BZ177" s="59"/>
      <c r="CA177" s="59"/>
      <c r="CC177" s="59"/>
    </row>
    <row r="178" spans="1:81" x14ac:dyDescent="0.2">
      <c r="A178">
        <f t="shared" si="158"/>
        <v>72000</v>
      </c>
      <c r="B178">
        <f t="shared" si="138"/>
        <v>72</v>
      </c>
      <c r="C178">
        <f t="shared" si="107"/>
        <v>1.0000393095742155</v>
      </c>
      <c r="D178">
        <f t="shared" si="108"/>
        <v>8.8665987341838056E-3</v>
      </c>
      <c r="F178">
        <f t="shared" si="109"/>
        <v>1.036760204483627E-2</v>
      </c>
      <c r="G178">
        <f t="shared" si="110"/>
        <v>2.0886395463811307E-2</v>
      </c>
      <c r="H178">
        <f t="shared" si="111"/>
        <v>-3.1207062545361888</v>
      </c>
      <c r="J178">
        <f t="shared" si="112"/>
        <v>15</v>
      </c>
      <c r="M178">
        <f t="shared" si="113"/>
        <v>1.7371473997600095E-2</v>
      </c>
      <c r="N178">
        <f t="shared" si="114"/>
        <v>-1.5707963250000001</v>
      </c>
      <c r="O178">
        <f t="shared" si="115"/>
        <v>14.174746869630154</v>
      </c>
      <c r="P178">
        <f t="shared" si="116"/>
        <v>1.5001896785177855</v>
      </c>
      <c r="Q178">
        <f t="shared" si="117"/>
        <v>12.33112830818215</v>
      </c>
      <c r="R178">
        <f t="shared" si="118"/>
        <v>1.4896115954643365</v>
      </c>
      <c r="S178">
        <f t="shared" si="119"/>
        <v>0.94461136272323254</v>
      </c>
      <c r="T178">
        <f t="shared" si="120"/>
        <v>-0.33438792920956995</v>
      </c>
      <c r="U178">
        <f t="shared" si="121"/>
        <v>0.94326302405124463</v>
      </c>
      <c r="V178">
        <f t="shared" si="122"/>
        <v>-0.33847232824203793</v>
      </c>
      <c r="X178">
        <f t="shared" si="139"/>
        <v>-7.5194515097624599</v>
      </c>
      <c r="Y178">
        <f t="shared" si="123"/>
        <v>-135.54433722299049</v>
      </c>
      <c r="Z178">
        <f t="shared" si="140"/>
        <v>44.455662777009508</v>
      </c>
      <c r="AC178">
        <v>1</v>
      </c>
      <c r="AD178">
        <f t="shared" si="124"/>
        <v>14.139428871707999</v>
      </c>
      <c r="AE178">
        <f t="shared" si="125"/>
        <v>-7.6758323014464169E-4</v>
      </c>
      <c r="AF178">
        <f t="shared" si="126"/>
        <v>2.1805166265119998E-3</v>
      </c>
      <c r="AG178">
        <f t="shared" si="141"/>
        <v>5625.8598058213911</v>
      </c>
      <c r="AH178">
        <f t="shared" si="142"/>
        <v>-2439.0163218340508</v>
      </c>
      <c r="AJ178">
        <f t="shared" si="127"/>
        <v>26400</v>
      </c>
      <c r="AK178">
        <f t="shared" si="128"/>
        <v>9172.284378808321</v>
      </c>
      <c r="AL178">
        <v>1</v>
      </c>
      <c r="AM178">
        <f t="shared" si="129"/>
        <v>12.290513632588802</v>
      </c>
      <c r="AN178">
        <f t="shared" si="143"/>
        <v>915.00120022225735</v>
      </c>
      <c r="AO178">
        <f t="shared" si="144"/>
        <v>-2073.5503463584482</v>
      </c>
      <c r="AQ178">
        <f t="shared" si="130"/>
        <v>0.48222983073732939</v>
      </c>
      <c r="AR178">
        <f t="shared" si="131"/>
        <v>-69.441095626175439</v>
      </c>
      <c r="AT178">
        <f t="shared" si="156"/>
        <v>-166655.00821636783</v>
      </c>
      <c r="AU178">
        <f t="shared" si="157"/>
        <v>-391842.03518354363</v>
      </c>
      <c r="AV178">
        <f t="shared" si="145"/>
        <v>-1.9729309704990301</v>
      </c>
      <c r="AW178">
        <f t="shared" si="146"/>
        <v>-136951.10267240502</v>
      </c>
      <c r="AX178">
        <f t="shared" si="147"/>
        <v>-77736.934350169366</v>
      </c>
      <c r="AY178">
        <f t="shared" si="155"/>
        <v>-2.6253181875385159</v>
      </c>
      <c r="BA178">
        <f t="shared" si="132"/>
        <v>2.7039699673090158</v>
      </c>
      <c r="BB178">
        <f t="shared" si="148"/>
        <v>8.6400372727262518</v>
      </c>
      <c r="BC178">
        <f t="shared" si="149"/>
        <v>0.65238721703948577</v>
      </c>
      <c r="BD178">
        <f t="shared" si="133"/>
        <v>-142.62096581264046</v>
      </c>
      <c r="BF178">
        <f t="shared" si="134"/>
        <v>-7.5242297408016254</v>
      </c>
      <c r="BG178">
        <f t="shared" si="135"/>
        <v>-140.9162448152702</v>
      </c>
      <c r="BH178">
        <f t="shared" si="150"/>
        <v>39.083755184729796</v>
      </c>
      <c r="BI178">
        <f t="shared" si="151"/>
        <v>39.083755184729796</v>
      </c>
      <c r="BJ178">
        <f t="shared" si="136"/>
        <v>0</v>
      </c>
      <c r="BK178">
        <f t="shared" si="152"/>
        <v>0</v>
      </c>
      <c r="BM178">
        <f t="shared" si="153"/>
        <v>-16.164267013527876</v>
      </c>
      <c r="BN178">
        <f t="shared" si="137"/>
        <v>-178.29527900262971</v>
      </c>
      <c r="BQ178" s="56">
        <f t="shared" si="154"/>
        <v>25.541998073011388</v>
      </c>
      <c r="BR178" s="59"/>
      <c r="BS178" s="59"/>
      <c r="BT178" s="59">
        <v>4786.3010000000004</v>
      </c>
      <c r="BU178" s="59">
        <v>2.5307499999999998</v>
      </c>
      <c r="BV178" s="59">
        <v>-240.03100000000001</v>
      </c>
      <c r="BW178" s="61"/>
      <c r="BY178" s="59"/>
      <c r="BZ178" s="59"/>
      <c r="CA178" s="59"/>
      <c r="CC178" s="59"/>
    </row>
    <row r="179" spans="1:81" x14ac:dyDescent="0.2">
      <c r="A179">
        <f t="shared" si="158"/>
        <v>72500</v>
      </c>
      <c r="B179">
        <f t="shared" si="138"/>
        <v>72.5</v>
      </c>
      <c r="C179">
        <f t="shared" si="107"/>
        <v>1.0000398574253226</v>
      </c>
      <c r="D179">
        <f t="shared" si="108"/>
        <v>8.9281690757270424E-3</v>
      </c>
      <c r="F179">
        <f t="shared" si="109"/>
        <v>1.0223666925580013E-2</v>
      </c>
      <c r="G179">
        <f t="shared" si="110"/>
        <v>2.0739435802657816E-2</v>
      </c>
      <c r="H179">
        <f t="shared" si="111"/>
        <v>-3.1208532141973424</v>
      </c>
      <c r="J179">
        <f t="shared" si="112"/>
        <v>15</v>
      </c>
      <c r="M179">
        <f t="shared" si="113"/>
        <v>1.7251670728651126E-2</v>
      </c>
      <c r="N179">
        <f t="shared" si="114"/>
        <v>-1.5707963250000001</v>
      </c>
      <c r="O179">
        <f t="shared" si="115"/>
        <v>14.272694376151678</v>
      </c>
      <c r="P179">
        <f t="shared" si="116"/>
        <v>1.500675020784547</v>
      </c>
      <c r="Q179">
        <f t="shared" si="117"/>
        <v>12.416199909167013</v>
      </c>
      <c r="R179">
        <f t="shared" si="118"/>
        <v>1.4901690584675593</v>
      </c>
      <c r="S179">
        <f t="shared" si="119"/>
        <v>0.94390315459746266</v>
      </c>
      <c r="T179">
        <f t="shared" si="120"/>
        <v>-0.33653918489021639</v>
      </c>
      <c r="U179">
        <f t="shared" si="121"/>
        <v>0.94253913287481517</v>
      </c>
      <c r="V179">
        <f t="shared" si="122"/>
        <v>-0.3406457105432828</v>
      </c>
      <c r="X179">
        <f t="shared" si="139"/>
        <v>-7.5946417592139115</v>
      </c>
      <c r="Y179">
        <f t="shared" si="123"/>
        <v>-135.73726483430033</v>
      </c>
      <c r="Z179">
        <f t="shared" si="140"/>
        <v>44.262735165699667</v>
      </c>
      <c r="AC179">
        <v>1</v>
      </c>
      <c r="AD179">
        <f t="shared" si="124"/>
        <v>14.237619349983751</v>
      </c>
      <c r="AE179">
        <f t="shared" si="125"/>
        <v>-7.782811252792771E-4</v>
      </c>
      <c r="AF179">
        <f t="shared" si="126"/>
        <v>2.1956591030849997E-3</v>
      </c>
      <c r="AG179">
        <f t="shared" si="141"/>
        <v>5617.2281782052014</v>
      </c>
      <c r="AH179">
        <f t="shared" si="142"/>
        <v>-2446.5467612601665</v>
      </c>
      <c r="AJ179">
        <f t="shared" si="127"/>
        <v>26400</v>
      </c>
      <c r="AK179">
        <f t="shared" si="128"/>
        <v>9235.9807981056001</v>
      </c>
      <c r="AL179">
        <v>1</v>
      </c>
      <c r="AM179">
        <f t="shared" si="129"/>
        <v>12.375864421704001</v>
      </c>
      <c r="AN179">
        <f t="shared" si="143"/>
        <v>912.6972129096132</v>
      </c>
      <c r="AO179">
        <f t="shared" si="144"/>
        <v>-2059.4361669308832</v>
      </c>
      <c r="AQ179">
        <f t="shared" si="130"/>
        <v>0.47560163606962808</v>
      </c>
      <c r="AR179">
        <f t="shared" si="131"/>
        <v>-68.962237230096065</v>
      </c>
      <c r="AT179">
        <f t="shared" si="156"/>
        <v>-166047.775232816</v>
      </c>
      <c r="AU179">
        <f t="shared" si="157"/>
        <v>-388540.20384334365</v>
      </c>
      <c r="AV179">
        <f t="shared" si="145"/>
        <v>-1.9746669009601805</v>
      </c>
      <c r="AW179">
        <f t="shared" si="146"/>
        <v>-135004.11881387993</v>
      </c>
      <c r="AX179">
        <f t="shared" si="147"/>
        <v>-77052.895403456001</v>
      </c>
      <c r="AY179">
        <f t="shared" si="155"/>
        <v>-2.6229621685610915</v>
      </c>
      <c r="BA179">
        <f t="shared" si="132"/>
        <v>2.7182183723273972</v>
      </c>
      <c r="BB179">
        <f t="shared" si="148"/>
        <v>8.685686870499131</v>
      </c>
      <c r="BC179">
        <f t="shared" si="149"/>
        <v>0.64829526760091105</v>
      </c>
      <c r="BD179">
        <f t="shared" si="133"/>
        <v>-142.85541724571962</v>
      </c>
      <c r="BF179">
        <f t="shared" si="134"/>
        <v>-7.600007912731277</v>
      </c>
      <c r="BG179">
        <f t="shared" si="135"/>
        <v>-141.15558869598408</v>
      </c>
      <c r="BH179">
        <f t="shared" si="150"/>
        <v>38.844411304015921</v>
      </c>
      <c r="BI179">
        <f t="shared" si="151"/>
        <v>38.844411304015921</v>
      </c>
      <c r="BJ179">
        <f t="shared" si="136"/>
        <v>0</v>
      </c>
      <c r="BK179">
        <f t="shared" si="152"/>
        <v>0</v>
      </c>
      <c r="BM179">
        <f t="shared" si="153"/>
        <v>-16.285694783230408</v>
      </c>
      <c r="BN179">
        <f t="shared" si="137"/>
        <v>-178.30017145026449</v>
      </c>
      <c r="BQ179" s="56">
        <f t="shared" si="154"/>
        <v>25.587647670784271</v>
      </c>
      <c r="BR179" s="59"/>
      <c r="BS179" s="59"/>
      <c r="BT179" s="59">
        <v>4897.7879999999996</v>
      </c>
      <c r="BU179" s="59">
        <v>2.1795599999999999</v>
      </c>
      <c r="BV179" s="59">
        <v>-239.48099999999999</v>
      </c>
      <c r="BW179" s="61"/>
      <c r="BY179" s="59"/>
      <c r="BZ179" s="59"/>
      <c r="CA179" s="59"/>
      <c r="CC179" s="59"/>
    </row>
    <row r="180" spans="1:81" x14ac:dyDescent="0.2">
      <c r="A180">
        <f t="shared" si="158"/>
        <v>73000</v>
      </c>
      <c r="B180">
        <f t="shared" si="138"/>
        <v>73</v>
      </c>
      <c r="C180">
        <f t="shared" si="107"/>
        <v>1.0000404090674837</v>
      </c>
      <c r="D180">
        <f t="shared" si="108"/>
        <v>8.989739349576838E-3</v>
      </c>
      <c r="F180">
        <f t="shared" si="109"/>
        <v>1.0082718167514397E-2</v>
      </c>
      <c r="G180">
        <f t="shared" si="110"/>
        <v>2.0594549359580591E-2</v>
      </c>
      <c r="H180">
        <f t="shared" si="111"/>
        <v>-3.1209981006404197</v>
      </c>
      <c r="J180">
        <f t="shared" si="112"/>
        <v>15</v>
      </c>
      <c r="M180">
        <f t="shared" si="113"/>
        <v>1.7133508600372695E-2</v>
      </c>
      <c r="N180">
        <f t="shared" si="114"/>
        <v>-1.5707963250000001</v>
      </c>
      <c r="O180">
        <f t="shared" si="115"/>
        <v>14.370645198877526</v>
      </c>
      <c r="P180">
        <f t="shared" si="116"/>
        <v>1.5011537469429035</v>
      </c>
      <c r="Q180">
        <f t="shared" si="117"/>
        <v>12.501275316156821</v>
      </c>
      <c r="R180">
        <f t="shared" si="118"/>
        <v>1.4907189341911422</v>
      </c>
      <c r="S180">
        <f t="shared" si="119"/>
        <v>0.94319165243250358</v>
      </c>
      <c r="T180">
        <f t="shared" si="120"/>
        <v>-0.33868720732103208</v>
      </c>
      <c r="U180">
        <f t="shared" si="121"/>
        <v>0.94181191342983173</v>
      </c>
      <c r="V180">
        <f t="shared" si="122"/>
        <v>-0.34281574931995851</v>
      </c>
      <c r="X180">
        <f t="shared" si="139"/>
        <v>-7.6694508391764638</v>
      </c>
      <c r="Y180">
        <f t="shared" si="123"/>
        <v>-135.93051063561717</v>
      </c>
      <c r="Z180">
        <f t="shared" si="140"/>
        <v>44.069489364382832</v>
      </c>
      <c r="AC180">
        <v>1</v>
      </c>
      <c r="AD180">
        <f t="shared" si="124"/>
        <v>14.335809828259501</v>
      </c>
      <c r="AE180">
        <f t="shared" si="125"/>
        <v>-7.8905305429027687E-4</v>
      </c>
      <c r="AF180">
        <f t="shared" si="126"/>
        <v>2.2108015796580001E-3</v>
      </c>
      <c r="AG180">
        <f t="shared" si="141"/>
        <v>5608.5635370590571</v>
      </c>
      <c r="AH180">
        <f t="shared" si="142"/>
        <v>-2454.0665426595265</v>
      </c>
      <c r="AJ180">
        <f t="shared" si="127"/>
        <v>26400</v>
      </c>
      <c r="AK180">
        <f t="shared" si="128"/>
        <v>9299.6772174028811</v>
      </c>
      <c r="AL180">
        <v>1</v>
      </c>
      <c r="AM180">
        <f t="shared" si="129"/>
        <v>12.461215210819201</v>
      </c>
      <c r="AN180">
        <f t="shared" si="143"/>
        <v>910.44000157021424</v>
      </c>
      <c r="AO180">
        <f t="shared" si="144"/>
        <v>-2045.5115787021302</v>
      </c>
      <c r="AQ180">
        <f t="shared" si="130"/>
        <v>0.46910916170192801</v>
      </c>
      <c r="AR180">
        <f t="shared" si="131"/>
        <v>-68.489937608481497</v>
      </c>
      <c r="AT180">
        <f t="shared" si="156"/>
        <v>-165447.8358545911</v>
      </c>
      <c r="AU180">
        <f t="shared" si="157"/>
        <v>-385281.39182496688</v>
      </c>
      <c r="AV180">
        <f t="shared" si="145"/>
        <v>-1.9764054480029132</v>
      </c>
      <c r="AW180">
        <f t="shared" si="146"/>
        <v>-133096.83670095765</v>
      </c>
      <c r="AX180">
        <f t="shared" si="147"/>
        <v>-76381.788998291231</v>
      </c>
      <c r="AY180">
        <f t="shared" si="155"/>
        <v>-2.6205994941392037</v>
      </c>
      <c r="BA180">
        <f t="shared" si="132"/>
        <v>2.7323850754551504</v>
      </c>
      <c r="BB180">
        <f t="shared" si="148"/>
        <v>8.7308380902369453</v>
      </c>
      <c r="BC180">
        <f t="shared" si="149"/>
        <v>0.6441940461362905</v>
      </c>
      <c r="BD180">
        <f t="shared" si="133"/>
        <v>-143.09039992675935</v>
      </c>
      <c r="BF180">
        <f t="shared" si="134"/>
        <v>-7.6754331881507358</v>
      </c>
      <c r="BG180">
        <f t="shared" si="135"/>
        <v>-141.3953450418912</v>
      </c>
      <c r="BH180">
        <f t="shared" si="150"/>
        <v>38.604654958108796</v>
      </c>
      <c r="BI180">
        <f t="shared" si="151"/>
        <v>38.604654958108796</v>
      </c>
      <c r="BJ180">
        <f t="shared" si="136"/>
        <v>0</v>
      </c>
      <c r="BK180">
        <f t="shared" si="152"/>
        <v>0</v>
      </c>
      <c r="BM180">
        <f t="shared" si="153"/>
        <v>-16.406271278387681</v>
      </c>
      <c r="BN180">
        <f t="shared" si="137"/>
        <v>-178.30494511513186</v>
      </c>
      <c r="BQ180" s="56">
        <f t="shared" si="154"/>
        <v>25.632798890522082</v>
      </c>
      <c r="BR180" s="59"/>
      <c r="BS180" s="59"/>
      <c r="BT180" s="59">
        <v>5011.8720000000003</v>
      </c>
      <c r="BU180" s="59">
        <v>2.08934</v>
      </c>
      <c r="BV180" s="59">
        <v>-238.50700000000001</v>
      </c>
      <c r="BW180" s="61"/>
      <c r="BY180" s="59"/>
      <c r="BZ180" s="59"/>
      <c r="CA180" s="59"/>
      <c r="CC180" s="59"/>
    </row>
    <row r="181" spans="1:81" x14ac:dyDescent="0.2">
      <c r="A181">
        <f t="shared" si="158"/>
        <v>73500</v>
      </c>
      <c r="B181">
        <f t="shared" si="138"/>
        <v>73.5</v>
      </c>
      <c r="C181">
        <f t="shared" si="107"/>
        <v>1.0000409645006925</v>
      </c>
      <c r="D181">
        <f t="shared" si="108"/>
        <v>9.0513095552664929E-3</v>
      </c>
      <c r="F181">
        <f t="shared" si="109"/>
        <v>9.9446734649307061E-3</v>
      </c>
      <c r="G181">
        <f t="shared" si="110"/>
        <v>2.0451692179833978E-2</v>
      </c>
      <c r="H181">
        <f t="shared" si="111"/>
        <v>-3.1211409578201663</v>
      </c>
      <c r="J181">
        <f t="shared" si="112"/>
        <v>15</v>
      </c>
      <c r="M181">
        <f t="shared" si="113"/>
        <v>1.701695412009805E-2</v>
      </c>
      <c r="N181">
        <f t="shared" si="114"/>
        <v>-1.5707963250000001</v>
      </c>
      <c r="O181">
        <f t="shared" si="115"/>
        <v>14.468599270456686</v>
      </c>
      <c r="P181">
        <f t="shared" si="116"/>
        <v>1.5016259911465994</v>
      </c>
      <c r="Q181">
        <f t="shared" si="117"/>
        <v>12.586354451973373</v>
      </c>
      <c r="R181">
        <f t="shared" si="118"/>
        <v>1.4912613761608176</v>
      </c>
      <c r="S181">
        <f t="shared" si="119"/>
        <v>0.94247688334649649</v>
      </c>
      <c r="T181">
        <f t="shared" si="120"/>
        <v>-0.34083198400854681</v>
      </c>
      <c r="U181">
        <f t="shared" si="121"/>
        <v>0.94108139393731371</v>
      </c>
      <c r="V181">
        <f t="shared" si="122"/>
        <v>-0.34498243189118422</v>
      </c>
      <c r="X181">
        <f t="shared" si="139"/>
        <v>-7.7438850968254336</v>
      </c>
      <c r="Y181">
        <f t="shared" si="123"/>
        <v>-136.12405922018516</v>
      </c>
      <c r="Z181">
        <f t="shared" si="140"/>
        <v>43.87594077981484</v>
      </c>
      <c r="AC181">
        <v>1</v>
      </c>
      <c r="AD181">
        <f t="shared" si="124"/>
        <v>14.43400030653525</v>
      </c>
      <c r="AE181">
        <f t="shared" si="125"/>
        <v>-7.9989901717764079E-4</v>
      </c>
      <c r="AF181">
        <f t="shared" si="126"/>
        <v>2.225944056231E-3</v>
      </c>
      <c r="AG181">
        <f t="shared" si="141"/>
        <v>5599.8663100634503</v>
      </c>
      <c r="AH181">
        <f t="shared" si="142"/>
        <v>-2461.5746934015992</v>
      </c>
      <c r="AJ181">
        <f t="shared" si="127"/>
        <v>26400</v>
      </c>
      <c r="AK181">
        <f t="shared" si="128"/>
        <v>9363.3736367001602</v>
      </c>
      <c r="AL181">
        <v>1</v>
      </c>
      <c r="AM181">
        <f t="shared" si="129"/>
        <v>12.546565999934401</v>
      </c>
      <c r="AN181">
        <f t="shared" si="143"/>
        <v>908.2283111772017</v>
      </c>
      <c r="AO181">
        <f t="shared" si="144"/>
        <v>-2031.7728124935602</v>
      </c>
      <c r="AQ181">
        <f t="shared" si="130"/>
        <v>0.46274872744099954</v>
      </c>
      <c r="AR181">
        <f t="shared" si="131"/>
        <v>-68.024062933826926</v>
      </c>
      <c r="AT181">
        <f t="shared" si="156"/>
        <v>-164854.98085144453</v>
      </c>
      <c r="AU181">
        <f t="shared" si="157"/>
        <v>-382064.74885364587</v>
      </c>
      <c r="AV181">
        <f t="shared" si="145"/>
        <v>-1.9781464781795692</v>
      </c>
      <c r="AW181">
        <f t="shared" si="146"/>
        <v>-131228.192683067</v>
      </c>
      <c r="AX181">
        <f t="shared" si="147"/>
        <v>-75723.257555258475</v>
      </c>
      <c r="AY181">
        <f t="shared" si="155"/>
        <v>-2.6182303770817121</v>
      </c>
      <c r="BA181">
        <f t="shared" si="132"/>
        <v>2.7464697152261377</v>
      </c>
      <c r="BB181">
        <f t="shared" si="148"/>
        <v>8.7754962901026694</v>
      </c>
      <c r="BC181">
        <f t="shared" si="149"/>
        <v>0.6400838989021429</v>
      </c>
      <c r="BD181">
        <f t="shared" si="133"/>
        <v>-143.32589401672249</v>
      </c>
      <c r="BF181">
        <f t="shared" si="134"/>
        <v>-7.7505121717330638</v>
      </c>
      <c r="BG181">
        <f t="shared" si="135"/>
        <v>-141.6354965324025</v>
      </c>
      <c r="BH181">
        <f t="shared" si="150"/>
        <v>38.364503467597501</v>
      </c>
      <c r="BI181">
        <f t="shared" si="151"/>
        <v>38.364503467597501</v>
      </c>
      <c r="BJ181">
        <f t="shared" si="136"/>
        <v>0</v>
      </c>
      <c r="BK181">
        <f t="shared" si="152"/>
        <v>0</v>
      </c>
      <c r="BM181">
        <f t="shared" si="153"/>
        <v>-16.526008461835733</v>
      </c>
      <c r="BN181">
        <f t="shared" si="137"/>
        <v>-178.30960251568004</v>
      </c>
      <c r="BQ181" s="56">
        <f t="shared" si="154"/>
        <v>25.677457090387804</v>
      </c>
      <c r="BR181" s="59"/>
      <c r="BS181" s="59"/>
      <c r="BT181" s="59">
        <v>5128.6139999999996</v>
      </c>
      <c r="BU181" s="59">
        <v>1.7954699999999999</v>
      </c>
      <c r="BV181" s="59">
        <v>-237.881</v>
      </c>
      <c r="BW181" s="61"/>
      <c r="BY181" s="59"/>
      <c r="BZ181" s="59"/>
      <c r="CA181" s="59"/>
      <c r="CC181" s="59"/>
    </row>
    <row r="182" spans="1:81" x14ac:dyDescent="0.2">
      <c r="A182">
        <f t="shared" si="158"/>
        <v>74000</v>
      </c>
      <c r="B182">
        <f t="shared" si="138"/>
        <v>74</v>
      </c>
      <c r="C182">
        <f t="shared" si="107"/>
        <v>1.0000415237249423</v>
      </c>
      <c r="D182">
        <f t="shared" si="108"/>
        <v>9.1128796923293075E-3</v>
      </c>
      <c r="F182">
        <f t="shared" si="109"/>
        <v>9.8094533368332428E-3</v>
      </c>
      <c r="G182">
        <f t="shared" si="110"/>
        <v>2.0310821552677563E-2</v>
      </c>
      <c r="H182">
        <f t="shared" si="111"/>
        <v>-3.1212818284473225</v>
      </c>
      <c r="J182">
        <f t="shared" si="112"/>
        <v>15</v>
      </c>
      <c r="M182">
        <f t="shared" si="113"/>
        <v>1.6901974700367656E-2</v>
      </c>
      <c r="N182">
        <f t="shared" si="114"/>
        <v>-1.5707963250000001</v>
      </c>
      <c r="O182">
        <f t="shared" si="115"/>
        <v>14.566556525347568</v>
      </c>
      <c r="P182">
        <f t="shared" si="116"/>
        <v>1.5020918839524928</v>
      </c>
      <c r="Q182">
        <f t="shared" si="117"/>
        <v>12.671437241507894</v>
      </c>
      <c r="R182">
        <f t="shared" si="118"/>
        <v>1.491796533796675</v>
      </c>
      <c r="S182">
        <f t="shared" si="119"/>
        <v>0.9417588744662988</v>
      </c>
      <c r="T182">
        <f t="shared" si="120"/>
        <v>-0.34297350261646176</v>
      </c>
      <c r="U182">
        <f t="shared" si="121"/>
        <v>0.94034760262281825</v>
      </c>
      <c r="V182">
        <f t="shared" si="122"/>
        <v>-0.34714574574131779</v>
      </c>
      <c r="X182">
        <f t="shared" si="139"/>
        <v>-7.8179507281190928</v>
      </c>
      <c r="Y182">
        <f t="shared" si="123"/>
        <v>-136.31789556976742</v>
      </c>
      <c r="Z182">
        <f t="shared" si="140"/>
        <v>43.682104430232584</v>
      </c>
      <c r="AC182">
        <v>1</v>
      </c>
      <c r="AD182">
        <f t="shared" si="124"/>
        <v>14.532190784811</v>
      </c>
      <c r="AE182">
        <f t="shared" si="125"/>
        <v>-8.1081901394136906E-4</v>
      </c>
      <c r="AF182">
        <f t="shared" si="126"/>
        <v>2.2410865328039999E-3</v>
      </c>
      <c r="AG182">
        <f t="shared" si="141"/>
        <v>5591.1369243255249</v>
      </c>
      <c r="AH182">
        <f t="shared" si="142"/>
        <v>-2469.0702687278786</v>
      </c>
      <c r="AJ182">
        <f t="shared" si="127"/>
        <v>26400</v>
      </c>
      <c r="AK182">
        <f t="shared" si="128"/>
        <v>9427.0700559974412</v>
      </c>
      <c r="AL182">
        <v>1</v>
      </c>
      <c r="AM182">
        <f t="shared" si="129"/>
        <v>12.631916789049603</v>
      </c>
      <c r="AN182">
        <f t="shared" si="143"/>
        <v>906.06092842635348</v>
      </c>
      <c r="AO182">
        <f t="shared" si="144"/>
        <v>-2018.2161976932837</v>
      </c>
      <c r="AQ182">
        <f t="shared" si="130"/>
        <v>0.45651677699155446</v>
      </c>
      <c r="AR182">
        <f t="shared" si="131"/>
        <v>-67.564482994750051</v>
      </c>
      <c r="AT182">
        <f t="shared" si="156"/>
        <v>-164269.00837589614</v>
      </c>
      <c r="AU182">
        <f t="shared" si="157"/>
        <v>-378889.44764615636</v>
      </c>
      <c r="AV182">
        <f t="shared" si="145"/>
        <v>-1.9798898614428329</v>
      </c>
      <c r="AW182">
        <f t="shared" si="146"/>
        <v>-129397.15841183208</v>
      </c>
      <c r="AX182">
        <f t="shared" si="147"/>
        <v>-75076.956213776721</v>
      </c>
      <c r="AY182">
        <f t="shared" si="155"/>
        <v>-2.6158550259981843</v>
      </c>
      <c r="BA182">
        <f t="shared" si="132"/>
        <v>2.7604719377712494</v>
      </c>
      <c r="BB182">
        <f t="shared" si="148"/>
        <v>8.8196667315116049</v>
      </c>
      <c r="BC182">
        <f t="shared" si="149"/>
        <v>0.63596516455535146</v>
      </c>
      <c r="BD182">
        <f t="shared" si="133"/>
        <v>-143.56188011199885</v>
      </c>
      <c r="BF182">
        <f t="shared" si="134"/>
        <v>-7.8252513122699501</v>
      </c>
      <c r="BG182">
        <f t="shared" si="135"/>
        <v>-141.87602621107976</v>
      </c>
      <c r="BH182">
        <f t="shared" si="150"/>
        <v>38.123973788920239</v>
      </c>
      <c r="BI182">
        <f t="shared" si="151"/>
        <v>38.123973788920239</v>
      </c>
      <c r="BJ182">
        <f t="shared" si="136"/>
        <v>0</v>
      </c>
      <c r="BK182">
        <f t="shared" si="152"/>
        <v>0</v>
      </c>
      <c r="BM182">
        <f t="shared" si="153"/>
        <v>-16.644918043781555</v>
      </c>
      <c r="BN182">
        <f t="shared" si="137"/>
        <v>-178.31414609908092</v>
      </c>
      <c r="BQ182" s="56">
        <f t="shared" si="154"/>
        <v>25.721627531796742</v>
      </c>
      <c r="BR182" s="59"/>
      <c r="BS182" s="59"/>
      <c r="BT182" s="59">
        <v>5248.0749999999998</v>
      </c>
      <c r="BU182" s="59">
        <v>1.6024099999999999</v>
      </c>
      <c r="BV182" s="59">
        <v>-238.28</v>
      </c>
      <c r="BW182" s="61"/>
      <c r="BY182" s="59"/>
      <c r="BZ182" s="59"/>
      <c r="CA182" s="59"/>
      <c r="CC182" s="59"/>
    </row>
    <row r="183" spans="1:81" x14ac:dyDescent="0.2">
      <c r="A183">
        <f t="shared" si="158"/>
        <v>74500</v>
      </c>
      <c r="B183">
        <f t="shared" si="138"/>
        <v>74.5</v>
      </c>
      <c r="C183">
        <f t="shared" si="107"/>
        <v>1.0000420867402273</v>
      </c>
      <c r="D183">
        <f t="shared" si="108"/>
        <v>9.1744497602985874E-3</v>
      </c>
      <c r="F183">
        <f t="shared" si="109"/>
        <v>9.6769810110571668E-3</v>
      </c>
      <c r="G183">
        <f t="shared" si="110"/>
        <v>2.017189596734785E-2</v>
      </c>
      <c r="H183">
        <f t="shared" si="111"/>
        <v>-3.1214207540326524</v>
      </c>
      <c r="J183">
        <f t="shared" si="112"/>
        <v>15</v>
      </c>
      <c r="M183">
        <f t="shared" si="113"/>
        <v>1.6788538628553111E-2</v>
      </c>
      <c r="N183">
        <f t="shared" si="114"/>
        <v>-1.5707963250000001</v>
      </c>
      <c r="O183">
        <f t="shared" si="115"/>
        <v>14.664516899757725</v>
      </c>
      <c r="P183">
        <f t="shared" si="116"/>
        <v>1.502551552440113</v>
      </c>
      <c r="Q183">
        <f t="shared" si="117"/>
        <v>12.756523611652261</v>
      </c>
      <c r="R183">
        <f t="shared" si="118"/>
        <v>1.4923245525492064</v>
      </c>
      <c r="S183">
        <f t="shared" si="119"/>
        <v>0.94103765292518704</v>
      </c>
      <c r="T183">
        <f t="shared" si="120"/>
        <v>-0.34511175096546243</v>
      </c>
      <c r="U183">
        <f t="shared" si="121"/>
        <v>0.93961056771402662</v>
      </c>
      <c r="V183">
        <f t="shared" si="122"/>
        <v>-0.34930567851972633</v>
      </c>
      <c r="X183">
        <f t="shared" si="139"/>
        <v>-7.8916537823624928</v>
      </c>
      <c r="Y183">
        <f t="shared" si="123"/>
        <v>-136.51200504249977</v>
      </c>
      <c r="Z183">
        <f t="shared" si="140"/>
        <v>43.487994957500234</v>
      </c>
      <c r="AC183">
        <v>1</v>
      </c>
      <c r="AD183">
        <f t="shared" si="124"/>
        <v>14.630381263086749</v>
      </c>
      <c r="AE183">
        <f t="shared" si="125"/>
        <v>-8.2181304458146169E-4</v>
      </c>
      <c r="AF183">
        <f t="shared" si="126"/>
        <v>2.2562290093769998E-3</v>
      </c>
      <c r="AG183">
        <f t="shared" si="141"/>
        <v>5582.3758063384421</v>
      </c>
      <c r="AH183">
        <f t="shared" si="142"/>
        <v>-2476.5523509281443</v>
      </c>
      <c r="AJ183">
        <f t="shared" si="127"/>
        <v>26400</v>
      </c>
      <c r="AK183">
        <f t="shared" si="128"/>
        <v>9490.7664752947203</v>
      </c>
      <c r="AL183">
        <v>1</v>
      </c>
      <c r="AM183">
        <f t="shared" si="129"/>
        <v>12.717267578164801</v>
      </c>
      <c r="AN183">
        <f t="shared" si="143"/>
        <v>903.93668008610916</v>
      </c>
      <c r="AO183">
        <f t="shared" si="144"/>
        <v>-2004.8381590782856</v>
      </c>
      <c r="AQ183">
        <f t="shared" si="130"/>
        <v>0.45040987298441582</v>
      </c>
      <c r="AR183">
        <f t="shared" si="131"/>
        <v>-67.111071074677952</v>
      </c>
      <c r="AT183">
        <f t="shared" si="156"/>
        <v>-163689.72366541528</v>
      </c>
      <c r="AU183">
        <f t="shared" si="157"/>
        <v>-375754.68313456263</v>
      </c>
      <c r="AV183">
        <f t="shared" si="145"/>
        <v>-1.9816354710380839</v>
      </c>
      <c r="AW183">
        <f t="shared" si="146"/>
        <v>-127602.73944714197</v>
      </c>
      <c r="AX183">
        <f t="shared" si="147"/>
        <v>-74442.552285496087</v>
      </c>
      <c r="AY183">
        <f t="shared" si="155"/>
        <v>-2.6134736454371943</v>
      </c>
      <c r="BA183">
        <f t="shared" si="132"/>
        <v>2.7743913968419118</v>
      </c>
      <c r="BB183">
        <f t="shared" si="148"/>
        <v>8.863354581739241</v>
      </c>
      <c r="BC183">
        <f t="shared" si="149"/>
        <v>0.63183817439911039</v>
      </c>
      <c r="BD183">
        <f t="shared" si="133"/>
        <v>-143.79833923031367</v>
      </c>
      <c r="BF183">
        <f t="shared" si="134"/>
        <v>-7.8996569071849043</v>
      </c>
      <c r="BG183">
        <f t="shared" si="135"/>
        <v>-142.11691747406647</v>
      </c>
      <c r="BH183">
        <f t="shared" si="150"/>
        <v>37.883082525933531</v>
      </c>
      <c r="BI183">
        <f t="shared" si="151"/>
        <v>37.883082525933531</v>
      </c>
      <c r="BJ183">
        <f t="shared" si="136"/>
        <v>0</v>
      </c>
      <c r="BK183">
        <f t="shared" si="152"/>
        <v>0</v>
      </c>
      <c r="BM183">
        <f t="shared" si="153"/>
        <v>-16.763011488924143</v>
      </c>
      <c r="BN183">
        <f t="shared" si="137"/>
        <v>-178.3185782437528</v>
      </c>
      <c r="BQ183" s="56">
        <f t="shared" si="154"/>
        <v>25.765315382024376</v>
      </c>
      <c r="BR183" s="59"/>
      <c r="BS183" s="59"/>
      <c r="BT183" s="59">
        <v>5370.3180000000002</v>
      </c>
      <c r="BU183" s="59">
        <v>1.48515</v>
      </c>
      <c r="BV183" s="59">
        <v>-237.34699999999998</v>
      </c>
      <c r="BW183" s="61"/>
      <c r="BY183" s="59"/>
      <c r="BZ183" s="59"/>
      <c r="CA183" s="59"/>
      <c r="CC183" s="59"/>
    </row>
    <row r="184" spans="1:81" x14ac:dyDescent="0.2">
      <c r="A184">
        <f t="shared" si="158"/>
        <v>75000</v>
      </c>
      <c r="B184">
        <f t="shared" si="138"/>
        <v>75</v>
      </c>
      <c r="C184">
        <f t="shared" si="107"/>
        <v>1.0000426535465405</v>
      </c>
      <c r="D184">
        <f t="shared" si="108"/>
        <v>9.2360197587076451E-3</v>
      </c>
      <c r="F184">
        <f t="shared" si="109"/>
        <v>9.547182313910765E-3</v>
      </c>
      <c r="G184">
        <f t="shared" si="110"/>
        <v>2.003487507089911E-2</v>
      </c>
      <c r="H184">
        <f t="shared" si="111"/>
        <v>-3.121557774929101</v>
      </c>
      <c r="J184">
        <f t="shared" si="112"/>
        <v>15</v>
      </c>
      <c r="M184">
        <f t="shared" si="113"/>
        <v>1.6676615037696088E-2</v>
      </c>
      <c r="N184">
        <f t="shared" si="114"/>
        <v>-1.5707963250000001</v>
      </c>
      <c r="O184">
        <f t="shared" si="115"/>
        <v>14.762480331585952</v>
      </c>
      <c r="P184">
        <f t="shared" si="116"/>
        <v>1.5030051203264858</v>
      </c>
      <c r="Q184">
        <f t="shared" si="117"/>
        <v>12.841613491232915</v>
      </c>
      <c r="R184">
        <f t="shared" si="118"/>
        <v>1.49284557402999</v>
      </c>
      <c r="S184">
        <f t="shared" si="119"/>
        <v>0.94031324586057663</v>
      </c>
      <c r="T184">
        <f t="shared" si="120"/>
        <v>-0.34724671703301785</v>
      </c>
      <c r="U184">
        <f t="shared" si="121"/>
        <v>0.93887031743834815</v>
      </c>
      <c r="V184">
        <f t="shared" si="122"/>
        <v>-0.35146221804054112</v>
      </c>
      <c r="X184">
        <f t="shared" si="139"/>
        <v>-7.9650001666001646</v>
      </c>
      <c r="Y184">
        <f t="shared" si="123"/>
        <v>-136.70637336121402</v>
      </c>
      <c r="Z184">
        <f t="shared" si="140"/>
        <v>43.29362663878598</v>
      </c>
      <c r="AC184">
        <v>1</v>
      </c>
      <c r="AD184">
        <f t="shared" si="124"/>
        <v>14.728571741362501</v>
      </c>
      <c r="AE184">
        <f t="shared" si="125"/>
        <v>-8.3288110909791847E-4</v>
      </c>
      <c r="AF184">
        <f t="shared" si="126"/>
        <v>2.2713714859499998E-3</v>
      </c>
      <c r="AG184">
        <f t="shared" si="141"/>
        <v>5573.5833819412219</v>
      </c>
      <c r="AH184">
        <f t="shared" si="142"/>
        <v>-2484.0200485483833</v>
      </c>
      <c r="AJ184">
        <f t="shared" si="127"/>
        <v>26400</v>
      </c>
      <c r="AK184">
        <f t="shared" si="128"/>
        <v>9554.4628945920012</v>
      </c>
      <c r="AL184">
        <v>1</v>
      </c>
      <c r="AM184">
        <f t="shared" si="129"/>
        <v>12.802618367280003</v>
      </c>
      <c r="AN184">
        <f t="shared" si="143"/>
        <v>901.8544314230636</v>
      </c>
      <c r="AO184">
        <f t="shared" si="144"/>
        <v>-1991.6352137577755</v>
      </c>
      <c r="AQ184">
        <f t="shared" si="130"/>
        <v>0.44442469223590064</v>
      </c>
      <c r="AR184">
        <f t="shared" si="131"/>
        <v>-66.663703835385093</v>
      </c>
      <c r="AT184">
        <f t="shared" si="156"/>
        <v>-163116.93875841796</v>
      </c>
      <c r="AU184">
        <f t="shared" si="157"/>
        <v>-372659.67172113759</v>
      </c>
      <c r="AV184">
        <f t="shared" si="145"/>
        <v>-1.9833831833999802</v>
      </c>
      <c r="AW184">
        <f t="shared" si="146"/>
        <v>-125843.97392686842</v>
      </c>
      <c r="AX184">
        <f t="shared" si="147"/>
        <v>-73819.724735003605</v>
      </c>
      <c r="AY184">
        <f t="shared" si="155"/>
        <v>-2.6110864360187094</v>
      </c>
      <c r="BA184">
        <f t="shared" si="132"/>
        <v>2.7882277538333735</v>
      </c>
      <c r="BB184">
        <f t="shared" si="148"/>
        <v>8.9065649164475484</v>
      </c>
      <c r="BC184">
        <f t="shared" si="149"/>
        <v>0.62770325261872917</v>
      </c>
      <c r="BD184">
        <f t="shared" si="133"/>
        <v>-144.03525279721697</v>
      </c>
      <c r="BF184">
        <f t="shared" si="134"/>
        <v>-7.9737351068770561</v>
      </c>
      <c r="BG184">
        <f t="shared" si="135"/>
        <v>-142.35815405899282</v>
      </c>
      <c r="BH184">
        <f t="shared" si="150"/>
        <v>37.641845941007176</v>
      </c>
      <c r="BI184">
        <f t="shared" si="151"/>
        <v>37.641845941007176</v>
      </c>
      <c r="BJ184">
        <f t="shared" si="136"/>
        <v>0</v>
      </c>
      <c r="BK184">
        <f t="shared" si="152"/>
        <v>0</v>
      </c>
      <c r="BM184">
        <f t="shared" si="153"/>
        <v>-16.880300023324605</v>
      </c>
      <c r="BN184">
        <f t="shared" si="137"/>
        <v>-178.32290126177588</v>
      </c>
      <c r="BQ184" s="56">
        <f t="shared" si="154"/>
        <v>25.808525716732685</v>
      </c>
      <c r="BR184" s="59"/>
      <c r="BS184" s="59"/>
      <c r="BT184" s="59">
        <v>5495.4089999999997</v>
      </c>
      <c r="BU184" s="59">
        <v>1.35836</v>
      </c>
      <c r="BV184" s="59">
        <v>-235.61199999999999</v>
      </c>
      <c r="BW184" s="61"/>
      <c r="BY184" s="59"/>
      <c r="BZ184" s="59"/>
      <c r="CA184" s="59"/>
      <c r="CC184" s="59"/>
    </row>
    <row r="185" spans="1:81" x14ac:dyDescent="0.2">
      <c r="A185">
        <f t="shared" si="158"/>
        <v>75500</v>
      </c>
      <c r="B185">
        <f t="shared" si="138"/>
        <v>75.5</v>
      </c>
      <c r="C185">
        <f t="shared" si="107"/>
        <v>1.0000432241438761</v>
      </c>
      <c r="D185">
        <f t="shared" si="108"/>
        <v>9.2975896870897846E-3</v>
      </c>
      <c r="F185">
        <f t="shared" si="109"/>
        <v>9.4199855650424057E-3</v>
      </c>
      <c r="G185">
        <f t="shared" si="110"/>
        <v>1.9899719627821055E-2</v>
      </c>
      <c r="H185">
        <f t="shared" si="111"/>
        <v>-3.1216929303721792</v>
      </c>
      <c r="J185">
        <f t="shared" si="112"/>
        <v>15</v>
      </c>
      <c r="M185">
        <f t="shared" si="113"/>
        <v>1.6566173878506049E-2</v>
      </c>
      <c r="N185">
        <f t="shared" si="114"/>
        <v>-1.5707963250000001</v>
      </c>
      <c r="O185">
        <f t="shared" si="115"/>
        <v>14.860446760366671</v>
      </c>
      <c r="P185">
        <f t="shared" si="116"/>
        <v>1.5034527080764497</v>
      </c>
      <c r="Q185">
        <f t="shared" si="117"/>
        <v>12.926706810947405</v>
      </c>
      <c r="R185">
        <f t="shared" si="118"/>
        <v>1.4933597361372561</v>
      </c>
      <c r="S185">
        <f t="shared" si="119"/>
        <v>0.93958568041176205</v>
      </c>
      <c r="T185">
        <f t="shared" si="120"/>
        <v>-0.3493783889531642</v>
      </c>
      <c r="U185">
        <f t="shared" si="121"/>
        <v>0.93812688002054712</v>
      </c>
      <c r="V185">
        <f t="shared" si="122"/>
        <v>-0.35361535228239682</v>
      </c>
      <c r="X185">
        <f t="shared" si="139"/>
        <v>-8.0379956498452678</v>
      </c>
      <c r="Y185">
        <f t="shared" si="123"/>
        <v>-136.90098660220951</v>
      </c>
      <c r="Z185">
        <f t="shared" si="140"/>
        <v>43.099013397790486</v>
      </c>
      <c r="AC185">
        <v>1</v>
      </c>
      <c r="AD185">
        <f t="shared" si="124"/>
        <v>14.826762219638251</v>
      </c>
      <c r="AE185">
        <f t="shared" si="125"/>
        <v>-8.4402320749073949E-4</v>
      </c>
      <c r="AF185">
        <f t="shared" si="126"/>
        <v>2.2865139625229997E-3</v>
      </c>
      <c r="AG185">
        <f t="shared" si="141"/>
        <v>5564.7600762790526</v>
      </c>
      <c r="AH185">
        <f t="shared" si="142"/>
        <v>-2491.4724956288806</v>
      </c>
      <c r="AJ185">
        <f t="shared" si="127"/>
        <v>26400</v>
      </c>
      <c r="AK185">
        <f t="shared" si="128"/>
        <v>9618.1593138892822</v>
      </c>
      <c r="AL185">
        <v>1</v>
      </c>
      <c r="AM185">
        <f t="shared" si="129"/>
        <v>12.887969156395201</v>
      </c>
      <c r="AN185">
        <f t="shared" si="143"/>
        <v>899.81308469901546</v>
      </c>
      <c r="AO185">
        <f t="shared" si="144"/>
        <v>-1978.6039682324513</v>
      </c>
      <c r="AQ185">
        <f t="shared" si="130"/>
        <v>0.43855802122620824</v>
      </c>
      <c r="AR185">
        <f t="shared" si="131"/>
        <v>-66.222261205157437</v>
      </c>
      <c r="AT185">
        <f t="shared" si="156"/>
        <v>-162550.47222334967</v>
      </c>
      <c r="AU185">
        <f t="shared" si="157"/>
        <v>-369603.65056300577</v>
      </c>
      <c r="AV185">
        <f t="shared" si="145"/>
        <v>-1.9851328780530726</v>
      </c>
      <c r="AW185">
        <f t="shared" si="146"/>
        <v>-124119.93129694001</v>
      </c>
      <c r="AX185">
        <f t="shared" si="147"/>
        <v>-73208.163686292479</v>
      </c>
      <c r="AY185">
        <f t="shared" si="155"/>
        <v>-2.6086935945608389</v>
      </c>
      <c r="BA185">
        <f t="shared" si="132"/>
        <v>2.8019806778076712</v>
      </c>
      <c r="BB185">
        <f t="shared" si="148"/>
        <v>8.9493027221325878</v>
      </c>
      <c r="BC185">
        <f t="shared" si="149"/>
        <v>0.62356071650776634</v>
      </c>
      <c r="BD185">
        <f t="shared" si="133"/>
        <v>-144.27260263312689</v>
      </c>
      <c r="BF185">
        <f t="shared" si="134"/>
        <v>-8.0474919189032263</v>
      </c>
      <c r="BG185">
        <f t="shared" si="135"/>
        <v>-142.59972003433293</v>
      </c>
      <c r="BH185">
        <f t="shared" si="150"/>
        <v>37.400279965667067</v>
      </c>
      <c r="BI185">
        <f t="shared" si="151"/>
        <v>37.400279965667067</v>
      </c>
      <c r="BJ185">
        <f t="shared" si="136"/>
        <v>0</v>
      </c>
      <c r="BK185">
        <f t="shared" si="152"/>
        <v>0</v>
      </c>
      <c r="BM185">
        <f t="shared" si="153"/>
        <v>-16.996794641035812</v>
      </c>
      <c r="BN185">
        <f t="shared" si="137"/>
        <v>-178.32711740120607</v>
      </c>
      <c r="BQ185" s="56">
        <f t="shared" si="154"/>
        <v>25.851263522417725</v>
      </c>
      <c r="BR185" s="59"/>
      <c r="BS185" s="59"/>
      <c r="BT185" s="59">
        <v>5623.4129999999996</v>
      </c>
      <c r="BU185" s="59">
        <v>1.07298</v>
      </c>
      <c r="BV185" s="59">
        <v>-235.13800000000001</v>
      </c>
      <c r="BW185" s="61"/>
      <c r="BY185" s="59"/>
      <c r="BZ185" s="59"/>
      <c r="CA185" s="59"/>
      <c r="CC185" s="59"/>
    </row>
    <row r="186" spans="1:81" x14ac:dyDescent="0.2">
      <c r="A186">
        <f t="shared" si="158"/>
        <v>76000</v>
      </c>
      <c r="B186">
        <f t="shared" si="138"/>
        <v>76</v>
      </c>
      <c r="C186">
        <f t="shared" si="107"/>
        <v>1.0000437985322272</v>
      </c>
      <c r="D186">
        <f t="shared" si="108"/>
        <v>9.3591595449783269E-3</v>
      </c>
      <c r="F186">
        <f t="shared" si="109"/>
        <v>9.295321477250611E-3</v>
      </c>
      <c r="G186">
        <f t="shared" si="110"/>
        <v>1.976639148134595E-2</v>
      </c>
      <c r="H186">
        <f t="shared" si="111"/>
        <v>-3.1218262585186545</v>
      </c>
      <c r="J186">
        <f t="shared" si="112"/>
        <v>15</v>
      </c>
      <c r="M186">
        <f t="shared" si="113"/>
        <v>1.6457185892463245E-2</v>
      </c>
      <c r="N186">
        <f t="shared" si="114"/>
        <v>-1.5707963250000001</v>
      </c>
      <c r="O186">
        <f t="shared" si="115"/>
        <v>14.958416127216491</v>
      </c>
      <c r="P186">
        <f t="shared" si="116"/>
        <v>1.5038944330086592</v>
      </c>
      <c r="Q186">
        <f t="shared" si="117"/>
        <v>13.011803503303375</v>
      </c>
      <c r="R186">
        <f t="shared" si="118"/>
        <v>1.4938671731765656</v>
      </c>
      <c r="S186">
        <f t="shared" si="119"/>
        <v>0.9388549837176744</v>
      </c>
      <c r="T186">
        <f t="shared" si="120"/>
        <v>-0.35150675501627476</v>
      </c>
      <c r="U186">
        <f t="shared" si="121"/>
        <v>0.93738028368038817</v>
      </c>
      <c r="V186">
        <f t="shared" si="122"/>
        <v>-0.35576506938815589</v>
      </c>
      <c r="X186">
        <f t="shared" si="139"/>
        <v>-8.1106458671526767</v>
      </c>
      <c r="Y186">
        <f t="shared" si="123"/>
        <v>-137.09583118445312</v>
      </c>
      <c r="Z186">
        <f t="shared" si="140"/>
        <v>42.904168815546882</v>
      </c>
      <c r="AC186">
        <v>1</v>
      </c>
      <c r="AD186">
        <f t="shared" si="124"/>
        <v>14.924952697914</v>
      </c>
      <c r="AE186">
        <f t="shared" si="125"/>
        <v>-8.5523933975992477E-4</v>
      </c>
      <c r="AF186">
        <f t="shared" si="126"/>
        <v>2.301656439096E-3</v>
      </c>
      <c r="AG186">
        <f t="shared" si="141"/>
        <v>5555.9063137640942</v>
      </c>
      <c r="AH186">
        <f t="shared" si="142"/>
        <v>-2498.9088509710928</v>
      </c>
      <c r="AJ186">
        <f t="shared" si="127"/>
        <v>26400</v>
      </c>
      <c r="AK186">
        <f t="shared" si="128"/>
        <v>9681.8557331865595</v>
      </c>
      <c r="AL186">
        <v>1</v>
      </c>
      <c r="AM186">
        <f t="shared" si="129"/>
        <v>12.973319945510401</v>
      </c>
      <c r="AN186">
        <f t="shared" si="143"/>
        <v>897.81157773588836</v>
      </c>
      <c r="AO186">
        <f t="shared" si="144"/>
        <v>-1965.7411155646018</v>
      </c>
      <c r="AQ186">
        <f t="shared" si="130"/>
        <v>0.43280675178532785</v>
      </c>
      <c r="AR186">
        <f t="shared" si="131"/>
        <v>-65.78662627136984</v>
      </c>
      <c r="AT186">
        <f t="shared" si="156"/>
        <v>-161990.14890016968</v>
      </c>
      <c r="AU186">
        <f t="shared" si="157"/>
        <v>-366585.87688513892</v>
      </c>
      <c r="AV186">
        <f t="shared" si="145"/>
        <v>-1.9868844375162733</v>
      </c>
      <c r="AW186">
        <f t="shared" si="146"/>
        <v>-122429.7110986695</v>
      </c>
      <c r="AX186">
        <f t="shared" si="147"/>
        <v>-72607.569953546117</v>
      </c>
      <c r="AY186">
        <f t="shared" si="155"/>
        <v>-2.6062953142011933</v>
      </c>
      <c r="BA186">
        <f t="shared" si="132"/>
        <v>2.8156498455162189</v>
      </c>
      <c r="BB186">
        <f t="shared" si="148"/>
        <v>8.9915728984962531</v>
      </c>
      <c r="BC186">
        <f t="shared" si="149"/>
        <v>0.61941087668492001</v>
      </c>
      <c r="BD186">
        <f t="shared" si="133"/>
        <v>-144.51037094090299</v>
      </c>
      <c r="BF186">
        <f t="shared" si="134"/>
        <v>-8.1209332120056104</v>
      </c>
      <c r="BG186">
        <f t="shared" si="135"/>
        <v>-142.84159978919482</v>
      </c>
      <c r="BH186">
        <f t="shared" si="150"/>
        <v>37.158400210805183</v>
      </c>
      <c r="BI186">
        <f t="shared" si="151"/>
        <v>37.158400210805183</v>
      </c>
      <c r="BJ186">
        <f t="shared" si="136"/>
        <v>0</v>
      </c>
      <c r="BK186">
        <f t="shared" si="152"/>
        <v>0</v>
      </c>
      <c r="BM186">
        <f t="shared" si="153"/>
        <v>-17.112506110501865</v>
      </c>
      <c r="BN186">
        <f t="shared" si="137"/>
        <v>-178.33122884829186</v>
      </c>
      <c r="BQ186" s="56">
        <f t="shared" si="154"/>
        <v>25.89353369878139</v>
      </c>
      <c r="BR186" s="59"/>
      <c r="BS186" s="59"/>
      <c r="BT186" s="59">
        <v>5754.3990000000003</v>
      </c>
      <c r="BU186" s="59">
        <v>0.86915299999999995</v>
      </c>
      <c r="BV186" s="59">
        <v>-234.68899999999999</v>
      </c>
      <c r="BW186" s="61"/>
      <c r="BY186" s="59"/>
      <c r="BZ186" s="59"/>
      <c r="CA186" s="59"/>
      <c r="CC186" s="59"/>
    </row>
    <row r="187" spans="1:81" x14ac:dyDescent="0.2">
      <c r="A187">
        <f t="shared" si="158"/>
        <v>76500</v>
      </c>
      <c r="B187">
        <f t="shared" si="138"/>
        <v>76.5</v>
      </c>
      <c r="C187">
        <f t="shared" si="107"/>
        <v>1.0000443767115874</v>
      </c>
      <c r="D187">
        <f t="shared" si="108"/>
        <v>9.4207293319065865E-3</v>
      </c>
      <c r="F187">
        <f t="shared" si="109"/>
        <v>9.1731230609727078E-3</v>
      </c>
      <c r="G187">
        <f t="shared" si="110"/>
        <v>1.9634853516362905E-2</v>
      </c>
      <c r="H187">
        <f t="shared" si="111"/>
        <v>-3.1219577964836374</v>
      </c>
      <c r="J187">
        <f t="shared" si="112"/>
        <v>15</v>
      </c>
      <c r="M187">
        <f t="shared" si="113"/>
        <v>1.634962258597656E-2</v>
      </c>
      <c r="N187">
        <f t="shared" si="114"/>
        <v>-1.5707963250000001</v>
      </c>
      <c r="O187">
        <f t="shared" si="115"/>
        <v>15.056388374782868</v>
      </c>
      <c r="P187">
        <f t="shared" si="116"/>
        <v>1.5043304093974792</v>
      </c>
      <c r="Q187">
        <f t="shared" si="117"/>
        <v>13.096903502559952</v>
      </c>
      <c r="R187">
        <f t="shared" si="118"/>
        <v>1.4943680159768209</v>
      </c>
      <c r="S187">
        <f t="shared" si="119"/>
        <v>0.93812118291465829</v>
      </c>
      <c r="T187">
        <f t="shared" si="120"/>
        <v>-0.35363180366881497</v>
      </c>
      <c r="U187">
        <f t="shared" si="121"/>
        <v>0.93663055663030381</v>
      </c>
      <c r="V187">
        <f t="shared" si="122"/>
        <v>-0.35791135766461746</v>
      </c>
      <c r="X187">
        <f t="shared" si="139"/>
        <v>-8.1829563235427223</v>
      </c>
      <c r="Y187">
        <f t="shared" si="123"/>
        <v>-137.29089385918809</v>
      </c>
      <c r="Z187">
        <f t="shared" si="140"/>
        <v>42.709106140811912</v>
      </c>
      <c r="AC187">
        <v>1</v>
      </c>
      <c r="AD187">
        <f t="shared" si="124"/>
        <v>15.02314317618975</v>
      </c>
      <c r="AE187">
        <f t="shared" si="125"/>
        <v>-8.665295059054743E-4</v>
      </c>
      <c r="AF187">
        <f t="shared" si="126"/>
        <v>2.3167989156689999E-3</v>
      </c>
      <c r="AG187">
        <f t="shared" si="141"/>
        <v>5547.022518036767</v>
      </c>
      <c r="AH187">
        <f t="shared" si="142"/>
        <v>-2506.3282974319786</v>
      </c>
      <c r="AJ187">
        <f t="shared" si="127"/>
        <v>26400</v>
      </c>
      <c r="AK187">
        <f t="shared" si="128"/>
        <v>9745.5521524838405</v>
      </c>
      <c r="AL187">
        <v>1</v>
      </c>
      <c r="AM187">
        <f t="shared" si="129"/>
        <v>13.058670734625602</v>
      </c>
      <c r="AN187">
        <f t="shared" si="143"/>
        <v>895.84888254505074</v>
      </c>
      <c r="AO187">
        <f t="shared" si="144"/>
        <v>-1953.0434326542629</v>
      </c>
      <c r="AQ187">
        <f t="shared" si="130"/>
        <v>0.42716787697565145</v>
      </c>
      <c r="AR187">
        <f t="shared" si="131"/>
        <v>-65.35668517727467</v>
      </c>
      <c r="AT187">
        <f t="shared" si="156"/>
        <v>-161435.79965359074</v>
      </c>
      <c r="AU187">
        <f t="shared" si="157"/>
        <v>-363605.62732040038</v>
      </c>
      <c r="AV187">
        <f t="shared" si="145"/>
        <v>-1.9886377472110002</v>
      </c>
      <c r="AW187">
        <f t="shared" si="146"/>
        <v>-120772.44181041115</v>
      </c>
      <c r="AX187">
        <f t="shared" si="147"/>
        <v>-72017.654594878666</v>
      </c>
      <c r="AY187">
        <f t="shared" si="155"/>
        <v>-2.6038917845131122</v>
      </c>
      <c r="BA187">
        <f t="shared" si="132"/>
        <v>2.8292349414219213</v>
      </c>
      <c r="BB187">
        <f t="shared" si="148"/>
        <v>9.0333802607447673</v>
      </c>
      <c r="BC187">
        <f t="shared" si="149"/>
        <v>0.61525403730211203</v>
      </c>
      <c r="BD187">
        <f t="shared" si="133"/>
        <v>-144.74854029392378</v>
      </c>
      <c r="BF187">
        <f t="shared" si="134"/>
        <v>-8.1940647199919709</v>
      </c>
      <c r="BG187">
        <f t="shared" si="135"/>
        <v>-143.083778023523</v>
      </c>
      <c r="BH187">
        <f t="shared" si="150"/>
        <v>36.916221976477004</v>
      </c>
      <c r="BI187">
        <f t="shared" si="151"/>
        <v>36.916221976477004</v>
      </c>
      <c r="BJ187">
        <f t="shared" si="136"/>
        <v>0</v>
      </c>
      <c r="BK187">
        <f t="shared" si="152"/>
        <v>0</v>
      </c>
      <c r="BM187">
        <f t="shared" si="153"/>
        <v>-17.227444980736738</v>
      </c>
      <c r="BN187">
        <f t="shared" si="137"/>
        <v>-178.33523772959921</v>
      </c>
      <c r="BQ187" s="56">
        <f t="shared" si="154"/>
        <v>25.935341061029902</v>
      </c>
      <c r="BR187" s="59"/>
      <c r="BS187" s="59"/>
      <c r="BT187" s="59">
        <v>5888.4369999999999</v>
      </c>
      <c r="BU187" s="59">
        <v>0.80323599999999995</v>
      </c>
      <c r="BV187" s="59">
        <v>-233.95400000000001</v>
      </c>
      <c r="BW187" s="61"/>
      <c r="BY187" s="59"/>
      <c r="BZ187" s="59"/>
      <c r="CA187" s="59"/>
      <c r="CC187" s="59"/>
    </row>
    <row r="188" spans="1:81" x14ac:dyDescent="0.2">
      <c r="A188">
        <f t="shared" si="158"/>
        <v>77000</v>
      </c>
      <c r="B188">
        <f t="shared" si="138"/>
        <v>77</v>
      </c>
      <c r="C188">
        <f t="shared" si="107"/>
        <v>1.0000449586819502</v>
      </c>
      <c r="D188">
        <f t="shared" si="108"/>
        <v>9.4822990474078862E-3</v>
      </c>
      <c r="F188">
        <f t="shared" si="109"/>
        <v>9.0533255332033435E-3</v>
      </c>
      <c r="G188">
        <f t="shared" si="110"/>
        <v>1.9505069623861452E-2</v>
      </c>
      <c r="H188">
        <f t="shared" si="111"/>
        <v>-3.1220875803761388</v>
      </c>
      <c r="J188">
        <f t="shared" si="112"/>
        <v>15</v>
      </c>
      <c r="M188">
        <f t="shared" si="113"/>
        <v>1.6243456205548141E-2</v>
      </c>
      <c r="N188">
        <f t="shared" si="114"/>
        <v>-1.5707963250000001</v>
      </c>
      <c r="O188">
        <f t="shared" si="115"/>
        <v>15.154363447194706</v>
      </c>
      <c r="P188">
        <f t="shared" si="116"/>
        <v>1.5047607485709473</v>
      </c>
      <c r="Q188">
        <f t="shared" si="117"/>
        <v>13.182006744671368</v>
      </c>
      <c r="R188">
        <f t="shared" si="118"/>
        <v>1.4948623920018227</v>
      </c>
      <c r="S188">
        <f t="shared" si="119"/>
        <v>0.93738430513426863</v>
      </c>
      <c r="T188">
        <f t="shared" si="120"/>
        <v>-0.35575352351308387</v>
      </c>
      <c r="U188">
        <f t="shared" si="121"/>
        <v>0.93587772707308425</v>
      </c>
      <c r="V188">
        <f t="shared" si="122"/>
        <v>-0.36005420558221174</v>
      </c>
      <c r="X188">
        <f t="shared" si="139"/>
        <v>-8.2549323977823583</v>
      </c>
      <c r="Y188">
        <f t="shared" si="123"/>
        <v>-137.4861616999346</v>
      </c>
      <c r="Z188">
        <f t="shared" si="140"/>
        <v>42.513838300065402</v>
      </c>
      <c r="AC188">
        <v>1</v>
      </c>
      <c r="AD188">
        <f t="shared" si="124"/>
        <v>15.121333654465499</v>
      </c>
      <c r="AE188">
        <f t="shared" si="125"/>
        <v>-8.7789370592738819E-4</v>
      </c>
      <c r="AF188">
        <f t="shared" si="126"/>
        <v>2.3319413922419999E-3</v>
      </c>
      <c r="AG188">
        <f t="shared" si="141"/>
        <v>5538.1091119275097</v>
      </c>
      <c r="AH188">
        <f t="shared" si="142"/>
        <v>-2513.730041244517</v>
      </c>
      <c r="AJ188">
        <f t="shared" si="127"/>
        <v>26400</v>
      </c>
      <c r="AK188">
        <f t="shared" si="128"/>
        <v>9809.2485717811196</v>
      </c>
      <c r="AL188">
        <v>1</v>
      </c>
      <c r="AM188">
        <f t="shared" si="129"/>
        <v>13.1440215237408</v>
      </c>
      <c r="AN188">
        <f t="shared" si="143"/>
        <v>893.92400401775762</v>
      </c>
      <c r="AO188">
        <f t="shared" si="144"/>
        <v>-1940.5077776168453</v>
      </c>
      <c r="AQ188">
        <f t="shared" si="130"/>
        <v>0.42163848716110808</v>
      </c>
      <c r="AR188">
        <f t="shared" si="131"/>
        <v>-64.93232702281064</v>
      </c>
      <c r="AT188">
        <f t="shared" si="156"/>
        <v>-160887.261137466</v>
      </c>
      <c r="AU188">
        <f t="shared" si="157"/>
        <v>-360662.19727540622</v>
      </c>
      <c r="AV188">
        <f t="shared" si="145"/>
        <v>-1.9903926953728321</v>
      </c>
      <c r="AW188">
        <f t="shared" si="146"/>
        <v>-119147.27974078982</v>
      </c>
      <c r="AX188">
        <f t="shared" si="147"/>
        <v>-71438.138487758348</v>
      </c>
      <c r="AY188">
        <f t="shared" si="155"/>
        <v>-2.6014831916169778</v>
      </c>
      <c r="BA188">
        <f t="shared" si="132"/>
        <v>2.8427356577207292</v>
      </c>
      <c r="BB188">
        <f t="shared" si="148"/>
        <v>9.0747295418164562</v>
      </c>
      <c r="BC188">
        <f t="shared" si="149"/>
        <v>0.61109049624414569</v>
      </c>
      <c r="BD188">
        <f t="shared" si="133"/>
        <v>-144.98709362464729</v>
      </c>
      <c r="BF188">
        <f t="shared" si="134"/>
        <v>-8.2668920454749895</v>
      </c>
      <c r="BG188">
        <f t="shared" si="135"/>
        <v>-143.32623973869599</v>
      </c>
      <c r="BH188">
        <f t="shared" si="150"/>
        <v>36.673760261304011</v>
      </c>
      <c r="BI188">
        <f t="shared" si="151"/>
        <v>36.673760261304011</v>
      </c>
      <c r="BJ188">
        <f t="shared" si="136"/>
        <v>0</v>
      </c>
      <c r="BK188">
        <f t="shared" si="152"/>
        <v>0</v>
      </c>
      <c r="BM188">
        <f t="shared" si="153"/>
        <v>-17.341621587291442</v>
      </c>
      <c r="BN188">
        <f t="shared" si="137"/>
        <v>-178.3391461140487</v>
      </c>
      <c r="BQ188" s="56">
        <f t="shared" si="154"/>
        <v>25.976690342101591</v>
      </c>
      <c r="BR188" s="59"/>
      <c r="BS188" s="59"/>
      <c r="BT188" s="59">
        <v>6025.5959999999995</v>
      </c>
      <c r="BU188" s="59">
        <v>0.76992799999999995</v>
      </c>
      <c r="BV188" s="59">
        <v>-234.14699999999999</v>
      </c>
      <c r="BW188" s="61"/>
      <c r="BY188" s="59"/>
      <c r="BZ188" s="59"/>
      <c r="CA188" s="59"/>
      <c r="CC188" s="59"/>
    </row>
    <row r="189" spans="1:81" x14ac:dyDescent="0.2">
      <c r="A189">
        <f t="shared" si="158"/>
        <v>77500</v>
      </c>
      <c r="B189">
        <f t="shared" si="138"/>
        <v>77.5</v>
      </c>
      <c r="C189">
        <f t="shared" si="107"/>
        <v>1.0000455444433087</v>
      </c>
      <c r="D189">
        <f t="shared" si="108"/>
        <v>9.5438686910155508E-3</v>
      </c>
      <c r="F189">
        <f t="shared" si="109"/>
        <v>8.9358662306089943E-3</v>
      </c>
      <c r="G189">
        <f t="shared" si="110"/>
        <v>1.9377004666831024E-2</v>
      </c>
      <c r="H189">
        <f t="shared" si="111"/>
        <v>-3.1222156453331693</v>
      </c>
      <c r="J189">
        <f t="shared" si="112"/>
        <v>15</v>
      </c>
      <c r="M189">
        <f t="shared" si="113"/>
        <v>1.6138659713899439E-2</v>
      </c>
      <c r="N189">
        <f t="shared" si="114"/>
        <v>-1.5707963250000001</v>
      </c>
      <c r="O189">
        <f t="shared" si="115"/>
        <v>15.2523412900149</v>
      </c>
      <c r="P189">
        <f t="shared" si="116"/>
        <v>1.5051855590049859</v>
      </c>
      <c r="Q189">
        <f t="shared" si="117"/>
        <v>13.267113167232761</v>
      </c>
      <c r="R189">
        <f t="shared" si="118"/>
        <v>1.4953504254575631</v>
      </c>
      <c r="S189">
        <f t="shared" si="119"/>
        <v>0.93664437750108598</v>
      </c>
      <c r="T189">
        <f t="shared" si="120"/>
        <v>-0.35787190330694146</v>
      </c>
      <c r="U189">
        <f t="shared" si="121"/>
        <v>0.9351218231995857</v>
      </c>
      <c r="V189">
        <f t="shared" si="122"/>
        <v>-0.36219360177467941</v>
      </c>
      <c r="X189">
        <f t="shared" si="139"/>
        <v>-8.3265793460298454</v>
      </c>
      <c r="Y189">
        <f t="shared" si="123"/>
        <v>-137.68162209286444</v>
      </c>
      <c r="Z189">
        <f t="shared" si="140"/>
        <v>42.318377907135556</v>
      </c>
      <c r="AC189">
        <v>1</v>
      </c>
      <c r="AD189">
        <f t="shared" si="124"/>
        <v>15.219524132741251</v>
      </c>
      <c r="AE189">
        <f t="shared" si="125"/>
        <v>-8.8933193982566633E-4</v>
      </c>
      <c r="AF189">
        <f t="shared" si="126"/>
        <v>2.3470838688149998E-3</v>
      </c>
      <c r="AG189">
        <f t="shared" si="141"/>
        <v>5529.1665174190566</v>
      </c>
      <c r="AH189">
        <f t="shared" si="142"/>
        <v>-2521.1133113632336</v>
      </c>
      <c r="AJ189">
        <f t="shared" si="127"/>
        <v>26400</v>
      </c>
      <c r="AK189">
        <f t="shared" si="128"/>
        <v>9872.9449910784006</v>
      </c>
      <c r="AL189">
        <v>1</v>
      </c>
      <c r="AM189">
        <f t="shared" si="129"/>
        <v>13.229372312856002</v>
      </c>
      <c r="AN189">
        <f t="shared" si="143"/>
        <v>892.03597867362669</v>
      </c>
      <c r="AO189">
        <f t="shared" si="144"/>
        <v>-1928.1310872578829</v>
      </c>
      <c r="AQ189">
        <f t="shared" si="130"/>
        <v>0.41621576625322565</v>
      </c>
      <c r="AR189">
        <f t="shared" si="131"/>
        <v>-64.513443769249974</v>
      </c>
      <c r="AT189">
        <f t="shared" si="156"/>
        <v>-160344.37556975032</v>
      </c>
      <c r="AU189">
        <f t="shared" si="157"/>
        <v>-357754.90032103425</v>
      </c>
      <c r="AV189">
        <f t="shared" si="145"/>
        <v>-1.9921491729665182</v>
      </c>
      <c r="AW189">
        <f t="shared" si="146"/>
        <v>-117553.40797089982</v>
      </c>
      <c r="AX189">
        <f t="shared" si="147"/>
        <v>-70868.751924918513</v>
      </c>
      <c r="AY189">
        <f t="shared" si="155"/>
        <v>-2.5990697182868487</v>
      </c>
      <c r="BA189">
        <f t="shared" si="132"/>
        <v>2.8561516943625986</v>
      </c>
      <c r="BB189">
        <f t="shared" si="148"/>
        <v>9.115625394541345</v>
      </c>
      <c r="BC189">
        <f t="shared" si="149"/>
        <v>0.60692054532033057</v>
      </c>
      <c r="BD189">
        <f t="shared" si="133"/>
        <v>-145.22601421363157</v>
      </c>
      <c r="BF189">
        <f t="shared" si="134"/>
        <v>-8.3394206634769539</v>
      </c>
      <c r="BG189">
        <f t="shared" si="135"/>
        <v>-143.56897022850117</v>
      </c>
      <c r="BH189">
        <f t="shared" si="150"/>
        <v>36.431029771498828</v>
      </c>
      <c r="BI189">
        <f t="shared" si="151"/>
        <v>36.431029771498828</v>
      </c>
      <c r="BJ189">
        <f t="shared" si="136"/>
        <v>0</v>
      </c>
      <c r="BK189">
        <f t="shared" si="152"/>
        <v>0</v>
      </c>
      <c r="BM189">
        <f t="shared" si="153"/>
        <v>-17.455046058018297</v>
      </c>
      <c r="BN189">
        <f t="shared" si="137"/>
        <v>-178.3429560148696</v>
      </c>
      <c r="BQ189" s="56">
        <f t="shared" si="154"/>
        <v>26.017586194826482</v>
      </c>
      <c r="BR189" s="59"/>
      <c r="BS189" s="59"/>
      <c r="BT189" s="59">
        <v>6165.95</v>
      </c>
      <c r="BU189" s="59">
        <v>0.46947800000000001</v>
      </c>
      <c r="BV189" s="59">
        <v>-232.05599999999998</v>
      </c>
      <c r="BW189" s="61"/>
      <c r="BY189" s="59"/>
      <c r="BZ189" s="59"/>
      <c r="CA189" s="59"/>
      <c r="CC189" s="59"/>
    </row>
    <row r="190" spans="1:81" x14ac:dyDescent="0.2">
      <c r="A190">
        <f t="shared" si="158"/>
        <v>78000</v>
      </c>
      <c r="B190">
        <f t="shared" si="138"/>
        <v>78</v>
      </c>
      <c r="C190">
        <f t="shared" si="107"/>
        <v>1.0000461339956566</v>
      </c>
      <c r="D190">
        <f t="shared" si="108"/>
        <v>9.6054382622629102E-3</v>
      </c>
      <c r="F190">
        <f t="shared" si="109"/>
        <v>8.8206845266184334E-3</v>
      </c>
      <c r="G190">
        <f t="shared" si="110"/>
        <v>1.9250624447546733E-2</v>
      </c>
      <c r="H190">
        <f t="shared" si="111"/>
        <v>-3.1223420255524537</v>
      </c>
      <c r="J190">
        <f t="shared" si="112"/>
        <v>15</v>
      </c>
      <c r="M190">
        <f t="shared" si="113"/>
        <v>1.6035206767015472E-2</v>
      </c>
      <c r="N190">
        <f t="shared" si="114"/>
        <v>-1.5707963250000001</v>
      </c>
      <c r="O190">
        <f t="shared" si="115"/>
        <v>15.350321850194666</v>
      </c>
      <c r="P190">
        <f t="shared" si="116"/>
        <v>1.5056049464140246</v>
      </c>
      <c r="Q190">
        <f t="shared" si="117"/>
        <v>13.352222709428029</v>
      </c>
      <c r="R190">
        <f t="shared" si="118"/>
        <v>1.49583223739545</v>
      </c>
      <c r="S190">
        <f t="shared" si="119"/>
        <v>0.93590142713055202</v>
      </c>
      <c r="T190">
        <f t="shared" si="120"/>
        <v>-0.35998693196352233</v>
      </c>
      <c r="U190">
        <f t="shared" si="121"/>
        <v>0.93436287318646416</v>
      </c>
      <c r="V190">
        <f t="shared" si="122"/>
        <v>-0.36432953503873672</v>
      </c>
      <c r="X190">
        <f t="shared" si="139"/>
        <v>-8.3979023053489534</v>
      </c>
      <c r="Y190">
        <f t="shared" si="123"/>
        <v>-137.87726272753264</v>
      </c>
      <c r="Z190">
        <f t="shared" si="140"/>
        <v>42.122737272467361</v>
      </c>
      <c r="AC190">
        <v>1</v>
      </c>
      <c r="AD190">
        <f t="shared" si="124"/>
        <v>15.317714611017001</v>
      </c>
      <c r="AE190">
        <f t="shared" si="125"/>
        <v>-9.0084420760030873E-4</v>
      </c>
      <c r="AF190">
        <f t="shared" si="126"/>
        <v>2.3622263453879997E-3</v>
      </c>
      <c r="AG190">
        <f t="shared" si="141"/>
        <v>5520.1951556091808</v>
      </c>
      <c r="AH190">
        <f t="shared" si="142"/>
        <v>-2528.4773588336079</v>
      </c>
      <c r="AJ190">
        <f t="shared" si="127"/>
        <v>26400</v>
      </c>
      <c r="AK190">
        <f t="shared" si="128"/>
        <v>9936.6414103756815</v>
      </c>
      <c r="AL190">
        <v>1</v>
      </c>
      <c r="AM190">
        <f t="shared" si="129"/>
        <v>13.314723101971202</v>
      </c>
      <c r="AN190">
        <f t="shared" si="143"/>
        <v>890.18387346423435</v>
      </c>
      <c r="AO190">
        <f t="shared" si="144"/>
        <v>-1915.9103746407704</v>
      </c>
      <c r="AQ190">
        <f t="shared" si="130"/>
        <v>0.41089698812507702</v>
      </c>
      <c r="AR190">
        <f t="shared" si="131"/>
        <v>-64.099930147512012</v>
      </c>
      <c r="AT190">
        <f t="shared" si="156"/>
        <v>-159806.99051749747</v>
      </c>
      <c r="AU190">
        <f t="shared" si="157"/>
        <v>-354883.06760646991</v>
      </c>
      <c r="AV190">
        <f t="shared" si="145"/>
        <v>-1.9939070736041935</v>
      </c>
      <c r="AW190">
        <f t="shared" si="146"/>
        <v>-115990.0353430189</v>
      </c>
      <c r="AX190">
        <f t="shared" si="147"/>
        <v>-70309.234229634996</v>
      </c>
      <c r="AY190">
        <f t="shared" si="155"/>
        <v>-2.596651544052611</v>
      </c>
      <c r="BA190">
        <f t="shared" si="132"/>
        <v>2.8694827590717398</v>
      </c>
      <c r="BB190">
        <f t="shared" si="148"/>
        <v>9.1560723937348136</v>
      </c>
      <c r="BC190">
        <f t="shared" si="149"/>
        <v>0.6027444704484175</v>
      </c>
      <c r="BD190">
        <f t="shared" si="133"/>
        <v>-145.46528567899625</v>
      </c>
      <c r="BF190">
        <f t="shared" si="134"/>
        <v>-8.4116559249057339</v>
      </c>
      <c r="BG190">
        <f t="shared" si="135"/>
        <v>-143.81195507047011</v>
      </c>
      <c r="BH190">
        <f t="shared" si="150"/>
        <v>36.188044929529894</v>
      </c>
      <c r="BI190">
        <f t="shared" si="151"/>
        <v>36.188044929529894</v>
      </c>
      <c r="BJ190">
        <f t="shared" si="136"/>
        <v>0</v>
      </c>
      <c r="BK190">
        <f t="shared" si="152"/>
        <v>0</v>
      </c>
      <c r="BM190">
        <f t="shared" si="153"/>
        <v>-17.567728318640548</v>
      </c>
      <c r="BN190">
        <f t="shared" si="137"/>
        <v>-178.34666939147388</v>
      </c>
      <c r="BQ190" s="56">
        <f t="shared" si="154"/>
        <v>26.058033194019949</v>
      </c>
      <c r="BR190" s="59"/>
      <c r="BS190" s="59"/>
      <c r="BT190" s="59">
        <v>6309.5730000000003</v>
      </c>
      <c r="BU190" s="59">
        <v>0.36985299999999999</v>
      </c>
      <c r="BV190" s="59">
        <v>-231.369</v>
      </c>
      <c r="BW190" s="61"/>
      <c r="BY190" s="59"/>
      <c r="BZ190" s="59"/>
      <c r="CA190" s="59"/>
      <c r="CC190" s="59"/>
    </row>
    <row r="191" spans="1:81" x14ac:dyDescent="0.2">
      <c r="A191">
        <f t="shared" si="158"/>
        <v>78500</v>
      </c>
      <c r="B191">
        <f t="shared" si="138"/>
        <v>78.5</v>
      </c>
      <c r="C191">
        <f t="shared" si="107"/>
        <v>1.0000467273389868</v>
      </c>
      <c r="D191">
        <f t="shared" si="108"/>
        <v>9.667007760683289E-3</v>
      </c>
      <c r="F191">
        <f t="shared" si="109"/>
        <v>8.7077217522820369E-3</v>
      </c>
      <c r="G191">
        <f t="shared" si="110"/>
        <v>1.9125895676175907E-2</v>
      </c>
      <c r="H191">
        <f t="shared" si="111"/>
        <v>-3.1224667543238245</v>
      </c>
      <c r="J191">
        <f t="shared" si="112"/>
        <v>15</v>
      </c>
      <c r="M191">
        <f t="shared" si="113"/>
        <v>1.5933071692066328E-2</v>
      </c>
      <c r="N191">
        <f t="shared" si="114"/>
        <v>-1.5707963250000001</v>
      </c>
      <c r="O191">
        <f t="shared" si="115"/>
        <v>15.448305076029607</v>
      </c>
      <c r="P191">
        <f t="shared" si="116"/>
        <v>1.5060190138381977</v>
      </c>
      <c r="Q191">
        <f t="shared" si="117"/>
        <v>13.437335311979657</v>
      </c>
      <c r="R191">
        <f t="shared" si="118"/>
        <v>1.4963079458116375</v>
      </c>
      <c r="S191">
        <f t="shared" si="119"/>
        <v>0.93515548112682489</v>
      </c>
      <c r="T191">
        <f t="shared" si="120"/>
        <v>-0.36209859855093551</v>
      </c>
      <c r="U191">
        <f t="shared" si="121"/>
        <v>0.9336009051939278</v>
      </c>
      <c r="V191">
        <f t="shared" si="122"/>
        <v>-0.36646199433372623</v>
      </c>
      <c r="X191">
        <f t="shared" si="139"/>
        <v>-8.4689062970982789</v>
      </c>
      <c r="Y191">
        <f t="shared" si="123"/>
        <v>-138.07307158795211</v>
      </c>
      <c r="Z191">
        <f t="shared" si="140"/>
        <v>41.926928412047886</v>
      </c>
      <c r="AC191">
        <v>1</v>
      </c>
      <c r="AD191">
        <f t="shared" si="124"/>
        <v>15.41590508929275</v>
      </c>
      <c r="AE191">
        <f t="shared" si="125"/>
        <v>-9.1243050925131515E-4</v>
      </c>
      <c r="AF191">
        <f t="shared" si="126"/>
        <v>2.3773688219609996E-3</v>
      </c>
      <c r="AG191">
        <f t="shared" si="141"/>
        <v>5511.1954466739671</v>
      </c>
      <c r="AH191">
        <f t="shared" si="142"/>
        <v>-2535.8214561842833</v>
      </c>
      <c r="AJ191">
        <f t="shared" si="127"/>
        <v>26400</v>
      </c>
      <c r="AK191">
        <f t="shared" si="128"/>
        <v>10000.337829672961</v>
      </c>
      <c r="AL191">
        <v>1</v>
      </c>
      <c r="AM191">
        <f t="shared" si="129"/>
        <v>13.4000738910864</v>
      </c>
      <c r="AN191">
        <f t="shared" si="143"/>
        <v>888.3667846290798</v>
      </c>
      <c r="AO191">
        <f t="shared" si="144"/>
        <v>-1903.8427267435452</v>
      </c>
      <c r="AQ191">
        <f t="shared" si="130"/>
        <v>0.40567951318458417</v>
      </c>
      <c r="AR191">
        <f t="shared" si="131"/>
        <v>-63.691683569979716</v>
      </c>
      <c r="AT191">
        <f t="shared" si="156"/>
        <v>-159274.95869138275</v>
      </c>
      <c r="AU191">
        <f t="shared" si="157"/>
        <v>-352046.04729573923</v>
      </c>
      <c r="AV191">
        <f t="shared" si="145"/>
        <v>-1.9956662934666585</v>
      </c>
      <c r="AW191">
        <f t="shared" si="146"/>
        <v>-114456.39549351933</v>
      </c>
      <c r="AX191">
        <f t="shared" si="147"/>
        <v>-69759.333389316482</v>
      </c>
      <c r="AY191">
        <f t="shared" si="155"/>
        <v>-2.5942288452978532</v>
      </c>
      <c r="BA191">
        <f t="shared" si="132"/>
        <v>2.8827285673661276</v>
      </c>
      <c r="BB191">
        <f t="shared" si="148"/>
        <v>9.1960750382276224</v>
      </c>
      <c r="BC191">
        <f t="shared" si="149"/>
        <v>0.59856255183119478</v>
      </c>
      <c r="BD191">
        <f t="shared" si="133"/>
        <v>-145.70489196630407</v>
      </c>
      <c r="BF191">
        <f t="shared" si="134"/>
        <v>-8.4836030599076722</v>
      </c>
      <c r="BG191">
        <f t="shared" si="135"/>
        <v>-144.05518011755927</v>
      </c>
      <c r="BH191">
        <f t="shared" si="150"/>
        <v>35.944819882440726</v>
      </c>
      <c r="BI191">
        <f t="shared" si="151"/>
        <v>35.944819882440726</v>
      </c>
      <c r="BJ191">
        <f t="shared" si="136"/>
        <v>0</v>
      </c>
      <c r="BK191">
        <f t="shared" si="152"/>
        <v>0</v>
      </c>
      <c r="BM191">
        <f t="shared" si="153"/>
        <v>-17.679678098135298</v>
      </c>
      <c r="BN191">
        <f t="shared" si="137"/>
        <v>-178.3502881512552</v>
      </c>
      <c r="BQ191" s="56">
        <f t="shared" si="154"/>
        <v>26.098035838512761</v>
      </c>
      <c r="BR191" s="59"/>
      <c r="BS191" s="59"/>
      <c r="BT191" s="59">
        <v>6456.5420000000004</v>
      </c>
      <c r="BU191" s="59">
        <v>0.12767600000000001</v>
      </c>
      <c r="BV191" s="59">
        <v>-230.779</v>
      </c>
      <c r="BW191" s="61"/>
      <c r="BY191" s="59"/>
      <c r="BZ191" s="59"/>
      <c r="CA191" s="59"/>
      <c r="CC191" s="59"/>
    </row>
    <row r="192" spans="1:81" x14ac:dyDescent="0.2">
      <c r="A192">
        <f t="shared" si="158"/>
        <v>79000</v>
      </c>
      <c r="B192">
        <f t="shared" si="138"/>
        <v>79</v>
      </c>
      <c r="C192">
        <f t="shared" si="107"/>
        <v>1.000047324473293</v>
      </c>
      <c r="D192">
        <f t="shared" si="108"/>
        <v>9.7285771858100275E-3</v>
      </c>
      <c r="F192">
        <f t="shared" si="109"/>
        <v>8.596921120704884E-3</v>
      </c>
      <c r="G192">
        <f t="shared" si="110"/>
        <v>1.9002785940643155E-2</v>
      </c>
      <c r="H192">
        <f t="shared" si="111"/>
        <v>-3.122589864059357</v>
      </c>
      <c r="J192">
        <f t="shared" si="112"/>
        <v>15</v>
      </c>
      <c r="M192">
        <f t="shared" si="113"/>
        <v>1.5832229466167174E-2</v>
      </c>
      <c r="N192">
        <f t="shared" si="114"/>
        <v>-1.5707963250000001</v>
      </c>
      <c r="O192">
        <f t="shared" si="115"/>
        <v>15.546290917117453</v>
      </c>
      <c r="P192">
        <f t="shared" si="116"/>
        <v>1.5064278617272582</v>
      </c>
      <c r="Q192">
        <f t="shared" si="117"/>
        <v>13.522450917100436</v>
      </c>
      <c r="R192">
        <f t="shared" si="118"/>
        <v>1.4967776657426344</v>
      </c>
      <c r="S192">
        <f t="shared" si="119"/>
        <v>0.93440656658065357</v>
      </c>
      <c r="T192">
        <f t="shared" si="120"/>
        <v>-0.3642068922919513</v>
      </c>
      <c r="U192">
        <f t="shared" si="121"/>
        <v>0.93283594736351327</v>
      </c>
      <c r="V192">
        <f t="shared" si="122"/>
        <v>-0.36859096878125353</v>
      </c>
      <c r="X192">
        <f t="shared" si="139"/>
        <v>-8.5395962302009849</v>
      </c>
      <c r="Y192">
        <f t="shared" si="123"/>
        <v>-138.26903694399547</v>
      </c>
      <c r="Z192">
        <f t="shared" si="140"/>
        <v>41.730963056004526</v>
      </c>
      <c r="AC192">
        <v>1</v>
      </c>
      <c r="AD192">
        <f t="shared" si="124"/>
        <v>15.5140955675685</v>
      </c>
      <c r="AE192">
        <f t="shared" si="125"/>
        <v>-9.2409084477868594E-4</v>
      </c>
      <c r="AF192">
        <f t="shared" si="126"/>
        <v>2.392511298534E-3</v>
      </c>
      <c r="AG192">
        <f t="shared" si="141"/>
        <v>5502.1678098315433</v>
      </c>
      <c r="AH192">
        <f t="shared" si="142"/>
        <v>-2543.1448968410614</v>
      </c>
      <c r="AJ192">
        <f t="shared" si="127"/>
        <v>26400</v>
      </c>
      <c r="AK192">
        <f t="shared" si="128"/>
        <v>10064.034248970242</v>
      </c>
      <c r="AL192">
        <v>1</v>
      </c>
      <c r="AM192">
        <f t="shared" si="129"/>
        <v>13.485424680201602</v>
      </c>
      <c r="AN192">
        <f t="shared" si="143"/>
        <v>886.58383660131517</v>
      </c>
      <c r="AO192">
        <f t="shared" si="144"/>
        <v>-1891.9253022009586</v>
      </c>
      <c r="AQ192">
        <f t="shared" si="130"/>
        <v>0.40056078509913878</v>
      </c>
      <c r="AR192">
        <f t="shared" si="131"/>
        <v>-63.288604045663931</v>
      </c>
      <c r="AT192">
        <f t="shared" si="156"/>
        <v>-158748.13774927144</v>
      </c>
      <c r="AU192">
        <f t="shared" si="157"/>
        <v>-349243.20402572595</v>
      </c>
      <c r="AV192">
        <f t="shared" si="145"/>
        <v>-1.9974267312275866</v>
      </c>
      <c r="AW192">
        <f t="shared" si="146"/>
        <v>-112951.74592778656</v>
      </c>
      <c r="AX192">
        <f t="shared" si="147"/>
        <v>-69218.805706418265</v>
      </c>
      <c r="AY192">
        <f t="shared" si="155"/>
        <v>-2.5918017953536565</v>
      </c>
      <c r="BA192">
        <f t="shared" si="132"/>
        <v>2.8958888425761842</v>
      </c>
      <c r="BB192">
        <f t="shared" si="148"/>
        <v>9.2356377528344904</v>
      </c>
      <c r="BC192">
        <f t="shared" si="149"/>
        <v>0.59437506412606989</v>
      </c>
      <c r="BD192">
        <f t="shared" si="133"/>
        <v>-145.94481733884481</v>
      </c>
      <c r="BF192">
        <f t="shared" si="134"/>
        <v>-8.5552671811027245</v>
      </c>
      <c r="BG192">
        <f t="shared" si="135"/>
        <v>-144.29863149016018</v>
      </c>
      <c r="BH192">
        <f t="shared" si="150"/>
        <v>35.701368509839824</v>
      </c>
      <c r="BI192">
        <f t="shared" si="151"/>
        <v>35.701368509839824</v>
      </c>
      <c r="BJ192">
        <f t="shared" si="136"/>
        <v>0</v>
      </c>
      <c r="BK192">
        <f t="shared" si="152"/>
        <v>0</v>
      </c>
      <c r="BM192">
        <f t="shared" si="153"/>
        <v>-17.790904933937213</v>
      </c>
      <c r="BN192">
        <f t="shared" si="137"/>
        <v>-178.35381415131539</v>
      </c>
      <c r="BQ192" s="56">
        <f t="shared" si="154"/>
        <v>26.137598553119624</v>
      </c>
      <c r="BR192" s="59"/>
      <c r="BS192" s="59"/>
      <c r="BT192" s="59">
        <v>6606.9340000000002</v>
      </c>
      <c r="BU192" s="59">
        <v>3.6938100000000001E-2</v>
      </c>
      <c r="BV192" s="59">
        <v>-229.60900000000001</v>
      </c>
      <c r="BW192" s="61"/>
      <c r="BY192" s="59"/>
      <c r="BZ192" s="59"/>
      <c r="CA192" s="59"/>
      <c r="CC192" s="59"/>
    </row>
    <row r="193" spans="1:81" x14ac:dyDescent="0.2">
      <c r="A193">
        <f t="shared" si="158"/>
        <v>79500</v>
      </c>
      <c r="B193">
        <f t="shared" si="138"/>
        <v>79.5</v>
      </c>
      <c r="C193">
        <f t="shared" si="107"/>
        <v>1.0000479253985679</v>
      </c>
      <c r="D193">
        <f t="shared" si="108"/>
        <v>9.7901465371764591E-3</v>
      </c>
      <c r="F193">
        <f t="shared" si="109"/>
        <v>8.4882276548699648E-3</v>
      </c>
      <c r="G193">
        <f t="shared" si="110"/>
        <v>1.8881263677695166E-2</v>
      </c>
      <c r="H193">
        <f t="shared" si="111"/>
        <v>-3.122711386322305</v>
      </c>
      <c r="J193">
        <f t="shared" si="112"/>
        <v>15</v>
      </c>
      <c r="M193">
        <f t="shared" si="113"/>
        <v>1.5732655695939707E-2</v>
      </c>
      <c r="N193">
        <f t="shared" si="114"/>
        <v>-1.5707963250000001</v>
      </c>
      <c r="O193">
        <f t="shared" si="115"/>
        <v>15.644279324317345</v>
      </c>
      <c r="P193">
        <f t="shared" si="116"/>
        <v>1.5068315880213612</v>
      </c>
      <c r="Q193">
        <f t="shared" si="117"/>
        <v>13.607569468446989</v>
      </c>
      <c r="R193">
        <f t="shared" si="118"/>
        <v>1.4972415093573512</v>
      </c>
      <c r="S193">
        <f t="shared" si="119"/>
        <v>0.93365471056727523</v>
      </c>
      <c r="T193">
        <f t="shared" si="120"/>
        <v>-0.36631180256367463</v>
      </c>
      <c r="U193">
        <f t="shared" si="121"/>
        <v>0.93206802781588394</v>
      </c>
      <c r="V193">
        <f t="shared" si="122"/>
        <v>-0.37071644766480982</v>
      </c>
      <c r="X193">
        <f t="shared" si="139"/>
        <v>-8.609976904300078</v>
      </c>
      <c r="Y193">
        <f t="shared" si="123"/>
        <v>-138.4651473431102</v>
      </c>
      <c r="Z193">
        <f t="shared" si="140"/>
        <v>41.534852656889797</v>
      </c>
      <c r="AC193">
        <v>1</v>
      </c>
      <c r="AD193">
        <f t="shared" si="124"/>
        <v>15.612286045844252</v>
      </c>
      <c r="AE193">
        <f t="shared" si="125"/>
        <v>-9.3582521418242109E-4</v>
      </c>
      <c r="AF193">
        <f t="shared" si="126"/>
        <v>2.4076537751069999E-3</v>
      </c>
      <c r="AG193">
        <f t="shared" si="141"/>
        <v>5493.112663306355</v>
      </c>
      <c r="AH193">
        <f t="shared" si="142"/>
        <v>-2550.4469945617252</v>
      </c>
      <c r="AJ193">
        <f t="shared" si="127"/>
        <v>26400</v>
      </c>
      <c r="AK193">
        <f t="shared" si="128"/>
        <v>10127.730668267521</v>
      </c>
      <c r="AL193">
        <v>1</v>
      </c>
      <c r="AM193">
        <f t="shared" si="129"/>
        <v>13.570775469316802</v>
      </c>
      <c r="AN193">
        <f t="shared" si="143"/>
        <v>884.83418096079595</v>
      </c>
      <c r="AO193">
        <f t="shared" si="144"/>
        <v>-1880.1553291282714</v>
      </c>
      <c r="AQ193">
        <f t="shared" si="130"/>
        <v>0.39553832766395064</v>
      </c>
      <c r="AR193">
        <f t="shared" si="131"/>
        <v>-62.890594098568151</v>
      </c>
      <c r="AT193">
        <f t="shared" si="156"/>
        <v>-158226.39010838064</v>
      </c>
      <c r="AU193">
        <f t="shared" si="157"/>
        <v>-346473.91838472913</v>
      </c>
      <c r="AV193">
        <f t="shared" si="145"/>
        <v>-1.9991882879805343</v>
      </c>
      <c r="AW193">
        <f t="shared" si="146"/>
        <v>-111475.36713507811</v>
      </c>
      <c r="AX193">
        <f t="shared" si="147"/>
        <v>-68687.415465750266</v>
      </c>
      <c r="AY193">
        <f t="shared" si="155"/>
        <v>-2.5893705645884699</v>
      </c>
      <c r="BA193">
        <f t="shared" si="132"/>
        <v>2.9089633158625929</v>
      </c>
      <c r="BB193">
        <f t="shared" si="148"/>
        <v>9.2747648902632598</v>
      </c>
      <c r="BC193">
        <f t="shared" si="149"/>
        <v>0.59018227660793565</v>
      </c>
      <c r="BD193">
        <f t="shared" si="133"/>
        <v>-146.18504636830355</v>
      </c>
      <c r="BF193">
        <f t="shared" si="134"/>
        <v>-8.6266532867069259</v>
      </c>
      <c r="BG193">
        <f t="shared" si="135"/>
        <v>-144.542295568426</v>
      </c>
      <c r="BH193">
        <f t="shared" si="150"/>
        <v>35.457704431574001</v>
      </c>
      <c r="BI193">
        <f t="shared" si="151"/>
        <v>35.457704431574001</v>
      </c>
      <c r="BJ193">
        <f t="shared" si="136"/>
        <v>0</v>
      </c>
      <c r="BK193">
        <f t="shared" si="152"/>
        <v>0</v>
      </c>
      <c r="BM193">
        <f t="shared" si="153"/>
        <v>-17.901418176970186</v>
      </c>
      <c r="BN193">
        <f t="shared" si="137"/>
        <v>-178.35724920012245</v>
      </c>
      <c r="BQ193" s="56">
        <f t="shared" si="154"/>
        <v>26.176725690548395</v>
      </c>
      <c r="BR193" s="59"/>
      <c r="BS193" s="59"/>
      <c r="BT193" s="59">
        <v>6760.83</v>
      </c>
      <c r="BU193" s="59">
        <v>-4.9019100000000003E-2</v>
      </c>
      <c r="BV193" s="59">
        <v>-229.1</v>
      </c>
      <c r="BW193" s="61"/>
      <c r="BY193" s="59"/>
      <c r="BZ193" s="59"/>
      <c r="CA193" s="59"/>
      <c r="CC193" s="59"/>
    </row>
    <row r="194" spans="1:81" x14ac:dyDescent="0.2">
      <c r="A194">
        <f t="shared" si="158"/>
        <v>80000</v>
      </c>
      <c r="B194">
        <f t="shared" si="138"/>
        <v>80</v>
      </c>
      <c r="C194">
        <f t="shared" si="107"/>
        <v>1.0000485301148052</v>
      </c>
      <c r="D194">
        <f t="shared" si="108"/>
        <v>9.8517158143159277E-3</v>
      </c>
      <c r="F194">
        <f t="shared" si="109"/>
        <v>8.3815881186783282E-3</v>
      </c>
      <c r="G194">
        <f t="shared" si="110"/>
        <v>1.8761298145109635E-2</v>
      </c>
      <c r="H194">
        <f t="shared" si="111"/>
        <v>-3.1228313518548907</v>
      </c>
      <c r="J194">
        <f t="shared" si="112"/>
        <v>15</v>
      </c>
      <c r="M194">
        <f t="shared" si="113"/>
        <v>1.5634326597840083E-2</v>
      </c>
      <c r="N194">
        <f t="shared" si="114"/>
        <v>-1.5707963250000001</v>
      </c>
      <c r="O194">
        <f t="shared" si="115"/>
        <v>15.742270249710673</v>
      </c>
      <c r="P194">
        <f t="shared" si="116"/>
        <v>1.5072302882288431</v>
      </c>
      <c r="Q194">
        <f t="shared" si="117"/>
        <v>13.692690911075003</v>
      </c>
      <c r="R194">
        <f t="shared" si="118"/>
        <v>1.4976995860457389</v>
      </c>
      <c r="S194">
        <f t="shared" si="119"/>
        <v>0.93289994014432809</v>
      </c>
      <c r="T194">
        <f t="shared" si="120"/>
        <v>-0.36841331889720524</v>
      </c>
      <c r="U194">
        <f t="shared" si="121"/>
        <v>0.93129717464864981</v>
      </c>
      <c r="V194">
        <f t="shared" si="122"/>
        <v>-0.37283842042938103</v>
      </c>
      <c r="X194">
        <f t="shared" si="139"/>
        <v>-8.6800530128040858</v>
      </c>
      <c r="Y194">
        <f t="shared" si="123"/>
        <v>-138.66139160233399</v>
      </c>
      <c r="Z194">
        <f t="shared" si="140"/>
        <v>41.338608397666007</v>
      </c>
      <c r="AC194">
        <v>1</v>
      </c>
      <c r="AD194">
        <f t="shared" si="124"/>
        <v>15.710476524120001</v>
      </c>
      <c r="AE194">
        <f t="shared" si="125"/>
        <v>-9.4763361746252048E-4</v>
      </c>
      <c r="AF194">
        <f t="shared" si="126"/>
        <v>2.4227962516799998E-3</v>
      </c>
      <c r="AG194">
        <f t="shared" si="141"/>
        <v>5484.0304242939119</v>
      </c>
      <c r="AH194">
        <f t="shared" si="142"/>
        <v>-2557.7270828907631</v>
      </c>
      <c r="AJ194">
        <f t="shared" si="127"/>
        <v>26400</v>
      </c>
      <c r="AK194">
        <f t="shared" si="128"/>
        <v>10191.427087564802</v>
      </c>
      <c r="AL194">
        <v>1</v>
      </c>
      <c r="AM194">
        <f t="shared" si="129"/>
        <v>13.656126258432003</v>
      </c>
      <c r="AN194">
        <f t="shared" si="143"/>
        <v>883.11699543212046</v>
      </c>
      <c r="AO194">
        <f t="shared" si="144"/>
        <v>-1868.5301030233541</v>
      </c>
      <c r="AQ194">
        <f t="shared" si="130"/>
        <v>0.39060974180696068</v>
      </c>
      <c r="AR194">
        <f t="shared" si="131"/>
        <v>-62.49755868911371</v>
      </c>
      <c r="AT194">
        <f t="shared" si="156"/>
        <v>-157709.58276560612</v>
      </c>
      <c r="AU194">
        <f t="shared" si="157"/>
        <v>-343737.58641065453</v>
      </c>
      <c r="AV194">
        <f t="shared" si="145"/>
        <v>-2.000950867168632</v>
      </c>
      <c r="AW194">
        <f t="shared" si="146"/>
        <v>-110026.56174136735</v>
      </c>
      <c r="AX194">
        <f t="shared" si="147"/>
        <v>-68164.93461730417</v>
      </c>
      <c r="AY194">
        <f t="shared" si="155"/>
        <v>-2.5869353204942573</v>
      </c>
      <c r="BA194">
        <f t="shared" si="132"/>
        <v>2.9219517262331745</v>
      </c>
      <c r="BB194">
        <f t="shared" si="148"/>
        <v>9.3134607329666927</v>
      </c>
      <c r="BC194">
        <f t="shared" si="149"/>
        <v>0.58598445332562532</v>
      </c>
      <c r="BD194">
        <f t="shared" si="133"/>
        <v>-146.4255639257965</v>
      </c>
      <c r="BF194">
        <f t="shared" si="134"/>
        <v>-8.6977662635470043</v>
      </c>
      <c r="BG194">
        <f t="shared" si="135"/>
        <v>-144.7861589848992</v>
      </c>
      <c r="BH194">
        <f t="shared" si="150"/>
        <v>35.213841015100797</v>
      </c>
      <c r="BI194">
        <f t="shared" si="151"/>
        <v>35.213841015100797</v>
      </c>
      <c r="BJ194">
        <f t="shared" si="136"/>
        <v>0</v>
      </c>
      <c r="BK194">
        <f t="shared" si="152"/>
        <v>0</v>
      </c>
      <c r="BM194">
        <f t="shared" si="153"/>
        <v>-18.011226996513699</v>
      </c>
      <c r="BN194">
        <f t="shared" si="137"/>
        <v>-178.36059505910274</v>
      </c>
      <c r="BQ194" s="56">
        <f t="shared" si="154"/>
        <v>26.215421533251831</v>
      </c>
      <c r="BR194" s="59"/>
      <c r="BS194" s="59"/>
      <c r="BT194" s="59">
        <v>6918.31</v>
      </c>
      <c r="BU194" s="59">
        <v>-0.21798300000000001</v>
      </c>
      <c r="BV194" s="59">
        <v>-228.376</v>
      </c>
      <c r="BW194" s="61"/>
      <c r="BY194" s="59"/>
      <c r="BZ194" s="59"/>
      <c r="CA194" s="59"/>
      <c r="CC194" s="59"/>
    </row>
    <row r="195" spans="1:81" x14ac:dyDescent="0.2">
      <c r="A195">
        <f t="shared" si="158"/>
        <v>80500</v>
      </c>
      <c r="B195">
        <f t="shared" si="138"/>
        <v>80.5</v>
      </c>
      <c r="C195">
        <f t="shared" si="107"/>
        <v>1.0000491386219976</v>
      </c>
      <c r="D195">
        <f t="shared" si="108"/>
        <v>9.9132850167617786E-3</v>
      </c>
      <c r="F195">
        <f t="shared" si="109"/>
        <v>8.2769509510429769E-3</v>
      </c>
      <c r="G195">
        <f t="shared" si="110"/>
        <v>1.8642859394995565E-2</v>
      </c>
      <c r="H195">
        <f t="shared" si="111"/>
        <v>-3.1229497906050048</v>
      </c>
      <c r="J195">
        <f t="shared" si="112"/>
        <v>15</v>
      </c>
      <c r="M195">
        <f t="shared" si="113"/>
        <v>1.5537218979219961E-2</v>
      </c>
      <c r="N195">
        <f t="shared" si="114"/>
        <v>-1.5707963250000001</v>
      </c>
      <c r="O195">
        <f t="shared" si="115"/>
        <v>15.840263646563345</v>
      </c>
      <c r="P195">
        <f t="shared" si="116"/>
        <v>1.5076240555011322</v>
      </c>
      <c r="Q195">
        <f t="shared" si="117"/>
        <v>13.777815191396151</v>
      </c>
      <c r="R195">
        <f t="shared" si="118"/>
        <v>1.4981520025041664</v>
      </c>
      <c r="S195">
        <f t="shared" si="119"/>
        <v>0.93214228234979102</v>
      </c>
      <c r="T195">
        <f t="shared" si="120"/>
        <v>-0.37051143097728539</v>
      </c>
      <c r="U195">
        <f t="shared" si="121"/>
        <v>0.93052341593421073</v>
      </c>
      <c r="V195">
        <f t="shared" si="122"/>
        <v>-0.37495687668104311</v>
      </c>
      <c r="X195">
        <f t="shared" si="139"/>
        <v>-8.7498291458275421</v>
      </c>
      <c r="Y195">
        <f t="shared" si="123"/>
        <v>-138.85775880059722</v>
      </c>
      <c r="Z195">
        <f t="shared" si="140"/>
        <v>41.142241199402775</v>
      </c>
      <c r="AC195">
        <v>1</v>
      </c>
      <c r="AD195">
        <f t="shared" si="124"/>
        <v>15.808667002395751</v>
      </c>
      <c r="AE195">
        <f t="shared" si="125"/>
        <v>-9.5951605461898424E-4</v>
      </c>
      <c r="AF195">
        <f t="shared" si="126"/>
        <v>2.4379387282529997E-3</v>
      </c>
      <c r="AG195">
        <f t="shared" si="141"/>
        <v>5474.9215089260524</v>
      </c>
      <c r="AH195">
        <f t="shared" si="142"/>
        <v>-2564.9845146331345</v>
      </c>
      <c r="AJ195">
        <f t="shared" si="127"/>
        <v>26400</v>
      </c>
      <c r="AK195">
        <f t="shared" si="128"/>
        <v>10255.123506862081</v>
      </c>
      <c r="AL195">
        <v>1</v>
      </c>
      <c r="AM195">
        <f t="shared" si="129"/>
        <v>13.741477047547201</v>
      </c>
      <c r="AN195">
        <f t="shared" si="143"/>
        <v>881.43148292547767</v>
      </c>
      <c r="AO195">
        <f t="shared" si="144"/>
        <v>-1857.0469847438624</v>
      </c>
      <c r="AQ195">
        <f t="shared" si="130"/>
        <v>0.38577270272355529</v>
      </c>
      <c r="AR195">
        <f t="shared" si="131"/>
        <v>-62.109405138492399</v>
      </c>
      <c r="AT195">
        <f t="shared" si="156"/>
        <v>-157197.58712561088</v>
      </c>
      <c r="AU195">
        <f t="shared" si="157"/>
        <v>-341033.61910798837</v>
      </c>
      <c r="AV195">
        <f t="shared" si="145"/>
        <v>-2.0027143745168381</v>
      </c>
      <c r="AW195">
        <f t="shared" si="146"/>
        <v>-108604.65369832498</v>
      </c>
      <c r="AX195">
        <f t="shared" si="147"/>
        <v>-67651.142473778411</v>
      </c>
      <c r="AY195">
        <f t="shared" si="155"/>
        <v>-2.5844962277690664</v>
      </c>
      <c r="BA195">
        <f t="shared" si="132"/>
        <v>2.9348538205587658</v>
      </c>
      <c r="BB195">
        <f t="shared" si="148"/>
        <v>9.351729494938759</v>
      </c>
      <c r="BC195">
        <f t="shared" si="149"/>
        <v>0.58178185325222831</v>
      </c>
      <c r="BD195">
        <f t="shared" si="133"/>
        <v>-146.66635517325867</v>
      </c>
      <c r="BF195">
        <f t="shared" si="134"/>
        <v>-8.7686108899717734</v>
      </c>
      <c r="BG195">
        <f t="shared" si="135"/>
        <v>-145.03020861742931</v>
      </c>
      <c r="BH195">
        <f t="shared" si="150"/>
        <v>34.969791382570691</v>
      </c>
      <c r="BI195">
        <f t="shared" si="151"/>
        <v>34.969791382570691</v>
      </c>
      <c r="BJ195">
        <f t="shared" si="136"/>
        <v>0</v>
      </c>
      <c r="BK195">
        <f t="shared" si="152"/>
        <v>0</v>
      </c>
      <c r="BM195">
        <f t="shared" si="153"/>
        <v>-18.120340384910534</v>
      </c>
      <c r="BN195">
        <f t="shared" si="137"/>
        <v>-178.36385344417067</v>
      </c>
      <c r="BQ195" s="56">
        <f t="shared" si="154"/>
        <v>26.253690295223894</v>
      </c>
      <c r="BR195" s="59"/>
      <c r="BS195" s="59"/>
      <c r="BT195" s="59">
        <v>7079.4579999999996</v>
      </c>
      <c r="BU195" s="59">
        <v>-0.38401400000000002</v>
      </c>
      <c r="BV195" s="59">
        <v>-227.04400000000001</v>
      </c>
      <c r="BW195" s="61"/>
      <c r="BY195" s="59"/>
      <c r="BZ195" s="59"/>
      <c r="CA195" s="59"/>
      <c r="CC195" s="59"/>
    </row>
    <row r="196" spans="1:81" x14ac:dyDescent="0.2">
      <c r="A196">
        <f t="shared" si="158"/>
        <v>81000</v>
      </c>
      <c r="B196">
        <f t="shared" si="138"/>
        <v>81</v>
      </c>
      <c r="C196">
        <f t="shared" si="107"/>
        <v>1.0000497509201383</v>
      </c>
      <c r="D196">
        <f t="shared" si="108"/>
        <v>9.9748541440473574E-3</v>
      </c>
      <c r="F196">
        <f t="shared" si="109"/>
        <v>8.1742662028825245E-3</v>
      </c>
      <c r="G196">
        <f t="shared" si="110"/>
        <v>1.8525918248134925E-2</v>
      </c>
      <c r="H196">
        <f t="shared" si="111"/>
        <v>-3.1230667317518654</v>
      </c>
      <c r="J196">
        <f t="shared" si="112"/>
        <v>15</v>
      </c>
      <c r="M196">
        <f t="shared" si="113"/>
        <v>1.5441310220088973E-2</v>
      </c>
      <c r="N196">
        <f t="shared" si="114"/>
        <v>-1.5707963250000001</v>
      </c>
      <c r="O196">
        <f t="shared" si="115"/>
        <v>15.938259469289454</v>
      </c>
      <c r="P196">
        <f t="shared" si="116"/>
        <v>1.5080129807049094</v>
      </c>
      <c r="Q196">
        <f t="shared" si="117"/>
        <v>13.862942257136551</v>
      </c>
      <c r="R196">
        <f t="shared" si="118"/>
        <v>1.4985988628176745</v>
      </c>
      <c r="S196">
        <f t="shared" si="119"/>
        <v>0.93138176419993868</v>
      </c>
      <c r="T196">
        <f t="shared" si="120"/>
        <v>-0.37260612864193454</v>
      </c>
      <c r="U196">
        <f t="shared" si="121"/>
        <v>0.92974677971762254</v>
      </c>
      <c r="V196">
        <f t="shared" si="122"/>
        <v>-0.37707180618654434</v>
      </c>
      <c r="X196">
        <f t="shared" si="139"/>
        <v>-8.8193097930308877</v>
      </c>
      <c r="Y196">
        <f t="shared" si="123"/>
        <v>-139.05423827130113</v>
      </c>
      <c r="Z196">
        <f t="shared" si="140"/>
        <v>40.945761728698869</v>
      </c>
      <c r="AC196">
        <v>1</v>
      </c>
      <c r="AD196">
        <f t="shared" si="124"/>
        <v>15.9068574806715</v>
      </c>
      <c r="AE196">
        <f t="shared" si="125"/>
        <v>-9.7147252565181203E-4</v>
      </c>
      <c r="AF196">
        <f t="shared" si="126"/>
        <v>2.4530812048259997E-3</v>
      </c>
      <c r="AG196">
        <f t="shared" si="141"/>
        <v>5465.786332236723</v>
      </c>
      <c r="AH196">
        <f t="shared" si="142"/>
        <v>-2572.2186613462436</v>
      </c>
      <c r="AJ196">
        <f t="shared" si="127"/>
        <v>26400</v>
      </c>
      <c r="AK196">
        <f t="shared" si="128"/>
        <v>10318.819926159362</v>
      </c>
      <c r="AL196">
        <v>1</v>
      </c>
      <c r="AM196">
        <f t="shared" si="129"/>
        <v>13.8268278366624</v>
      </c>
      <c r="AN196">
        <f t="shared" si="143"/>
        <v>879.7768706182203</v>
      </c>
      <c r="AO196">
        <f t="shared" si="144"/>
        <v>-1845.7033985563821</v>
      </c>
      <c r="AQ196">
        <f t="shared" si="130"/>
        <v>0.38102495713469231</v>
      </c>
      <c r="AR196">
        <f t="shared" si="131"/>
        <v>-61.726043055820156</v>
      </c>
      <c r="AT196">
        <f t="shared" si="156"/>
        <v>-156690.27883629443</v>
      </c>
      <c r="AU196">
        <f t="shared" si="157"/>
        <v>-338361.4419827378</v>
      </c>
      <c r="AV196">
        <f t="shared" si="145"/>
        <v>-2.0044787179666468</v>
      </c>
      <c r="AW196">
        <f t="shared" si="146"/>
        <v>-107208.98750669065</v>
      </c>
      <c r="AX196">
        <f t="shared" si="147"/>
        <v>-67145.825422026741</v>
      </c>
      <c r="AY196">
        <f t="shared" si="155"/>
        <v>-2.5820534483961808</v>
      </c>
      <c r="BA196">
        <f t="shared" si="132"/>
        <v>2.9476693535880805</v>
      </c>
      <c r="BB196">
        <f t="shared" si="148"/>
        <v>9.3895753234573736</v>
      </c>
      <c r="BC196">
        <f t="shared" si="149"/>
        <v>0.577574730429534</v>
      </c>
      <c r="BD196">
        <f t="shared" si="133"/>
        <v>-146.90740555516766</v>
      </c>
      <c r="BF196">
        <f t="shared" si="134"/>
        <v>-8.8391918386645454</v>
      </c>
      <c r="BG196">
        <f t="shared" si="135"/>
        <v>-145.2744315823667</v>
      </c>
      <c r="BH196">
        <f t="shared" si="150"/>
        <v>34.725568417633298</v>
      </c>
      <c r="BI196">
        <f t="shared" si="151"/>
        <v>34.725568417633298</v>
      </c>
      <c r="BJ196">
        <f t="shared" si="136"/>
        <v>0</v>
      </c>
      <c r="BK196">
        <f t="shared" si="152"/>
        <v>0</v>
      </c>
      <c r="BM196">
        <f t="shared" si="153"/>
        <v>-18.228767162121919</v>
      </c>
      <c r="BN196">
        <f t="shared" si="137"/>
        <v>-178.36702602719907</v>
      </c>
      <c r="BQ196" s="56">
        <f t="shared" si="154"/>
        <v>26.29153612374251</v>
      </c>
      <c r="BR196" s="59"/>
      <c r="BS196" s="59"/>
      <c r="BT196" s="59">
        <v>7244.36</v>
      </c>
      <c r="BU196" s="59">
        <v>-0.57486000000000004</v>
      </c>
      <c r="BV196" s="59">
        <v>-226.239</v>
      </c>
      <c r="BW196" s="61"/>
      <c r="BY196" s="59"/>
      <c r="BZ196" s="59"/>
      <c r="CA196" s="59"/>
      <c r="CC196" s="59"/>
    </row>
    <row r="197" spans="1:81" x14ac:dyDescent="0.2">
      <c r="A197">
        <f t="shared" si="158"/>
        <v>81500</v>
      </c>
      <c r="B197">
        <f t="shared" si="138"/>
        <v>81.5</v>
      </c>
      <c r="C197">
        <f t="shared" si="107"/>
        <v>1.0000503670092205</v>
      </c>
      <c r="D197">
        <f t="shared" si="108"/>
        <v>1.0036423195706015E-2</v>
      </c>
      <c r="F197">
        <f t="shared" si="109"/>
        <v>8.0734854768694034E-3</v>
      </c>
      <c r="G197">
        <f t="shared" si="110"/>
        <v>1.8410446269318509E-2</v>
      </c>
      <c r="H197">
        <f t="shared" si="111"/>
        <v>-3.1231822037306816</v>
      </c>
      <c r="J197">
        <f t="shared" si="112"/>
        <v>15</v>
      </c>
      <c r="M197">
        <f t="shared" si="113"/>
        <v>1.5346578255548549E-2</v>
      </c>
      <c r="N197">
        <f t="shared" si="114"/>
        <v>-1.5707963250000001</v>
      </c>
      <c r="O197">
        <f t="shared" si="115"/>
        <v>16.036257673416252</v>
      </c>
      <c r="P197">
        <f t="shared" si="116"/>
        <v>1.5083971524916391</v>
      </c>
      <c r="Q197">
        <f t="shared" si="117"/>
        <v>13.948072057296777</v>
      </c>
      <c r="R197">
        <f t="shared" si="118"/>
        <v>1.4990402685392412</v>
      </c>
      <c r="S197">
        <f t="shared" si="119"/>
        <v>0.93061841268731937</v>
      </c>
      <c r="T197">
        <f t="shared" si="120"/>
        <v>-0.37469740188207162</v>
      </c>
      <c r="U197">
        <f t="shared" si="121"/>
        <v>0.92896729401448541</v>
      </c>
      <c r="V197">
        <f t="shared" si="122"/>
        <v>-0.37918319887287427</v>
      </c>
      <c r="X197">
        <f t="shared" si="139"/>
        <v>-8.8884993463637407</v>
      </c>
      <c r="Y197">
        <f t="shared" si="123"/>
        <v>-139.25081959515896</v>
      </c>
      <c r="Z197">
        <f t="shared" si="140"/>
        <v>40.749180404841042</v>
      </c>
      <c r="AC197">
        <v>1</v>
      </c>
      <c r="AD197">
        <f t="shared" si="124"/>
        <v>16.005047958947248</v>
      </c>
      <c r="AE197">
        <f t="shared" si="125"/>
        <v>-9.8350303056100419E-4</v>
      </c>
      <c r="AF197">
        <f t="shared" si="126"/>
        <v>2.4682236813989996E-3</v>
      </c>
      <c r="AG197">
        <f t="shared" si="141"/>
        <v>5456.6253081282466</v>
      </c>
      <c r="AH197">
        <f t="shared" si="142"/>
        <v>-2579.4289128493347</v>
      </c>
      <c r="AJ197">
        <f t="shared" si="127"/>
        <v>26400</v>
      </c>
      <c r="AK197">
        <f t="shared" si="128"/>
        <v>10382.516345456641</v>
      </c>
      <c r="AL197">
        <v>1</v>
      </c>
      <c r="AM197">
        <f t="shared" si="129"/>
        <v>13.912178625777601</v>
      </c>
      <c r="AN197">
        <f t="shared" si="143"/>
        <v>878.15240907520979</v>
      </c>
      <c r="AO197">
        <f t="shared" si="144"/>
        <v>-1834.496830254599</v>
      </c>
      <c r="AQ197">
        <f t="shared" si="130"/>
        <v>0.37636432066240122</v>
      </c>
      <c r="AR197">
        <f t="shared" si="131"/>
        <v>-61.3473842679714</v>
      </c>
      <c r="AT197">
        <f t="shared" si="156"/>
        <v>-156187.53763128089</v>
      </c>
      <c r="AU197">
        <f t="shared" si="157"/>
        <v>-335720.49459456292</v>
      </c>
      <c r="AV197">
        <f t="shared" si="145"/>
        <v>-2.0062438076131524</v>
      </c>
      <c r="AW197">
        <f t="shared" si="146"/>
        <v>-105838.92747238102</v>
      </c>
      <c r="AX197">
        <f t="shared" si="147"/>
        <v>-66648.776647702485</v>
      </c>
      <c r="AY197">
        <f t="shared" si="155"/>
        <v>-2.5796071417200075</v>
      </c>
      <c r="BA197">
        <f t="shared" si="132"/>
        <v>2.9603980879614551</v>
      </c>
      <c r="BB197">
        <f t="shared" si="148"/>
        <v>9.4270023007752037</v>
      </c>
      <c r="BC197">
        <f t="shared" si="149"/>
        <v>0.57336333410685514</v>
      </c>
      <c r="BD197">
        <f t="shared" si="133"/>
        <v>-147.1487007905898</v>
      </c>
      <c r="BF197">
        <f t="shared" si="134"/>
        <v>-8.9095136793608614</v>
      </c>
      <c r="BG197">
        <f t="shared" si="135"/>
        <v>-145.51881522802188</v>
      </c>
      <c r="BH197">
        <f t="shared" si="150"/>
        <v>34.481184771978121</v>
      </c>
      <c r="BI197">
        <f t="shared" si="151"/>
        <v>34.481184771978121</v>
      </c>
      <c r="BJ197">
        <f t="shared" si="136"/>
        <v>0</v>
      </c>
      <c r="BK197">
        <f t="shared" si="152"/>
        <v>0</v>
      </c>
      <c r="BM197">
        <f t="shared" si="153"/>
        <v>-18.336515980136063</v>
      </c>
      <c r="BN197">
        <f t="shared" si="137"/>
        <v>-178.37011443743211</v>
      </c>
      <c r="BQ197" s="56">
        <f t="shared" si="154"/>
        <v>26.328963101060339</v>
      </c>
      <c r="BR197" s="59"/>
      <c r="BS197" s="59"/>
      <c r="BT197" s="59">
        <v>7413.1019999999999</v>
      </c>
      <c r="BU197" s="59">
        <v>-0.73329999999999995</v>
      </c>
      <c r="BV197" s="59">
        <v>-225.834</v>
      </c>
      <c r="BW197" s="61"/>
      <c r="BY197" s="59"/>
      <c r="BZ197" s="59"/>
      <c r="CA197" s="59"/>
      <c r="CC197" s="59"/>
    </row>
    <row r="198" spans="1:81" x14ac:dyDescent="0.2">
      <c r="A198">
        <f t="shared" si="158"/>
        <v>82000</v>
      </c>
      <c r="B198">
        <f t="shared" si="138"/>
        <v>82</v>
      </c>
      <c r="C198">
        <f t="shared" si="107"/>
        <v>1.0000509868892371</v>
      </c>
      <c r="D198">
        <f t="shared" si="108"/>
        <v>1.0097992171271107E-2</v>
      </c>
      <c r="F198">
        <f t="shared" si="109"/>
        <v>7.974561869795482E-3</v>
      </c>
      <c r="G198">
        <f t="shared" si="110"/>
        <v>1.8296415743630862E-2</v>
      </c>
      <c r="H198">
        <f t="shared" si="111"/>
        <v>-3.1232962342563693</v>
      </c>
      <c r="J198">
        <f t="shared" si="112"/>
        <v>15</v>
      </c>
      <c r="M198">
        <f t="shared" si="113"/>
        <v>1.5253001558868376E-2</v>
      </c>
      <c r="N198">
        <f t="shared" si="114"/>
        <v>-1.5707963250000001</v>
      </c>
      <c r="O198">
        <f t="shared" si="115"/>
        <v>16.134258215550425</v>
      </c>
      <c r="P198">
        <f t="shared" si="116"/>
        <v>1.5087766573645771</v>
      </c>
      <c r="Q198">
        <f t="shared" si="117"/>
        <v>14.033204542113294</v>
      </c>
      <c r="R198">
        <f t="shared" si="118"/>
        <v>1.499476318766179</v>
      </c>
      <c r="S198">
        <f t="shared" si="119"/>
        <v>0.92985225477875499</v>
      </c>
      <c r="T198">
        <f t="shared" si="120"/>
        <v>-0.37678524084112497</v>
      </c>
      <c r="U198">
        <f t="shared" si="121"/>
        <v>0.92818498680885586</v>
      </c>
      <c r="V198">
        <f t="shared" si="122"/>
        <v>-0.38129104482681975</v>
      </c>
      <c r="X198">
        <f t="shared" si="139"/>
        <v>-8.9574021027156068</v>
      </c>
      <c r="Y198">
        <f t="shared" si="123"/>
        <v>-139.44749259329072</v>
      </c>
      <c r="Z198">
        <f t="shared" si="140"/>
        <v>40.552507406709282</v>
      </c>
      <c r="AC198">
        <v>1</v>
      </c>
      <c r="AD198">
        <f t="shared" si="124"/>
        <v>16.103238437223002</v>
      </c>
      <c r="AE198">
        <f t="shared" si="125"/>
        <v>-9.956075693465607E-4</v>
      </c>
      <c r="AF198">
        <f t="shared" si="126"/>
        <v>2.4833661579719999E-3</v>
      </c>
      <c r="AG198">
        <f t="shared" si="141"/>
        <v>5447.4388493381239</v>
      </c>
      <c r="AH198">
        <f t="shared" si="142"/>
        <v>-2586.6146767495652</v>
      </c>
      <c r="AJ198">
        <f t="shared" si="127"/>
        <v>26400</v>
      </c>
      <c r="AK198">
        <f t="shared" si="128"/>
        <v>10446.21276475392</v>
      </c>
      <c r="AL198">
        <v>1</v>
      </c>
      <c r="AM198">
        <f t="shared" si="129"/>
        <v>13.997529414892801</v>
      </c>
      <c r="AN198">
        <f t="shared" si="143"/>
        <v>876.55737140607152</v>
      </c>
      <c r="AO198">
        <f t="shared" si="144"/>
        <v>-1823.4248253436799</v>
      </c>
      <c r="AQ198">
        <f t="shared" si="130"/>
        <v>0.37178867531694987</v>
      </c>
      <c r="AR198">
        <f t="shared" si="131"/>
        <v>-60.973342751979771</v>
      </c>
      <c r="AT198">
        <f t="shared" si="156"/>
        <v>-155689.24717908708</v>
      </c>
      <c r="AU198">
        <f t="shared" si="157"/>
        <v>-333110.23012536782</v>
      </c>
      <c r="AV198">
        <f t="shared" si="145"/>
        <v>-2.008009555644354</v>
      </c>
      <c r="AW198">
        <f t="shared" si="146"/>
        <v>-104493.85699377069</v>
      </c>
      <c r="AX198">
        <f t="shared" si="147"/>
        <v>-66159.795872412593</v>
      </c>
      <c r="AY198">
        <f t="shared" si="155"/>
        <v>-2.5771574645188324</v>
      </c>
      <c r="BA198">
        <f t="shared" si="132"/>
        <v>2.9730397942234763</v>
      </c>
      <c r="BB198">
        <f t="shared" si="148"/>
        <v>9.4640144457604034</v>
      </c>
      <c r="BC198">
        <f t="shared" si="149"/>
        <v>0.56914790887447841</v>
      </c>
      <c r="BD198">
        <f t="shared" si="133"/>
        <v>-147.39022686553392</v>
      </c>
      <c r="BF198">
        <f t="shared" si="134"/>
        <v>-8.9795808814754245</v>
      </c>
      <c r="BG198">
        <f t="shared" si="135"/>
        <v>-145.7633471283782</v>
      </c>
      <c r="BH198">
        <f t="shared" si="150"/>
        <v>34.2366528716218</v>
      </c>
      <c r="BI198">
        <f t="shared" si="151"/>
        <v>34.2366528716218</v>
      </c>
      <c r="BJ198">
        <f t="shared" si="136"/>
        <v>0</v>
      </c>
      <c r="BK198">
        <f t="shared" si="152"/>
        <v>0</v>
      </c>
      <c r="BM198">
        <f t="shared" si="153"/>
        <v>-18.44359532723583</v>
      </c>
      <c r="BN198">
        <f t="shared" si="137"/>
        <v>-178.37312026284428</v>
      </c>
      <c r="BQ198" s="56">
        <f t="shared" si="154"/>
        <v>26.36597524604554</v>
      </c>
      <c r="BR198" s="59"/>
      <c r="BS198" s="59"/>
      <c r="BT198" s="59">
        <v>7585.7759999999998</v>
      </c>
      <c r="BU198" s="59">
        <v>-0.87090199999999995</v>
      </c>
      <c r="BV198" s="59">
        <v>-224.429</v>
      </c>
      <c r="BW198" s="61"/>
      <c r="BY198" s="59"/>
      <c r="BZ198" s="59"/>
      <c r="CA198" s="59"/>
      <c r="CC198" s="59"/>
    </row>
    <row r="199" spans="1:81" x14ac:dyDescent="0.2">
      <c r="A199">
        <f t="shared" si="158"/>
        <v>82500</v>
      </c>
      <c r="B199">
        <f t="shared" si="138"/>
        <v>82.5</v>
      </c>
      <c r="C199">
        <f t="shared" si="107"/>
        <v>1.0000516105601809</v>
      </c>
      <c r="D199">
        <f t="shared" si="108"/>
        <v>1.0159561070275993E-2</v>
      </c>
      <c r="F199">
        <f t="shared" si="109"/>
        <v>7.8774499174256926E-3</v>
      </c>
      <c r="G199">
        <f t="shared" si="110"/>
        <v>1.8183799653641978E-2</v>
      </c>
      <c r="H199">
        <f t="shared" si="111"/>
        <v>-3.1234088503463582</v>
      </c>
      <c r="J199">
        <f t="shared" si="112"/>
        <v>15</v>
      </c>
      <c r="M199">
        <f t="shared" si="113"/>
        <v>1.5160559125178264E-2</v>
      </c>
      <c r="N199">
        <f t="shared" si="114"/>
        <v>-1.5707963250000001</v>
      </c>
      <c r="O199">
        <f t="shared" si="115"/>
        <v>16.23226105334556</v>
      </c>
      <c r="P199">
        <f t="shared" si="116"/>
        <v>1.5091515797433661</v>
      </c>
      <c r="Q199">
        <f t="shared" si="117"/>
        <v>14.118339663021302</v>
      </c>
      <c r="R199">
        <f t="shared" si="118"/>
        <v>1.4999071102137909</v>
      </c>
      <c r="S199">
        <f t="shared" si="119"/>
        <v>0.92908331741336114</v>
      </c>
      <c r="T199">
        <f t="shared" si="120"/>
        <v>-0.37886963581463001</v>
      </c>
      <c r="U199">
        <f t="shared" si="121"/>
        <v>0.9273998860511814</v>
      </c>
      <c r="V199">
        <f t="shared" si="122"/>
        <v>-0.38339533429450828</v>
      </c>
      <c r="X199">
        <f t="shared" si="139"/>
        <v>-9.026022266477721</v>
      </c>
      <c r="Y199">
        <f t="shared" si="123"/>
        <v>-139.64424732055934</v>
      </c>
      <c r="Z199">
        <f t="shared" si="140"/>
        <v>40.355752679440656</v>
      </c>
      <c r="AC199">
        <v>1</v>
      </c>
      <c r="AD199">
        <f t="shared" si="124"/>
        <v>16.201428915498752</v>
      </c>
      <c r="AE199">
        <f t="shared" si="125"/>
        <v>-1.0077861420084812E-3</v>
      </c>
      <c r="AF199">
        <f t="shared" si="126"/>
        <v>2.4985086345449999E-3</v>
      </c>
      <c r="AG199">
        <f t="shared" si="141"/>
        <v>5438.2273674063235</v>
      </c>
      <c r="AH199">
        <f t="shared" si="142"/>
        <v>-2593.7753779840455</v>
      </c>
      <c r="AJ199">
        <f t="shared" si="127"/>
        <v>26400</v>
      </c>
      <c r="AK199">
        <f t="shared" si="128"/>
        <v>10509.909184051201</v>
      </c>
      <c r="AL199">
        <v>1</v>
      </c>
      <c r="AM199">
        <f t="shared" si="129"/>
        <v>14.082880204008003</v>
      </c>
      <c r="AN199">
        <f t="shared" si="143"/>
        <v>874.99105245760836</v>
      </c>
      <c r="AO199">
        <f t="shared" si="144"/>
        <v>-1812.4849872881789</v>
      </c>
      <c r="AQ199">
        <f t="shared" si="130"/>
        <v>0.36729596709028134</v>
      </c>
      <c r="AR199">
        <f t="shared" si="131"/>
        <v>-60.603834569896421</v>
      </c>
      <c r="AT199">
        <f t="shared" si="156"/>
        <v>-155195.2949386473</v>
      </c>
      <c r="AU199">
        <f t="shared" si="157"/>
        <v>-330530.11496364773</v>
      </c>
      <c r="AV199">
        <f t="shared" si="145"/>
        <v>-2.009775876282625</v>
      </c>
      <c r="AW199">
        <f t="shared" si="146"/>
        <v>-103173.17787866389</v>
      </c>
      <c r="AX199">
        <f t="shared" si="147"/>
        <v>-65678.689102735661</v>
      </c>
      <c r="AY199">
        <f t="shared" si="155"/>
        <v>-2.5747045710745877</v>
      </c>
      <c r="BA199">
        <f t="shared" si="132"/>
        <v>2.985594250834422</v>
      </c>
      <c r="BB199">
        <f t="shared" si="148"/>
        <v>9.5006157154888236</v>
      </c>
      <c r="BC199">
        <f t="shared" si="149"/>
        <v>0.56492869479196273</v>
      </c>
      <c r="BD199">
        <f t="shared" si="133"/>
        <v>-147.63197002560045</v>
      </c>
      <c r="BF199">
        <f t="shared" si="134"/>
        <v>-9.0493978166419691</v>
      </c>
      <c r="BG199">
        <f t="shared" si="135"/>
        <v>-146.00801507704745</v>
      </c>
      <c r="BH199">
        <f t="shared" si="150"/>
        <v>33.991984922952554</v>
      </c>
      <c r="BI199">
        <f t="shared" si="151"/>
        <v>33.991984922952554</v>
      </c>
      <c r="BJ199">
        <f t="shared" si="136"/>
        <v>0</v>
      </c>
      <c r="BK199">
        <f t="shared" si="152"/>
        <v>0</v>
      </c>
      <c r="BM199">
        <f t="shared" si="153"/>
        <v>-18.550013532130791</v>
      </c>
      <c r="BN199">
        <f t="shared" si="137"/>
        <v>-178.37604505144699</v>
      </c>
      <c r="BQ199" s="56">
        <f t="shared" si="154"/>
        <v>26.402576515773962</v>
      </c>
      <c r="BR199" s="59"/>
      <c r="BS199" s="59"/>
      <c r="BT199" s="59">
        <v>7762.4709999999995</v>
      </c>
      <c r="BU199" s="59">
        <v>-1.0348599999999999</v>
      </c>
      <c r="BV199" s="59">
        <v>-223.255</v>
      </c>
      <c r="BW199" s="61"/>
      <c r="BY199" s="59"/>
      <c r="BZ199" s="59"/>
      <c r="CA199" s="59"/>
      <c r="CC199" s="59"/>
    </row>
    <row r="200" spans="1:81" x14ac:dyDescent="0.2">
      <c r="A200">
        <f t="shared" si="158"/>
        <v>83000</v>
      </c>
      <c r="B200">
        <f t="shared" si="138"/>
        <v>83</v>
      </c>
      <c r="C200">
        <f t="shared" si="107"/>
        <v>1.0000522380220449</v>
      </c>
      <c r="D200">
        <f t="shared" si="108"/>
        <v>1.0221129892254032E-2</v>
      </c>
      <c r="F200">
        <f t="shared" si="109"/>
        <v>7.7821055417173482E-3</v>
      </c>
      <c r="G200">
        <f t="shared" si="110"/>
        <v>1.8072571657465106E-2</v>
      </c>
      <c r="H200">
        <f t="shared" si="111"/>
        <v>-3.1235200783425352</v>
      </c>
      <c r="J200">
        <f t="shared" si="112"/>
        <v>15</v>
      </c>
      <c r="M200">
        <f t="shared" si="113"/>
        <v>1.5069230455749478E-2</v>
      </c>
      <c r="N200">
        <f t="shared" si="114"/>
        <v>-1.5707963250000001</v>
      </c>
      <c r="O200">
        <f t="shared" si="115"/>
        <v>16.330266145470805</v>
      </c>
      <c r="P200">
        <f t="shared" si="116"/>
        <v>1.5095220020263163</v>
      </c>
      <c r="Q200">
        <f t="shared" si="117"/>
        <v>14.203477372618892</v>
      </c>
      <c r="R200">
        <f t="shared" si="118"/>
        <v>1.5003327372863928</v>
      </c>
      <c r="S200">
        <f t="shared" si="119"/>
        <v>0.92831162750058738</v>
      </c>
      <c r="T200">
        <f t="shared" si="120"/>
        <v>-0.38095057724981496</v>
      </c>
      <c r="U200">
        <f t="shared" si="121"/>
        <v>0.92661201965625861</v>
      </c>
      <c r="V200">
        <f t="shared" si="122"/>
        <v>-0.38549605768093886</v>
      </c>
      <c r="X200">
        <f t="shared" si="139"/>
        <v>-9.0943639520196573</v>
      </c>
      <c r="Y200">
        <f t="shared" si="123"/>
        <v>-139.8410740591396</v>
      </c>
      <c r="Z200">
        <f t="shared" si="140"/>
        <v>40.158925940860399</v>
      </c>
      <c r="AC200">
        <v>1</v>
      </c>
      <c r="AD200">
        <f t="shared" si="124"/>
        <v>16.299619393774499</v>
      </c>
      <c r="AE200">
        <f t="shared" si="125"/>
        <v>-1.0200387485467663E-3</v>
      </c>
      <c r="AF200">
        <f t="shared" si="126"/>
        <v>2.5136511111179998E-3</v>
      </c>
      <c r="AG200">
        <f t="shared" si="141"/>
        <v>5428.991272643103</v>
      </c>
      <c r="AH200">
        <f t="shared" si="142"/>
        <v>-2600.9104583771646</v>
      </c>
      <c r="AJ200">
        <f t="shared" si="127"/>
        <v>26400</v>
      </c>
      <c r="AK200">
        <f t="shared" si="128"/>
        <v>10573.60560334848</v>
      </c>
      <c r="AL200">
        <v>1</v>
      </c>
      <c r="AM200">
        <f t="shared" si="129"/>
        <v>14.168230993123201</v>
      </c>
      <c r="AN200">
        <f t="shared" si="143"/>
        <v>873.45276803970421</v>
      </c>
      <c r="AO200">
        <f t="shared" si="144"/>
        <v>-1801.6749758209087</v>
      </c>
      <c r="AQ200">
        <f t="shared" si="130"/>
        <v>0.36288420365061508</v>
      </c>
      <c r="AR200">
        <f t="shared" si="131"/>
        <v>-60.238777806002105</v>
      </c>
      <c r="AT200">
        <f t="shared" si="156"/>
        <v>-154705.57202088987</v>
      </c>
      <c r="AU200">
        <f t="shared" si="157"/>
        <v>-327979.62830392719</v>
      </c>
      <c r="AV200">
        <f t="shared" si="145"/>
        <v>-2.0115426857282452</v>
      </c>
      <c r="AW200">
        <f t="shared" si="146"/>
        <v>-101876.3096895553</v>
      </c>
      <c r="AX200">
        <f t="shared" si="147"/>
        <v>-65205.268390494908</v>
      </c>
      <c r="AY200">
        <f t="shared" si="155"/>
        <v>-2.572248613239752</v>
      </c>
      <c r="BA200">
        <f t="shared" si="132"/>
        <v>2.9980612441804788</v>
      </c>
      <c r="BB200">
        <f t="shared" si="148"/>
        <v>9.5368100067892936</v>
      </c>
      <c r="BC200">
        <f t="shared" si="149"/>
        <v>0.56070592751150672</v>
      </c>
      <c r="BD200">
        <f t="shared" si="133"/>
        <v>-147.87391676891298</v>
      </c>
      <c r="BF200">
        <f t="shared" si="134"/>
        <v>-9.1189687611696648</v>
      </c>
      <c r="BG200">
        <f t="shared" si="135"/>
        <v>-146.25280708145894</v>
      </c>
      <c r="BH200">
        <f t="shared" si="150"/>
        <v>33.74719291854106</v>
      </c>
      <c r="BI200">
        <f t="shared" si="151"/>
        <v>33.74719291854106</v>
      </c>
      <c r="BJ200">
        <f t="shared" si="136"/>
        <v>0</v>
      </c>
      <c r="BK200">
        <f t="shared" si="152"/>
        <v>0</v>
      </c>
      <c r="BM200">
        <f t="shared" si="153"/>
        <v>-18.65577876795896</v>
      </c>
      <c r="BN200">
        <f t="shared" si="137"/>
        <v>-178.37889031254596</v>
      </c>
      <c r="BQ200" s="56">
        <f t="shared" si="154"/>
        <v>26.438770807074427</v>
      </c>
      <c r="BR200" s="59"/>
      <c r="BS200" s="59"/>
      <c r="BT200" s="59">
        <v>7943.2820000000002</v>
      </c>
      <c r="BU200" s="59">
        <v>-1.2307999999999999</v>
      </c>
      <c r="BV200" s="59">
        <v>-223.13499999999999</v>
      </c>
      <c r="BW200" s="61"/>
      <c r="BY200" s="59"/>
      <c r="BZ200" s="59"/>
      <c r="CA200" s="59"/>
      <c r="CC200" s="59"/>
    </row>
    <row r="201" spans="1:81" x14ac:dyDescent="0.2">
      <c r="A201">
        <f>A200+500</f>
        <v>83500</v>
      </c>
      <c r="B201">
        <f t="shared" si="138"/>
        <v>83.5</v>
      </c>
      <c r="C201">
        <f t="shared" ref="C201:C264" si="159">SQRT((A201/Fesr)^2+1)</f>
        <v>1.0000528692748221</v>
      </c>
      <c r="D201">
        <f t="shared" ref="D201:D264" si="160">ATAN(A201/Fesr)</f>
        <v>1.0282698636738589E-2</v>
      </c>
      <c r="F201">
        <f t="shared" ref="F201:F264" si="161">(Ro/(Ro+Rdcr))/SQRT((A201/(Q*Fo))^2+(1-(A201^2/Fo^2))^2)</f>
        <v>7.688486000289629E-3</v>
      </c>
      <c r="G201">
        <f t="shared" ref="G201:G264" si="162">-ATAN(A201*Fo/(Q*(Fo^2-A201^2)))</f>
        <v>1.7962706067642532E-2</v>
      </c>
      <c r="H201">
        <f t="shared" ref="H201:H264" si="163">IF(G201&gt;0,G201-Pi,G201)</f>
        <v>-3.1236299439323578</v>
      </c>
      <c r="J201">
        <f t="shared" ref="J201:J264" si="164">Vin/Vramp</f>
        <v>15</v>
      </c>
      <c r="M201">
        <f t="shared" ref="M201:M264" si="165">1/(2*Pi*_Rfb1*(Cc1ea_u+Cc2ea_u)*A201)</f>
        <v>1.4978995542840799E-2</v>
      </c>
      <c r="N201">
        <f t="shared" ref="N201:N264" si="166">-Pi/2</f>
        <v>-1.5707963250000001</v>
      </c>
      <c r="O201">
        <f t="shared" ref="O201:O264" si="167">SQRT(1+(A201/Fz1_u)^2)</f>
        <v>16.428273451580623</v>
      </c>
      <c r="P201">
        <f t="shared" ref="P201:P264" si="168">ATAN2(Fz1_u,A201)</f>
        <v>1.5098880046504679</v>
      </c>
      <c r="Q201">
        <f t="shared" ref="Q201:Q264" si="169">SQRT(1+(A201/Fz2_u)^2)</f>
        <v>14.288617624632497</v>
      </c>
      <c r="R201">
        <f t="shared" ref="R201:R264" si="170">ATAN2(Fz2_u,A201)</f>
        <v>1.5007532921458155</v>
      </c>
      <c r="S201">
        <f t="shared" ref="S201:S264" si="171">1/SQRT(1+(A201/Fp1_u)^2)</f>
        <v>0.9275372119182812</v>
      </c>
      <c r="T201">
        <f t="shared" ref="T201:T264" si="172">-ATAN2(Fp1_u,A201)</f>
        <v>-0.38302805574517529</v>
      </c>
      <c r="U201">
        <f t="shared" ref="U201:U264" si="173">1/SQRT(1+(A201/Fp2_u)^2)</f>
        <v>0.92582141550121577</v>
      </c>
      <c r="V201">
        <f t="shared" ref="V201:V264" si="174">-ATAN2(Fp2_u,A201)</f>
        <v>-0.38759320554950027</v>
      </c>
      <c r="X201">
        <f t="shared" si="139"/>
        <v>-9.1624311860840617</v>
      </c>
      <c r="Y201">
        <f t="shared" ref="Y201:Y264" si="175">(180/Pi)*(D201+H201+N201+P201+R201+T201+V201)</f>
        <v>-140.03796331230976</v>
      </c>
      <c r="Z201">
        <f t="shared" si="140"/>
        <v>39.962036687690244</v>
      </c>
      <c r="AC201">
        <v>1</v>
      </c>
      <c r="AD201">
        <f t="shared" ref="AD201:AD264" si="176">Rcea1_u*Cc1ea_u*A201*2*Pi</f>
        <v>16.397809872050249</v>
      </c>
      <c r="AE201">
        <f t="shared" ref="AE201:AE264" si="177">-Rcea1_u*Cc1ea_u*Cc2ea_u*(A201*2*Pi)^2</f>
        <v>-1.0323653889614155E-3</v>
      </c>
      <c r="AF201">
        <f t="shared" ref="AF201:AF264" si="178">(Cc2ea_u+Cc1ea_u)*A201*2*Pi</f>
        <v>2.5287935876909997E-3</v>
      </c>
      <c r="AG201">
        <f t="shared" si="141"/>
        <v>5419.7309740973405</v>
      </c>
      <c r="AH201">
        <f t="shared" si="142"/>
        <v>-2608.0193762125718</v>
      </c>
      <c r="AJ201">
        <f t="shared" ref="AJ201:AJ264" si="179">_Rfb1</f>
        <v>26400</v>
      </c>
      <c r="AK201">
        <f t="shared" ref="AK201:AK264" si="180">_Rfb1*Rcea2_u*Cc3ea_u*A201*2*Pi</f>
        <v>10637.302022645761</v>
      </c>
      <c r="AL201">
        <v>1</v>
      </c>
      <c r="AM201">
        <f t="shared" ref="AM201:AM264" si="181">(_Rfb1+Rcea2_u)*Cc3ea_u*A201*2*Pi</f>
        <v>14.253581782238403</v>
      </c>
      <c r="AN201">
        <f t="shared" si="143"/>
        <v>871.94185418314794</v>
      </c>
      <c r="AO201">
        <f t="shared" si="144"/>
        <v>-1790.9925053103311</v>
      </c>
      <c r="AQ201">
        <f t="shared" ref="AQ201:AQ264" si="182">Eadcg/(1+(Eadcg*A201/GBP)^2)</f>
        <v>0.35855145213338113</v>
      </c>
      <c r="AR201">
        <f t="shared" ref="AR201:AR264" si="183">-(A201*Eadcg*Eadcg/GBP)/(1+(Eadcg*A201/GBP)^2)</f>
        <v>-59.878092506274648</v>
      </c>
      <c r="AT201">
        <f t="shared" si="156"/>
        <v>-154219.97305607822</v>
      </c>
      <c r="AU201">
        <f t="shared" si="157"/>
        <v>-325458.26176065562</v>
      </c>
      <c r="AV201">
        <f t="shared" si="145"/>
        <v>-2.0133099021049121</v>
      </c>
      <c r="AW201">
        <f t="shared" si="146"/>
        <v>-100602.68911585072</v>
      </c>
      <c r="AX201">
        <f t="shared" si="147"/>
        <v>-64739.35160371245</v>
      </c>
      <c r="AY201">
        <f t="shared" si="155"/>
        <v>-2.5697897405015122</v>
      </c>
      <c r="BA201">
        <f t="shared" ref="BA201:BA264" si="184">SQRT(AT201^2+AU201^2)/SQRT(AW201^2+AX201^2)</f>
        <v>3.0104405685827129</v>
      </c>
      <c r="BB201">
        <f t="shared" si="148"/>
        <v>9.5726011577435717</v>
      </c>
      <c r="BC201">
        <f t="shared" si="149"/>
        <v>0.55647983839660009</v>
      </c>
      <c r="BD201">
        <f t="shared" ref="BD201:BD264" si="185">BC201*180/Pi-180</f>
        <v>-148.11605383931999</v>
      </c>
      <c r="BF201">
        <f t="shared" ref="BF201:BF264" si="186">20*LOG(BA201*J201*F201*C201)</f>
        <v>-9.1882978984195134</v>
      </c>
      <c r="BG201">
        <f t="shared" ref="BG201:BG264" si="187">(180/Pi)*(D201+H201+BC201)</f>
        <v>-146.49771135727076</v>
      </c>
      <c r="BH201">
        <f t="shared" si="150"/>
        <v>33.502288642729241</v>
      </c>
      <c r="BI201">
        <f t="shared" si="151"/>
        <v>33.502288642729241</v>
      </c>
      <c r="BJ201">
        <f t="shared" ref="BJ201:BJ264" si="188">SUM((BF202&lt;0)*(BF201&gt;0))*A201</f>
        <v>0</v>
      </c>
      <c r="BK201">
        <f t="shared" si="152"/>
        <v>0</v>
      </c>
      <c r="BM201">
        <f t="shared" si="153"/>
        <v>-18.760899056163083</v>
      </c>
      <c r="BN201">
        <f t="shared" ref="BN201:BN264" si="189">(H201+D201)*180/Pi</f>
        <v>-178.38165751795077</v>
      </c>
      <c r="BQ201" s="56">
        <f t="shared" si="154"/>
        <v>26.474561958028708</v>
      </c>
      <c r="BR201" s="59"/>
      <c r="BS201" s="59"/>
      <c r="BT201" s="59">
        <v>8128.3050000000003</v>
      </c>
      <c r="BU201" s="59">
        <v>-1.3526100000000001</v>
      </c>
      <c r="BV201" s="59">
        <v>-221.982</v>
      </c>
      <c r="BW201" s="61"/>
      <c r="BY201" s="59"/>
      <c r="BZ201" s="59"/>
      <c r="CA201" s="59"/>
      <c r="CC201" s="59"/>
    </row>
    <row r="202" spans="1:81" x14ac:dyDescent="0.2">
      <c r="A202">
        <f t="shared" ref="A202:A234" si="190">A201+500</f>
        <v>84000</v>
      </c>
      <c r="B202">
        <f t="shared" ref="B202:B265" si="191">A202/1000</f>
        <v>84</v>
      </c>
      <c r="C202">
        <f t="shared" si="159"/>
        <v>1.000053504318505</v>
      </c>
      <c r="D202">
        <f t="shared" si="160"/>
        <v>1.0344267303263035E-2</v>
      </c>
      <c r="F202">
        <f t="shared" si="161"/>
        <v>7.5965498380340122E-3</v>
      </c>
      <c r="G202">
        <f t="shared" si="162"/>
        <v>1.7854177830822812E-2</v>
      </c>
      <c r="H202">
        <f t="shared" si="163"/>
        <v>-3.1237384721691774</v>
      </c>
      <c r="J202">
        <f t="shared" si="164"/>
        <v>15</v>
      </c>
      <c r="M202">
        <f t="shared" si="165"/>
        <v>1.4889834855085793E-2</v>
      </c>
      <c r="N202">
        <f t="shared" si="166"/>
        <v>-1.5707963250000001</v>
      </c>
      <c r="O202">
        <f t="shared" si="167"/>
        <v>16.526282932285639</v>
      </c>
      <c r="P202">
        <f t="shared" si="168"/>
        <v>1.5102496661495286</v>
      </c>
      <c r="Q202">
        <f t="shared" si="169"/>
        <v>14.373760373883558</v>
      </c>
      <c r="R202">
        <f t="shared" si="170"/>
        <v>1.5011688647774881</v>
      </c>
      <c r="S202">
        <f t="shared" si="171"/>
        <v>0.92676009751077226</v>
      </c>
      <c r="T202">
        <f t="shared" si="172"/>
        <v>-0.38510206205003539</v>
      </c>
      <c r="U202">
        <f t="shared" si="173"/>
        <v>0.92502810142351755</v>
      </c>
      <c r="V202">
        <f t="shared" si="174"/>
        <v>-0.3896867686214775</v>
      </c>
      <c r="X202">
        <f t="shared" ref="X202:X265" si="192">20*LOG(C202*J202*O202*Q202*F202*M202*S202*U202)</f>
        <v>-9.2302279101028635</v>
      </c>
      <c r="Y202">
        <f t="shared" si="175"/>
        <v>-140.23490579845671</v>
      </c>
      <c r="Z202">
        <f t="shared" ref="Z202:Z265" si="193">Y202+180</f>
        <v>39.765094201543292</v>
      </c>
      <c r="AC202">
        <v>1</v>
      </c>
      <c r="AD202">
        <f t="shared" si="176"/>
        <v>16.496000350326</v>
      </c>
      <c r="AE202">
        <f t="shared" si="177"/>
        <v>-1.044766063252429E-3</v>
      </c>
      <c r="AF202">
        <f t="shared" si="178"/>
        <v>2.5439360642639996E-3</v>
      </c>
      <c r="AG202">
        <f t="shared" ref="AG202:AG265" si="194">AC202*AE202/(AE202^2+AF202^2)+AD202*AF202/(AE202^2+AF202^2)</f>
        <v>5410.4468795253642</v>
      </c>
      <c r="AH202">
        <f t="shared" ref="AH202:AH265" si="195">AD202*AE202/(AE202^2+AF202^2)-AC202*AF202/(AE202^2+AF202^2)</f>
        <v>-2615.1016058191772</v>
      </c>
      <c r="AJ202">
        <f t="shared" si="179"/>
        <v>26400</v>
      </c>
      <c r="AK202">
        <f t="shared" si="180"/>
        <v>10700.99844194304</v>
      </c>
      <c r="AL202">
        <v>1</v>
      </c>
      <c r="AM202">
        <f t="shared" si="181"/>
        <v>14.338932571353602</v>
      </c>
      <c r="AN202">
        <f t="shared" ref="AN202:AN265" si="196">AJ202*AL202/(AL202^2+AM202^2)+AK202*AM202/(AL202^2+AM202^2)</f>
        <v>870.45766642787976</v>
      </c>
      <c r="AO202">
        <f t="shared" ref="AO202:AO265" si="197">AK202*AL202/(AL202^2+AM202^2)-AJ202*AM202/(AL202^2+AM202^2)</f>
        <v>-1780.4353431841346</v>
      </c>
      <c r="AQ202">
        <f t="shared" si="182"/>
        <v>0.35429583702391498</v>
      </c>
      <c r="AR202">
        <f t="shared" si="183"/>
        <v>-59.521700620017718</v>
      </c>
      <c r="AT202">
        <f t="shared" si="156"/>
        <v>-153738.39606664178</v>
      </c>
      <c r="AU202">
        <f t="shared" si="157"/>
        <v>-322965.51899595407</v>
      </c>
      <c r="AV202">
        <f t="shared" ref="AV202:AV265" si="198">ATAN2(AT202,AU202)</f>
        <v>-2.0150774454071505</v>
      </c>
      <c r="AW202">
        <f t="shared" ref="AW202:AW265" si="199">AG202-AH202*AO202/_Rfb2+AG202*AN202/_Rfb2+AN202-AO202*AR202+AQ202*AN202</f>
        <v>-99351.769371789371</v>
      </c>
      <c r="AX202">
        <f t="shared" ref="AX202:AX265" si="200">AH202+AH202*AN202/_Rfb2+AG202*AO202/_Rfb2+AO202+AO202*AQ202+AN202*AR202</f>
        <v>-64280.762207703476</v>
      </c>
      <c r="AY202">
        <f t="shared" si="155"/>
        <v>-2.5673281000433006</v>
      </c>
      <c r="BA202">
        <f t="shared" si="184"/>
        <v>3.0227320263047166</v>
      </c>
      <c r="BB202">
        <f t="shared" ref="BB202:BB265" si="201">20*LOG(BA202)</f>
        <v>9.6079929491422558</v>
      </c>
      <c r="BC202">
        <f t="shared" ref="BC202:BC265" si="202">AV202-AY202</f>
        <v>0.55225065463615008</v>
      </c>
      <c r="BD202">
        <f t="shared" si="185"/>
        <v>-148.35836821985595</v>
      </c>
      <c r="BF202">
        <f t="shared" si="186"/>
        <v>-9.257389321103954</v>
      </c>
      <c r="BG202">
        <f t="shared" si="187"/>
        <v>-146.74271632299545</v>
      </c>
      <c r="BH202">
        <f t="shared" ref="BH202:BH265" si="203">IF(BG202&gt;180,BG202-180,BG202+180)</f>
        <v>33.257283677004551</v>
      </c>
      <c r="BI202">
        <f t="shared" ref="BI202:BI265" si="204">IF(BH202&gt;180,BH202-360,BH202)</f>
        <v>33.257283677004551</v>
      </c>
      <c r="BJ202">
        <f t="shared" si="188"/>
        <v>0</v>
      </c>
      <c r="BK202">
        <f t="shared" ref="BK202:BK265" si="205">IF(BJ202&gt;0,BI202,0)</f>
        <v>0</v>
      </c>
      <c r="BM202">
        <f t="shared" ref="BM202:BM265" si="206">20*LOG(J202*F202*C202)</f>
        <v>-18.865382270246208</v>
      </c>
      <c r="BN202">
        <f t="shared" si="189"/>
        <v>-178.38434810313953</v>
      </c>
      <c r="BQ202" s="56">
        <f t="shared" ref="BQ202:BQ265" si="207">20*LOG(BA202*7)</f>
        <v>26.509953749427389</v>
      </c>
      <c r="BR202" s="59"/>
      <c r="BS202" s="59"/>
      <c r="BT202" s="59">
        <v>8317.6380000000008</v>
      </c>
      <c r="BU202" s="59">
        <v>-1.29555</v>
      </c>
      <c r="BV202" s="59">
        <v>-220.93199999999999</v>
      </c>
      <c r="BW202" s="61"/>
      <c r="BY202" s="59"/>
      <c r="BZ202" s="59"/>
      <c r="CA202" s="59"/>
      <c r="CC202" s="59"/>
    </row>
    <row r="203" spans="1:81" x14ac:dyDescent="0.2">
      <c r="A203">
        <f t="shared" si="190"/>
        <v>84500</v>
      </c>
      <c r="B203">
        <f t="shared" si="191"/>
        <v>84.5</v>
      </c>
      <c r="C203">
        <f t="shared" si="159"/>
        <v>1.0000541431530869</v>
      </c>
      <c r="D203">
        <f t="shared" si="160"/>
        <v>1.0405835891360743E-2</v>
      </c>
      <c r="F203">
        <f t="shared" si="161"/>
        <v>7.5062568407623913E-3</v>
      </c>
      <c r="G203">
        <f t="shared" si="162"/>
        <v>1.774696250819496E-2</v>
      </c>
      <c r="H203">
        <f t="shared" si="163"/>
        <v>-3.1238456874918055</v>
      </c>
      <c r="J203">
        <f t="shared" si="164"/>
        <v>15</v>
      </c>
      <c r="M203">
        <f t="shared" si="165"/>
        <v>1.4801729323398896E-2</v>
      </c>
      <c r="N203">
        <f t="shared" si="166"/>
        <v>-1.5707963250000001</v>
      </c>
      <c r="O203">
        <f t="shared" si="167"/>
        <v>16.6242945491245</v>
      </c>
      <c r="P203">
        <f t="shared" si="168"/>
        <v>1.5106070632097697</v>
      </c>
      <c r="Q203">
        <f t="shared" si="169"/>
        <v>14.458905576256356</v>
      </c>
      <c r="R203">
        <f t="shared" si="170"/>
        <v>1.5015795430542025</v>
      </c>
      <c r="S203">
        <f t="shared" si="171"/>
        <v>0.92598031108697787</v>
      </c>
      <c r="T203">
        <f t="shared" si="172"/>
        <v>-0.3871725870640999</v>
      </c>
      <c r="U203">
        <f t="shared" si="173"/>
        <v>0.92423210521899324</v>
      </c>
      <c r="V203">
        <f t="shared" si="174"/>
        <v>-0.39177673777554589</v>
      </c>
      <c r="X203">
        <f t="shared" si="192"/>
        <v>-9.2977579824379664</v>
      </c>
      <c r="Y203">
        <f t="shared" si="175"/>
        <v>-140.43189244528608</v>
      </c>
      <c r="Z203">
        <f t="shared" si="193"/>
        <v>39.568107554713919</v>
      </c>
      <c r="AC203">
        <v>1</v>
      </c>
      <c r="AD203">
        <f t="shared" si="176"/>
        <v>16.59419082860175</v>
      </c>
      <c r="AE203">
        <f t="shared" si="177"/>
        <v>-1.0572407714198068E-3</v>
      </c>
      <c r="AF203">
        <f t="shared" si="178"/>
        <v>2.5590785408369995E-3</v>
      </c>
      <c r="AG203">
        <f t="shared" si="194"/>
        <v>5401.1393953603165</v>
      </c>
      <c r="AH203">
        <f t="shared" si="195"/>
        <v>-2622.1566371706222</v>
      </c>
      <c r="AJ203">
        <f t="shared" si="179"/>
        <v>26400</v>
      </c>
      <c r="AK203">
        <f t="shared" si="180"/>
        <v>10764.694861240321</v>
      </c>
      <c r="AL203">
        <v>1</v>
      </c>
      <c r="AM203">
        <f t="shared" si="181"/>
        <v>14.424283360468801</v>
      </c>
      <c r="AN203">
        <f t="shared" si="196"/>
        <v>868.99957914024935</v>
      </c>
      <c r="AO203">
        <f t="shared" si="197"/>
        <v>-1770.001308406768</v>
      </c>
      <c r="AQ203">
        <f t="shared" si="182"/>
        <v>0.35011553812758212</v>
      </c>
      <c r="AR203">
        <f t="shared" si="183"/>
        <v>-59.169525943561375</v>
      </c>
      <c r="AT203">
        <f t="shared" si="156"/>
        <v>-153260.74234524011</v>
      </c>
      <c r="AU203">
        <f t="shared" si="157"/>
        <v>-320500.91536064143</v>
      </c>
      <c r="AV203">
        <f t="shared" si="198"/>
        <v>-2.0168452374495418</v>
      </c>
      <c r="AW203">
        <f t="shared" si="199"/>
        <v>-98123.019618873906</v>
      </c>
      <c r="AX203">
        <f t="shared" si="200"/>
        <v>-63829.329055799768</v>
      </c>
      <c r="AY203">
        <f t="shared" ref="AY203:AY266" si="208">ATAN2(AW203,AX203)</f>
        <v>-2.5648638368038181</v>
      </c>
      <c r="BA203">
        <f t="shared" si="184"/>
        <v>3.0349354275589513</v>
      </c>
      <c r="BB203">
        <f t="shared" si="201"/>
        <v>9.6429891058982786</v>
      </c>
      <c r="BC203">
        <f t="shared" si="202"/>
        <v>0.54801859935427633</v>
      </c>
      <c r="BD203">
        <f t="shared" si="185"/>
        <v>-148.60084712645042</v>
      </c>
      <c r="BF203">
        <f t="shared" si="186"/>
        <v>-9.3262470335127325</v>
      </c>
      <c r="BG203">
        <f t="shared" si="187"/>
        <v>-146.98781059483008</v>
      </c>
      <c r="BH203">
        <f t="shared" si="203"/>
        <v>33.01218940516992</v>
      </c>
      <c r="BI203">
        <f t="shared" si="204"/>
        <v>33.01218940516992</v>
      </c>
      <c r="BJ203">
        <f t="shared" si="188"/>
        <v>0</v>
      </c>
      <c r="BK203">
        <f t="shared" si="205"/>
        <v>0</v>
      </c>
      <c r="BM203">
        <f t="shared" si="206"/>
        <v>-18.969236139411013</v>
      </c>
      <c r="BN203">
        <f t="shared" si="189"/>
        <v>-178.38696346837966</v>
      </c>
      <c r="BQ203" s="56">
        <f t="shared" si="207"/>
        <v>26.544949906183419</v>
      </c>
      <c r="BR203" s="59"/>
      <c r="BS203" s="59"/>
      <c r="BT203" s="59">
        <v>8511.3799999999992</v>
      </c>
      <c r="BU203" s="59">
        <v>-1.5137499999999999</v>
      </c>
      <c r="BV203" s="59">
        <v>-219.99600000000001</v>
      </c>
      <c r="BW203" s="61"/>
      <c r="BY203" s="59"/>
      <c r="BZ203" s="59"/>
      <c r="CA203" s="59"/>
      <c r="CC203" s="59"/>
    </row>
    <row r="204" spans="1:81" x14ac:dyDescent="0.2">
      <c r="A204">
        <f t="shared" si="190"/>
        <v>85000</v>
      </c>
      <c r="B204">
        <f t="shared" si="191"/>
        <v>85</v>
      </c>
      <c r="C204">
        <f t="shared" si="159"/>
        <v>1.0000547857785602</v>
      </c>
      <c r="D204">
        <f t="shared" si="160"/>
        <v>1.0467404400565084E-2</v>
      </c>
      <c r="F204">
        <f t="shared" si="161"/>
        <v>7.4175679907951333E-3</v>
      </c>
      <c r="G204">
        <f t="shared" si="162"/>
        <v>1.7641036256646647E-2</v>
      </c>
      <c r="H204">
        <f t="shared" si="163"/>
        <v>-3.1239516137433534</v>
      </c>
      <c r="J204">
        <f t="shared" si="164"/>
        <v>15</v>
      </c>
      <c r="M204">
        <f t="shared" si="165"/>
        <v>1.4714660327378903E-2</v>
      </c>
      <c r="N204">
        <f t="shared" si="166"/>
        <v>-1.5707963250000001</v>
      </c>
      <c r="O204">
        <f t="shared" si="167"/>
        <v>16.722308264536732</v>
      </c>
      <c r="P204">
        <f t="shared" si="168"/>
        <v>1.5109602707239684</v>
      </c>
      <c r="Q204">
        <f t="shared" si="169"/>
        <v>14.544053188666982</v>
      </c>
      <c r="R204">
        <f t="shared" si="170"/>
        <v>1.5019854127976511</v>
      </c>
      <c r="S204">
        <f t="shared" si="171"/>
        <v>0.9251978794185316</v>
      </c>
      <c r="T204">
        <f t="shared" si="172"/>
        <v>-0.38923962183699323</v>
      </c>
      <c r="U204">
        <f t="shared" si="173"/>
        <v>0.92343345463989113</v>
      </c>
      <c r="V204">
        <f t="shared" si="174"/>
        <v>-0.39386310404725405</v>
      </c>
      <c r="X204">
        <f t="shared" si="192"/>
        <v>-9.3650251805494378</v>
      </c>
      <c r="Y204">
        <f t="shared" si="175"/>
        <v>-140.62891438422955</v>
      </c>
      <c r="Z204">
        <f t="shared" si="193"/>
        <v>39.371085615770454</v>
      </c>
      <c r="AC204">
        <v>1</v>
      </c>
      <c r="AD204">
        <f t="shared" si="176"/>
        <v>16.6923813068775</v>
      </c>
      <c r="AE204">
        <f t="shared" si="177"/>
        <v>-1.0697895134635488E-3</v>
      </c>
      <c r="AF204">
        <f t="shared" si="178"/>
        <v>2.5742210174099999E-3</v>
      </c>
      <c r="AG204">
        <f t="shared" si="194"/>
        <v>5391.808926682027</v>
      </c>
      <c r="AH204">
        <f t="shared" si="195"/>
        <v>-2629.1839754976327</v>
      </c>
      <c r="AJ204">
        <f t="shared" si="179"/>
        <v>26400</v>
      </c>
      <c r="AK204">
        <f t="shared" si="180"/>
        <v>10828.3912805376</v>
      </c>
      <c r="AL204">
        <v>1</v>
      </c>
      <c r="AM204">
        <f t="shared" si="181"/>
        <v>14.509634149584002</v>
      </c>
      <c r="AN204">
        <f t="shared" si="196"/>
        <v>867.56698485794038</v>
      </c>
      <c r="AO204">
        <f t="shared" si="197"/>
        <v>-1759.6882700087986</v>
      </c>
      <c r="AQ204">
        <f t="shared" si="182"/>
        <v>0.34600878862323103</v>
      </c>
      <c r="AR204">
        <f t="shared" si="183"/>
        <v>-58.821494065949274</v>
      </c>
      <c r="AT204">
        <f t="shared" si="156"/>
        <v>-152786.91633781375</v>
      </c>
      <c r="AU204">
        <f t="shared" si="157"/>
        <v>-318063.9775479887</v>
      </c>
      <c r="AV204">
        <f t="shared" si="198"/>
        <v>-2.0186132018177019</v>
      </c>
      <c r="AW204">
        <f t="shared" si="199"/>
        <v>-96915.924411677071</v>
      </c>
      <c r="AX204">
        <f t="shared" si="200"/>
        <v>-63384.886189220517</v>
      </c>
      <c r="AY204">
        <f t="shared" si="208"/>
        <v>-2.5623970935336584</v>
      </c>
      <c r="BA204">
        <f t="shared" si="184"/>
        <v>3.0470505905117089</v>
      </c>
      <c r="BB204">
        <f t="shared" si="201"/>
        <v>9.6775932984191808</v>
      </c>
      <c r="BC204">
        <f t="shared" si="202"/>
        <v>0.54378389171595654</v>
      </c>
      <c r="BD204">
        <f t="shared" si="185"/>
        <v>-148.84347800187521</v>
      </c>
      <c r="BF204">
        <f t="shared" si="186"/>
        <v>-9.3948749536681131</v>
      </c>
      <c r="BG204">
        <f t="shared" si="187"/>
        <v>-147.23298298168277</v>
      </c>
      <c r="BH204">
        <f t="shared" si="203"/>
        <v>32.767017018317233</v>
      </c>
      <c r="BI204">
        <f t="shared" si="204"/>
        <v>32.767017018317233</v>
      </c>
      <c r="BJ204">
        <f t="shared" si="188"/>
        <v>0</v>
      </c>
      <c r="BK204">
        <f t="shared" si="205"/>
        <v>0</v>
      </c>
      <c r="BM204">
        <f t="shared" si="206"/>
        <v>-19.072468252087297</v>
      </c>
      <c r="BN204">
        <f t="shared" si="189"/>
        <v>-178.38950497980755</v>
      </c>
      <c r="BQ204" s="56">
        <f t="shared" si="207"/>
        <v>26.579554098704318</v>
      </c>
      <c r="BR204" s="59"/>
      <c r="BS204" s="59"/>
      <c r="BT204" s="59">
        <v>8709.6360000000004</v>
      </c>
      <c r="BU204" s="59">
        <v>-1.62094</v>
      </c>
      <c r="BV204" s="59">
        <v>-218.72200000000001</v>
      </c>
      <c r="BW204" s="61"/>
      <c r="BY204" s="59"/>
      <c r="BZ204" s="59"/>
      <c r="CA204" s="59"/>
      <c r="CC204" s="59"/>
    </row>
    <row r="205" spans="1:81" x14ac:dyDescent="0.2">
      <c r="A205">
        <f t="shared" si="190"/>
        <v>85500</v>
      </c>
      <c r="B205">
        <f t="shared" si="191"/>
        <v>85.5</v>
      </c>
      <c r="C205">
        <f t="shared" si="159"/>
        <v>1.0000554321949175</v>
      </c>
      <c r="D205">
        <f t="shared" si="160"/>
        <v>1.0528972830409442E-2</v>
      </c>
      <c r="F205">
        <f t="shared" si="161"/>
        <v>7.3304454243967128E-3</v>
      </c>
      <c r="G205">
        <f t="shared" si="162"/>
        <v>1.753637581061529E-2</v>
      </c>
      <c r="H205">
        <f t="shared" si="163"/>
        <v>-3.1240562741893849</v>
      </c>
      <c r="J205">
        <f t="shared" si="164"/>
        <v>15</v>
      </c>
      <c r="M205">
        <f t="shared" si="165"/>
        <v>1.4628609682189552E-2</v>
      </c>
      <c r="N205">
        <f t="shared" si="166"/>
        <v>-1.5707963250000001</v>
      </c>
      <c r="O205">
        <f t="shared" si="167"/>
        <v>16.820324041836543</v>
      </c>
      <c r="P205">
        <f t="shared" si="168"/>
        <v>1.5113093618434719</v>
      </c>
      <c r="Q205">
        <f t="shared" si="169"/>
        <v>14.629203169033387</v>
      </c>
      <c r="R205">
        <f t="shared" si="170"/>
        <v>1.5023865578378319</v>
      </c>
      <c r="S205">
        <f t="shared" si="171"/>
        <v>0.92441282923793178</v>
      </c>
      <c r="T205">
        <f t="shared" si="172"/>
        <v>-0.39130315756778838</v>
      </c>
      <c r="U205">
        <f t="shared" si="173"/>
        <v>0.92263217739295311</v>
      </c>
      <c r="V205">
        <f t="shared" si="174"/>
        <v>-0.39594585862849468</v>
      </c>
      <c r="X205">
        <f t="shared" si="192"/>
        <v>-9.4320332030940239</v>
      </c>
      <c r="Y205">
        <f t="shared" si="175"/>
        <v>-140.82596294504057</v>
      </c>
      <c r="Z205">
        <f t="shared" si="193"/>
        <v>39.174037054959427</v>
      </c>
      <c r="AC205">
        <v>1</v>
      </c>
      <c r="AD205">
        <f t="shared" si="176"/>
        <v>16.790571785153251</v>
      </c>
      <c r="AE205">
        <f t="shared" si="177"/>
        <v>-1.0824122893836549E-3</v>
      </c>
      <c r="AF205">
        <f t="shared" si="178"/>
        <v>2.5893634939830002E-3</v>
      </c>
      <c r="AG205">
        <f t="shared" si="194"/>
        <v>5382.4558771873953</v>
      </c>
      <c r="AH205">
        <f t="shared" si="195"/>
        <v>-2636.1831409127494</v>
      </c>
      <c r="AJ205">
        <f t="shared" si="179"/>
        <v>26400</v>
      </c>
      <c r="AK205">
        <f t="shared" si="180"/>
        <v>10892.087699834881</v>
      </c>
      <c r="AL205">
        <v>1</v>
      </c>
      <c r="AM205">
        <f t="shared" si="181"/>
        <v>14.594984938699202</v>
      </c>
      <c r="AN205">
        <f t="shared" si="196"/>
        <v>866.15929366129581</v>
      </c>
      <c r="AO205">
        <f t="shared" si="197"/>
        <v>-1749.4941456660688</v>
      </c>
      <c r="AQ205">
        <f t="shared" si="182"/>
        <v>0.3419738731960878</v>
      </c>
      <c r="AR205">
        <f t="shared" si="183"/>
        <v>-58.477532316531018</v>
      </c>
      <c r="AT205">
        <f t="shared" si="156"/>
        <v>-152316.82553139073</v>
      </c>
      <c r="AU205">
        <f t="shared" si="157"/>
        <v>-315654.2432596804</v>
      </c>
      <c r="AV205">
        <f t="shared" si="198"/>
        <v>-2.0203812638209273</v>
      </c>
      <c r="AW205">
        <f t="shared" si="199"/>
        <v>-95729.983165951737</v>
      </c>
      <c r="AX205">
        <f t="shared" si="200"/>
        <v>-62947.272645635778</v>
      </c>
      <c r="AY205">
        <f t="shared" si="208"/>
        <v>-2.5599280108496201</v>
      </c>
      <c r="BA205">
        <f t="shared" si="184"/>
        <v>3.059077341286681</v>
      </c>
      <c r="BB205">
        <f t="shared" si="201"/>
        <v>9.7118091439395275</v>
      </c>
      <c r="BC205">
        <f t="shared" si="202"/>
        <v>0.53954674702869276</v>
      </c>
      <c r="BD205">
        <f t="shared" si="185"/>
        <v>-149.0862485099191</v>
      </c>
      <c r="BF205">
        <f t="shared" si="186"/>
        <v>-9.4632769154120915</v>
      </c>
      <c r="BG205">
        <f t="shared" si="187"/>
        <v>-147.47822248038773</v>
      </c>
      <c r="BH205">
        <f t="shared" si="203"/>
        <v>32.521777519612272</v>
      </c>
      <c r="BI205">
        <f t="shared" si="204"/>
        <v>32.521777519612272</v>
      </c>
      <c r="BJ205">
        <f t="shared" si="188"/>
        <v>0</v>
      </c>
      <c r="BK205">
        <f t="shared" si="205"/>
        <v>0</v>
      </c>
      <c r="BM205">
        <f t="shared" si="206"/>
        <v>-19.175086059351617</v>
      </c>
      <c r="BN205">
        <f t="shared" si="189"/>
        <v>-178.39197397046863</v>
      </c>
      <c r="BQ205" s="56">
        <f t="shared" si="207"/>
        <v>26.613769944224664</v>
      </c>
      <c r="BR205" s="59"/>
      <c r="BS205" s="59"/>
      <c r="BT205" s="59">
        <v>8912.509</v>
      </c>
      <c r="BU205" s="59">
        <v>-1.6954</v>
      </c>
      <c r="BV205" s="59">
        <v>-217.619</v>
      </c>
      <c r="BW205" s="61"/>
      <c r="BY205" s="59"/>
      <c r="BZ205" s="59"/>
      <c r="CA205" s="59"/>
      <c r="CC205" s="59"/>
    </row>
    <row r="206" spans="1:81" x14ac:dyDescent="0.2">
      <c r="A206">
        <f t="shared" si="190"/>
        <v>86000</v>
      </c>
      <c r="B206">
        <f t="shared" si="191"/>
        <v>86</v>
      </c>
      <c r="C206">
        <f t="shared" si="159"/>
        <v>1.0000560824021516</v>
      </c>
      <c r="D206">
        <f t="shared" si="160"/>
        <v>1.0590541180427198E-2</v>
      </c>
      <c r="F206">
        <f t="shared" si="161"/>
        <v>7.2448523909713382E-3</v>
      </c>
      <c r="G206">
        <f t="shared" si="162"/>
        <v>1.7432958464602206E-2</v>
      </c>
      <c r="H206">
        <f t="shared" si="163"/>
        <v>-3.124159691535398</v>
      </c>
      <c r="J206">
        <f t="shared" si="164"/>
        <v>15</v>
      </c>
      <c r="M206">
        <f t="shared" si="165"/>
        <v>1.4543559625897753E-2</v>
      </c>
      <c r="N206">
        <f t="shared" si="166"/>
        <v>-1.5707963250000001</v>
      </c>
      <c r="O206">
        <f t="shared" si="167"/>
        <v>16.918341845187534</v>
      </c>
      <c r="P206">
        <f t="shared" si="168"/>
        <v>1.5116544080284606</v>
      </c>
      <c r="Q206">
        <f t="shared" si="169"/>
        <v>14.714355476246451</v>
      </c>
      <c r="R206">
        <f t="shared" si="170"/>
        <v>1.5027830600704017</v>
      </c>
      <c r="S206">
        <f t="shared" si="171"/>
        <v>0.92362518723671472</v>
      </c>
      <c r="T206">
        <f t="shared" si="172"/>
        <v>-0.39336318560452416</v>
      </c>
      <c r="U206">
        <f t="shared" si="173"/>
        <v>0.9218283011375169</v>
      </c>
      <c r="V206">
        <f t="shared" si="174"/>
        <v>-0.39802499286696413</v>
      </c>
      <c r="X206">
        <f t="shared" si="192"/>
        <v>-9.4987856719566501</v>
      </c>
      <c r="Y206">
        <f t="shared" si="175"/>
        <v>-141.02302965057146</v>
      </c>
      <c r="Z206">
        <f t="shared" si="193"/>
        <v>38.976970349428541</v>
      </c>
      <c r="AC206">
        <v>1</v>
      </c>
      <c r="AD206">
        <f t="shared" si="176"/>
        <v>16.888762263428998</v>
      </c>
      <c r="AE206">
        <f t="shared" si="177"/>
        <v>-1.0951090991801254E-3</v>
      </c>
      <c r="AF206">
        <f t="shared" si="178"/>
        <v>2.6045059705560002E-3</v>
      </c>
      <c r="AG206">
        <f t="shared" si="194"/>
        <v>5373.0806491612911</v>
      </c>
      <c r="AH206">
        <f t="shared" si="195"/>
        <v>-2643.1536680469162</v>
      </c>
      <c r="AJ206">
        <f t="shared" si="179"/>
        <v>26400</v>
      </c>
      <c r="AK206">
        <f t="shared" si="180"/>
        <v>10955.78411913216</v>
      </c>
      <c r="AL206">
        <v>1</v>
      </c>
      <c r="AM206">
        <f t="shared" si="181"/>
        <v>14.680335727814402</v>
      </c>
      <c r="AN206">
        <f t="shared" si="196"/>
        <v>864.77593256982743</v>
      </c>
      <c r="AO206">
        <f t="shared" si="197"/>
        <v>-1739.4169003266957</v>
      </c>
      <c r="AQ206">
        <f t="shared" si="182"/>
        <v>0.33800912624640866</v>
      </c>
      <c r="AR206">
        <f t="shared" si="183"/>
        <v>-58.137569714382288</v>
      </c>
      <c r="AT206">
        <f t="shared" si="156"/>
        <v>-151850.38034642834</v>
      </c>
      <c r="AU206">
        <f t="shared" si="157"/>
        <v>-313271.2608834845</v>
      </c>
      <c r="AV206">
        <f t="shared" si="198"/>
        <v>-2.0221493504464547</v>
      </c>
      <c r="AW206">
        <f t="shared" si="199"/>
        <v>-94564.70964802627</v>
      </c>
      <c r="AX206">
        <f t="shared" si="200"/>
        <v>-62516.332275992143</v>
      </c>
      <c r="AY206">
        <f t="shared" si="208"/>
        <v>-2.5574567272868212</v>
      </c>
      <c r="BA206">
        <f t="shared" si="184"/>
        <v>3.0710155139671049</v>
      </c>
      <c r="BB206">
        <f t="shared" si="201"/>
        <v>9.7456402078147324</v>
      </c>
      <c r="BC206">
        <f t="shared" si="202"/>
        <v>0.53530737684036644</v>
      </c>
      <c r="BD206">
        <f t="shared" si="185"/>
        <v>-149.32914652978133</v>
      </c>
      <c r="BF206">
        <f t="shared" si="186"/>
        <v>-9.531456670428442</v>
      </c>
      <c r="BG206">
        <f t="shared" si="187"/>
        <v>-147.72351827110009</v>
      </c>
      <c r="BH206">
        <f t="shared" si="203"/>
        <v>32.27648172889991</v>
      </c>
      <c r="BI206">
        <f t="shared" si="204"/>
        <v>32.27648172889991</v>
      </c>
      <c r="BJ206">
        <f t="shared" si="188"/>
        <v>0</v>
      </c>
      <c r="BK206">
        <f t="shared" si="205"/>
        <v>0</v>
      </c>
      <c r="BM206">
        <f t="shared" si="206"/>
        <v>-19.277096878243174</v>
      </c>
      <c r="BN206">
        <f t="shared" si="189"/>
        <v>-178.39437174131876</v>
      </c>
      <c r="BQ206" s="56">
        <f t="shared" si="207"/>
        <v>26.647601008099869</v>
      </c>
      <c r="BR206" s="59"/>
      <c r="BS206" s="59"/>
      <c r="BT206" s="59">
        <v>9120.1080000000002</v>
      </c>
      <c r="BU206" s="59">
        <v>-1.76502</v>
      </c>
      <c r="BV206" s="59">
        <v>-216.501</v>
      </c>
      <c r="BW206" s="61"/>
      <c r="BY206" s="59"/>
      <c r="BZ206" s="59"/>
      <c r="CA206" s="59"/>
      <c r="CC206" s="59"/>
    </row>
    <row r="207" spans="1:81" x14ac:dyDescent="0.2">
      <c r="A207">
        <f t="shared" si="190"/>
        <v>86500</v>
      </c>
      <c r="B207">
        <f t="shared" si="191"/>
        <v>86.5</v>
      </c>
      <c r="C207">
        <f t="shared" si="159"/>
        <v>1.0000567364002551</v>
      </c>
      <c r="D207">
        <f t="shared" si="160"/>
        <v>1.0652109450151737E-2</v>
      </c>
      <c r="F207">
        <f t="shared" si="161"/>
        <v>7.1607532139357465E-3</v>
      </c>
      <c r="G207">
        <f t="shared" si="162"/>
        <v>1.7330762056321777E-2</v>
      </c>
      <c r="H207">
        <f t="shared" si="163"/>
        <v>-3.1242618879436783</v>
      </c>
      <c r="J207">
        <f t="shared" si="164"/>
        <v>15</v>
      </c>
      <c r="M207">
        <f t="shared" si="165"/>
        <v>1.4459492807250944E-2</v>
      </c>
      <c r="N207">
        <f t="shared" si="166"/>
        <v>-1.5707963250000001</v>
      </c>
      <c r="O207">
        <f t="shared" si="167"/>
        <v>17.01636163957826</v>
      </c>
      <c r="P207">
        <f t="shared" si="168"/>
        <v>1.5119954790964834</v>
      </c>
      <c r="Q207">
        <f t="shared" si="169"/>
        <v>14.799510070142071</v>
      </c>
      <c r="R207">
        <f t="shared" si="170"/>
        <v>1.5031749995120636</v>
      </c>
      <c r="S207">
        <f t="shared" si="171"/>
        <v>0.92283498006364661</v>
      </c>
      <c r="T207">
        <f t="shared" si="172"/>
        <v>-0.39541969744371253</v>
      </c>
      <c r="U207">
        <f t="shared" si="173"/>
        <v>0.92102185348363907</v>
      </c>
      <c r="V207">
        <f t="shared" si="174"/>
        <v>-0.40010049826561134</v>
      </c>
      <c r="X207">
        <f t="shared" si="192"/>
        <v>-9.5652861342175672</v>
      </c>
      <c r="Y207">
        <f t="shared" si="175"/>
        <v>-141.22010621172501</v>
      </c>
      <c r="Z207">
        <f t="shared" si="193"/>
        <v>38.77989378827499</v>
      </c>
      <c r="AC207">
        <v>1</v>
      </c>
      <c r="AD207">
        <f t="shared" si="176"/>
        <v>16.986952741704748</v>
      </c>
      <c r="AE207">
        <f t="shared" si="177"/>
        <v>-1.1078799428529598E-3</v>
      </c>
      <c r="AF207">
        <f t="shared" si="178"/>
        <v>2.6196484471290001E-3</v>
      </c>
      <c r="AG207">
        <f t="shared" si="194"/>
        <v>5363.6836434479874</v>
      </c>
      <c r="AH207">
        <f t="shared" si="195"/>
        <v>-2650.0951056974591</v>
      </c>
      <c r="AJ207">
        <f t="shared" si="179"/>
        <v>26400</v>
      </c>
      <c r="AK207">
        <f t="shared" si="180"/>
        <v>11019.480538429441</v>
      </c>
      <c r="AL207">
        <v>1</v>
      </c>
      <c r="AM207">
        <f t="shared" si="181"/>
        <v>14.765686516929602</v>
      </c>
      <c r="AN207">
        <f t="shared" si="196"/>
        <v>863.41634496277618</v>
      </c>
      <c r="AO207">
        <f t="shared" si="197"/>
        <v>-1729.4545448840624</v>
      </c>
      <c r="AQ207">
        <f t="shared" si="182"/>
        <v>0.33411293017039762</v>
      </c>
      <c r="AR207">
        <f t="shared" si="183"/>
        <v>-57.801536919478785</v>
      </c>
      <c r="AT207">
        <f t="shared" si="156"/>
        <v>-151387.49403348227</v>
      </c>
      <c r="AU207">
        <f t="shared" si="157"/>
        <v>-310914.58918215818</v>
      </c>
      <c r="AV207">
        <f t="shared" si="198"/>
        <v>-2.0239173903152592</v>
      </c>
      <c r="AW207">
        <f t="shared" si="199"/>
        <v>-93419.631484518861</v>
      </c>
      <c r="AX207">
        <f t="shared" si="200"/>
        <v>-62091.913569195633</v>
      </c>
      <c r="AY207">
        <f t="shared" si="208"/>
        <v>-2.5549833793486969</v>
      </c>
      <c r="BA207">
        <f t="shared" si="184"/>
        <v>3.0828649505964694</v>
      </c>
      <c r="BB207">
        <f t="shared" si="201"/>
        <v>9.7790900047775224</v>
      </c>
      <c r="BC207">
        <f t="shared" si="202"/>
        <v>0.53106598903343771</v>
      </c>
      <c r="BD207">
        <f t="shared" si="185"/>
        <v>-149.57216015067428</v>
      </c>
      <c r="BF207">
        <f t="shared" si="186"/>
        <v>-9.5994178902020835</v>
      </c>
      <c r="BG207">
        <f t="shared" si="187"/>
        <v>-147.9688597128644</v>
      </c>
      <c r="BH207">
        <f t="shared" si="203"/>
        <v>32.031140287135599</v>
      </c>
      <c r="BI207">
        <f t="shared" si="204"/>
        <v>32.031140287135599</v>
      </c>
      <c r="BJ207">
        <f t="shared" si="188"/>
        <v>0</v>
      </c>
      <c r="BK207">
        <f t="shared" si="205"/>
        <v>0</v>
      </c>
      <c r="BM207">
        <f t="shared" si="206"/>
        <v>-19.378507894979609</v>
      </c>
      <c r="BN207">
        <f t="shared" si="189"/>
        <v>-178.39669956219012</v>
      </c>
      <c r="BQ207" s="56">
        <f t="shared" si="207"/>
        <v>26.681050805062657</v>
      </c>
      <c r="BR207" s="59"/>
      <c r="BS207" s="59"/>
      <c r="BT207" s="59">
        <v>9332.5429999999997</v>
      </c>
      <c r="BU207" s="59">
        <v>-1.99203</v>
      </c>
      <c r="BV207" s="59">
        <v>-215.83600000000001</v>
      </c>
      <c r="BW207" s="61"/>
      <c r="BY207" s="59"/>
      <c r="BZ207" s="59"/>
      <c r="CA207" s="59"/>
      <c r="CC207" s="59"/>
    </row>
    <row r="208" spans="1:81" x14ac:dyDescent="0.2">
      <c r="A208">
        <f t="shared" si="190"/>
        <v>87000</v>
      </c>
      <c r="B208">
        <f t="shared" si="191"/>
        <v>87</v>
      </c>
      <c r="C208">
        <f t="shared" si="159"/>
        <v>1.0000573941892206</v>
      </c>
      <c r="D208">
        <f t="shared" si="160"/>
        <v>1.0713677639116452E-2</v>
      </c>
      <c r="F208">
        <f t="shared" si="161"/>
        <v>7.0781132531906798E-3</v>
      </c>
      <c r="G208">
        <f t="shared" si="162"/>
        <v>1.7229764950458543E-2</v>
      </c>
      <c r="H208">
        <f t="shared" si="163"/>
        <v>-3.1243628850495417</v>
      </c>
      <c r="J208">
        <f t="shared" si="164"/>
        <v>15</v>
      </c>
      <c r="M208">
        <f t="shared" si="165"/>
        <v>1.4376392273875939E-2</v>
      </c>
      <c r="N208">
        <f t="shared" si="166"/>
        <v>-1.5707963250000001</v>
      </c>
      <c r="O208">
        <f t="shared" si="167"/>
        <v>17.114383390798679</v>
      </c>
      <c r="P208">
        <f t="shared" si="168"/>
        <v>1.5123326432693314</v>
      </c>
      <c r="Q208">
        <f t="shared" si="169"/>
        <v>14.884666911474184</v>
      </c>
      <c r="R208">
        <f t="shared" si="170"/>
        <v>1.5035624543540642</v>
      </c>
      <c r="S208">
        <f t="shared" si="171"/>
        <v>0.92204223432294063</v>
      </c>
      <c r="T208">
        <f t="shared" si="172"/>
        <v>-0.39747268472983488</v>
      </c>
      <c r="U208">
        <f t="shared" si="173"/>
        <v>0.92021286199024521</v>
      </c>
      <c r="V208">
        <f t="shared" si="174"/>
        <v>-0.40217236648207511</v>
      </c>
      <c r="X208">
        <f t="shared" si="192"/>
        <v>-9.6315380640574482</v>
      </c>
      <c r="Y208">
        <f t="shared" si="175"/>
        <v>-141.417184522573</v>
      </c>
      <c r="Z208">
        <f t="shared" si="193"/>
        <v>38.582815477427005</v>
      </c>
      <c r="AC208">
        <v>1</v>
      </c>
      <c r="AD208">
        <f t="shared" si="176"/>
        <v>17.085143219980502</v>
      </c>
      <c r="AE208">
        <f t="shared" si="177"/>
        <v>-1.1207248204021588E-3</v>
      </c>
      <c r="AF208">
        <f t="shared" si="178"/>
        <v>2.634790923702E-3</v>
      </c>
      <c r="AG208">
        <f t="shared" si="194"/>
        <v>5354.265259423074</v>
      </c>
      <c r="AH208">
        <f t="shared" si="195"/>
        <v>-2657.0070164869867</v>
      </c>
      <c r="AJ208">
        <f t="shared" si="179"/>
        <v>26400</v>
      </c>
      <c r="AK208">
        <f t="shared" si="180"/>
        <v>11083.176957726721</v>
      </c>
      <c r="AL208">
        <v>1</v>
      </c>
      <c r="AM208">
        <f t="shared" si="181"/>
        <v>14.8510373060448</v>
      </c>
      <c r="AN208">
        <f t="shared" si="196"/>
        <v>862.07999002262591</v>
      </c>
      <c r="AO208">
        <f t="shared" si="197"/>
        <v>-1719.6051348940255</v>
      </c>
      <c r="AQ208">
        <f t="shared" si="182"/>
        <v>0.33028371371007698</v>
      </c>
      <c r="AR208">
        <f t="shared" si="183"/>
        <v>-57.46936618555339</v>
      </c>
      <c r="AT208">
        <f t="shared" si="156"/>
        <v>-150928.08257400425</v>
      </c>
      <c r="AU208">
        <f t="shared" si="157"/>
        <v>-308583.7969931307</v>
      </c>
      <c r="AV208">
        <f t="shared" si="198"/>
        <v>-2.0256853136393334</v>
      </c>
      <c r="AW208">
        <f t="shared" si="199"/>
        <v>-92294.289691453756</v>
      </c>
      <c r="AX208">
        <f t="shared" si="200"/>
        <v>-61673.869484267081</v>
      </c>
      <c r="AY208">
        <f t="shared" si="208"/>
        <v>-2.5525081015549738</v>
      </c>
      <c r="BA208">
        <f t="shared" si="184"/>
        <v>3.0946255011777248</v>
      </c>
      <c r="BB208">
        <f t="shared" si="201"/>
        <v>9.8121620001581142</v>
      </c>
      <c r="BC208">
        <f t="shared" si="202"/>
        <v>0.52682278791564041</v>
      </c>
      <c r="BD208">
        <f t="shared" si="185"/>
        <v>-149.81527766662705</v>
      </c>
      <c r="BF208">
        <f t="shared" si="186"/>
        <v>-9.6671641679182638</v>
      </c>
      <c r="BG208">
        <f t="shared" si="187"/>
        <v>-148.21423633934884</v>
      </c>
      <c r="BH208">
        <f t="shared" si="203"/>
        <v>31.785763660651156</v>
      </c>
      <c r="BI208">
        <f t="shared" si="204"/>
        <v>31.785763660651156</v>
      </c>
      <c r="BJ208">
        <f t="shared" si="188"/>
        <v>0</v>
      </c>
      <c r="BK208">
        <f t="shared" si="205"/>
        <v>0</v>
      </c>
      <c r="BM208">
        <f t="shared" si="206"/>
        <v>-19.479326168076376</v>
      </c>
      <c r="BN208">
        <f t="shared" si="189"/>
        <v>-178.39895867272179</v>
      </c>
      <c r="BQ208" s="56">
        <f t="shared" si="207"/>
        <v>26.714122800443253</v>
      </c>
      <c r="BR208" s="59"/>
      <c r="BS208" s="59"/>
      <c r="BT208" s="59">
        <v>9549.9259999999995</v>
      </c>
      <c r="BU208" s="59">
        <v>-2.1278299999999999</v>
      </c>
      <c r="BV208" s="59">
        <v>-215.499</v>
      </c>
      <c r="BW208" s="61"/>
      <c r="BY208" s="59"/>
      <c r="BZ208" s="59"/>
      <c r="CA208" s="59"/>
      <c r="CC208" s="59"/>
    </row>
    <row r="209" spans="1:81" x14ac:dyDescent="0.2">
      <c r="A209">
        <f t="shared" si="190"/>
        <v>87500</v>
      </c>
      <c r="B209">
        <f t="shared" si="191"/>
        <v>87.5</v>
      </c>
      <c r="C209">
        <f t="shared" si="159"/>
        <v>1.0000580557690404</v>
      </c>
      <c r="D209">
        <f t="shared" si="160"/>
        <v>1.0775245746854737E-2</v>
      </c>
      <c r="F209">
        <f t="shared" si="161"/>
        <v>6.9968988691166464E-3</v>
      </c>
      <c r="G209">
        <f t="shared" si="162"/>
        <v>1.7129946023006853E-2</v>
      </c>
      <c r="H209">
        <f t="shared" si="163"/>
        <v>-3.1244627039769934</v>
      </c>
      <c r="J209">
        <f t="shared" si="164"/>
        <v>15</v>
      </c>
      <c r="M209">
        <f t="shared" si="165"/>
        <v>1.4294241460882363E-2</v>
      </c>
      <c r="N209">
        <f t="shared" si="166"/>
        <v>-1.5707963250000001</v>
      </c>
      <c r="O209">
        <f t="shared" si="167"/>
        <v>17.212407065417345</v>
      </c>
      <c r="P209">
        <f t="shared" si="168"/>
        <v>1.5126659672183191</v>
      </c>
      <c r="Q209">
        <f t="shared" si="169"/>
        <v>14.969825961888716</v>
      </c>
      <c r="R209">
        <f t="shared" si="170"/>
        <v>1.503945501013876</v>
      </c>
      <c r="S209">
        <f t="shared" si="171"/>
        <v>0.92124697657249444</v>
      </c>
      <c r="T209">
        <f t="shared" si="172"/>
        <v>-0.39952213925482821</v>
      </c>
      <c r="U209">
        <f t="shared" si="173"/>
        <v>0.91940135416330115</v>
      </c>
      <c r="V209">
        <f t="shared" si="174"/>
        <v>-0.40424058932811102</v>
      </c>
      <c r="X209">
        <f t="shared" si="192"/>
        <v>-9.6975448646030173</v>
      </c>
      <c r="Y209">
        <f t="shared" si="175"/>
        <v>-141.61425665563576</v>
      </c>
      <c r="Z209">
        <f t="shared" si="193"/>
        <v>38.385743344364244</v>
      </c>
      <c r="AC209">
        <v>1</v>
      </c>
      <c r="AD209">
        <f t="shared" si="176"/>
        <v>17.183333698256249</v>
      </c>
      <c r="AE209">
        <f t="shared" si="177"/>
        <v>-1.1336437318277221E-3</v>
      </c>
      <c r="AF209">
        <f t="shared" si="178"/>
        <v>2.6499334002749999E-3</v>
      </c>
      <c r="AG209">
        <f t="shared" si="194"/>
        <v>5344.8258949659148</v>
      </c>
      <c r="AH209">
        <f t="shared" si="195"/>
        <v>-2663.8889765327817</v>
      </c>
      <c r="AJ209">
        <f t="shared" si="179"/>
        <v>26400</v>
      </c>
      <c r="AK209">
        <f t="shared" si="180"/>
        <v>11146.873377024</v>
      </c>
      <c r="AL209">
        <v>1</v>
      </c>
      <c r="AM209">
        <f t="shared" si="181"/>
        <v>14.936388095160002</v>
      </c>
      <c r="AN209">
        <f t="shared" si="196"/>
        <v>860.76634220054427</v>
      </c>
      <c r="AO209">
        <f t="shared" si="197"/>
        <v>-1709.8667693346299</v>
      </c>
      <c r="AQ209">
        <f t="shared" si="182"/>
        <v>0.32651995036896753</v>
      </c>
      <c r="AR209">
        <f t="shared" si="183"/>
        <v>-57.14099131456932</v>
      </c>
      <c r="AT209">
        <f t="shared" si="156"/>
        <v>-150472.06458508159</v>
      </c>
      <c r="AU209">
        <f t="shared" si="157"/>
        <v>-306278.46293853846</v>
      </c>
      <c r="AV209">
        <f t="shared" si="198"/>
        <v>-2.0274530521803875</v>
      </c>
      <c r="AW209">
        <f t="shared" si="199"/>
        <v>-91188.238221908294</v>
      </c>
      <c r="AX209">
        <f t="shared" si="200"/>
        <v>-61262.057289607947</v>
      </c>
      <c r="AY209">
        <f t="shared" si="208"/>
        <v>-2.5500310264877095</v>
      </c>
      <c r="BA209">
        <f t="shared" si="184"/>
        <v>3.106297023671019</v>
      </c>
      <c r="BB209">
        <f t="shared" si="201"/>
        <v>9.8448596110693689</v>
      </c>
      <c r="BC209">
        <f t="shared" si="202"/>
        <v>0.522577974307322</v>
      </c>
      <c r="BD209">
        <f t="shared" si="185"/>
        <v>-150.05848757148132</v>
      </c>
      <c r="BF209">
        <f t="shared" si="186"/>
        <v>-9.7346990203038377</v>
      </c>
      <c r="BG209">
        <f t="shared" si="187"/>
        <v>-148.45963785473811</v>
      </c>
      <c r="BH209">
        <f t="shared" si="203"/>
        <v>31.540362145261895</v>
      </c>
      <c r="BI209">
        <f t="shared" si="204"/>
        <v>31.540362145261895</v>
      </c>
      <c r="BJ209">
        <f t="shared" si="188"/>
        <v>0</v>
      </c>
      <c r="BK209">
        <f t="shared" si="205"/>
        <v>0</v>
      </c>
      <c r="BM209">
        <f t="shared" si="206"/>
        <v>-19.579558631373207</v>
      </c>
      <c r="BN209">
        <f t="shared" si="189"/>
        <v>-178.40115028325681</v>
      </c>
      <c r="BQ209" s="56">
        <f t="shared" si="207"/>
        <v>26.746820411354506</v>
      </c>
      <c r="BR209" s="59"/>
      <c r="BS209" s="59"/>
      <c r="BT209" s="59">
        <v>9772.3719999999994</v>
      </c>
      <c r="BU209" s="59">
        <v>-1.9944299999999999</v>
      </c>
      <c r="BV209" s="59">
        <v>-212.98699999999999</v>
      </c>
      <c r="BW209" s="61"/>
      <c r="BY209" s="59"/>
      <c r="BZ209" s="59"/>
      <c r="CA209" s="59"/>
      <c r="CC209" s="59"/>
    </row>
    <row r="210" spans="1:81" x14ac:dyDescent="0.2">
      <c r="A210">
        <f t="shared" si="190"/>
        <v>88000</v>
      </c>
      <c r="B210">
        <f t="shared" si="191"/>
        <v>88</v>
      </c>
      <c r="C210">
        <f t="shared" si="159"/>
        <v>1.0000587211397072</v>
      </c>
      <c r="D210">
        <f t="shared" si="160"/>
        <v>1.0836813772899988E-2</v>
      </c>
      <c r="F210">
        <f t="shared" si="161"/>
        <v>6.9170773880234977E-3</v>
      </c>
      <c r="G210">
        <f t="shared" si="162"/>
        <v>1.7031284646168605E-2</v>
      </c>
      <c r="H210">
        <f t="shared" si="163"/>
        <v>-3.1245613653538316</v>
      </c>
      <c r="J210">
        <f t="shared" si="164"/>
        <v>15</v>
      </c>
      <c r="M210">
        <f t="shared" si="165"/>
        <v>1.4213024179854622E-2</v>
      </c>
      <c r="N210">
        <f t="shared" si="166"/>
        <v>-1.5707963250000001</v>
      </c>
      <c r="O210">
        <f t="shared" si="167"/>
        <v>17.310432630759408</v>
      </c>
      <c r="P210">
        <f t="shared" si="168"/>
        <v>1.5129955161080328</v>
      </c>
      <c r="Q210">
        <f t="shared" si="169"/>
        <v>15.054987183898417</v>
      </c>
      <c r="R210">
        <f t="shared" si="170"/>
        <v>1.5043242141851374</v>
      </c>
      <c r="S210">
        <f t="shared" si="171"/>
        <v>0.92044923332214956</v>
      </c>
      <c r="T210">
        <f t="shared" si="172"/>
        <v>-0.40156805295756093</v>
      </c>
      <c r="U210">
        <f t="shared" si="173"/>
        <v>0.91858735745401165</v>
      </c>
      <c r="V210">
        <f t="shared" si="174"/>
        <v>-0.40630515876900786</v>
      </c>
      <c r="X210">
        <f t="shared" si="192"/>
        <v>-9.7633098697152079</v>
      </c>
      <c r="Y210">
        <f t="shared" si="175"/>
        <v>-141.81131485731586</v>
      </c>
      <c r="Z210">
        <f t="shared" si="193"/>
        <v>38.188685142684136</v>
      </c>
      <c r="AC210">
        <v>1</v>
      </c>
      <c r="AD210">
        <f t="shared" si="176"/>
        <v>17.281524176531999</v>
      </c>
      <c r="AE210">
        <f t="shared" si="177"/>
        <v>-1.1466366771296498E-3</v>
      </c>
      <c r="AF210">
        <f t="shared" si="178"/>
        <v>2.6650758768479998E-3</v>
      </c>
      <c r="AG210">
        <f t="shared" si="194"/>
        <v>5335.365946432622</v>
      </c>
      <c r="AH210">
        <f t="shared" si="195"/>
        <v>-2670.7405751262759</v>
      </c>
      <c r="AJ210">
        <f t="shared" si="179"/>
        <v>26400</v>
      </c>
      <c r="AK210">
        <f t="shared" si="180"/>
        <v>11210.569796321281</v>
      </c>
      <c r="AL210">
        <v>1</v>
      </c>
      <c r="AM210">
        <f t="shared" si="181"/>
        <v>15.021738884275202</v>
      </c>
      <c r="AN210">
        <f t="shared" si="196"/>
        <v>859.47489070277129</v>
      </c>
      <c r="AO210">
        <f t="shared" si="197"/>
        <v>-1700.2375894067181</v>
      </c>
      <c r="AQ210">
        <f t="shared" si="182"/>
        <v>0.32282015689059623</v>
      </c>
      <c r="AR210">
        <f t="shared" si="183"/>
        <v>-56.816347612744941</v>
      </c>
      <c r="AT210">
        <f t="shared" si="156"/>
        <v>-150019.36122794071</v>
      </c>
      <c r="AU210">
        <f t="shared" si="157"/>
        <v>-303998.17514519411</v>
      </c>
      <c r="AV210">
        <f t="shared" si="198"/>
        <v>-2.0292205392099207</v>
      </c>
      <c r="AW210">
        <f t="shared" si="199"/>
        <v>-90101.043531363233</v>
      </c>
      <c r="AX210">
        <f t="shared" si="200"/>
        <v>-60856.338409033306</v>
      </c>
      <c r="AY210">
        <f t="shared" si="208"/>
        <v>-2.547552284835473</v>
      </c>
      <c r="BA210">
        <f t="shared" si="184"/>
        <v>3.1178793839899099</v>
      </c>
      <c r="BB210">
        <f t="shared" si="201"/>
        <v>9.8771862075579264</v>
      </c>
      <c r="BC210">
        <f t="shared" si="202"/>
        <v>0.51833174562555229</v>
      </c>
      <c r="BD210">
        <f t="shared" si="185"/>
        <v>-150.30177855407211</v>
      </c>
      <c r="BF210">
        <f t="shared" si="186"/>
        <v>-9.8020258894129242</v>
      </c>
      <c r="BG210">
        <f t="shared" si="187"/>
        <v>-148.70505412977974</v>
      </c>
      <c r="BH210">
        <f t="shared" si="203"/>
        <v>31.294945870220261</v>
      </c>
      <c r="BI210">
        <f t="shared" si="204"/>
        <v>31.294945870220261</v>
      </c>
      <c r="BJ210">
        <f t="shared" si="188"/>
        <v>0</v>
      </c>
      <c r="BK210">
        <f t="shared" si="205"/>
        <v>0</v>
      </c>
      <c r="BM210">
        <f t="shared" si="206"/>
        <v>-19.679212096970851</v>
      </c>
      <c r="BN210">
        <f t="shared" si="189"/>
        <v>-178.40327557570765</v>
      </c>
      <c r="BQ210" s="56">
        <f t="shared" si="207"/>
        <v>26.779147007843065</v>
      </c>
      <c r="BR210" s="59"/>
      <c r="BS210" s="59"/>
      <c r="BT210" s="59">
        <v>10000</v>
      </c>
      <c r="BU210" s="59">
        <v>-2.2209699999999999</v>
      </c>
      <c r="BV210" s="59">
        <v>-213.047</v>
      </c>
      <c r="BW210" s="61"/>
      <c r="BY210" s="59"/>
      <c r="BZ210" s="59"/>
      <c r="CA210" s="59"/>
      <c r="CC210" s="59"/>
    </row>
    <row r="211" spans="1:81" x14ac:dyDescent="0.2">
      <c r="A211">
        <f t="shared" si="190"/>
        <v>88500</v>
      </c>
      <c r="B211">
        <f t="shared" si="191"/>
        <v>88.5</v>
      </c>
      <c r="C211">
        <f t="shared" si="159"/>
        <v>1.0000593903012134</v>
      </c>
      <c r="D211">
        <f t="shared" si="160"/>
        <v>1.0898381716785605E-2</v>
      </c>
      <c r="F211">
        <f t="shared" si="161"/>
        <v>6.838617068986955E-3</v>
      </c>
      <c r="G211">
        <f t="shared" si="162"/>
        <v>1.6933760673785922E-2</v>
      </c>
      <c r="H211">
        <f t="shared" si="163"/>
        <v>-3.1246588893262142</v>
      </c>
      <c r="J211">
        <f t="shared" si="164"/>
        <v>15</v>
      </c>
      <c r="M211">
        <f t="shared" si="165"/>
        <v>1.4132724608217026E-2</v>
      </c>
      <c r="N211">
        <f t="shared" si="166"/>
        <v>-1.5707963250000001</v>
      </c>
      <c r="O211">
        <f t="shared" si="167"/>
        <v>17.408460054885364</v>
      </c>
      <c r="P211">
        <f t="shared" si="168"/>
        <v>1.5133213536386085</v>
      </c>
      <c r="Q211">
        <f t="shared" si="169"/>
        <v>15.140150540858532</v>
      </c>
      <c r="R211">
        <f t="shared" si="170"/>
        <v>1.5046986668859166</v>
      </c>
      <c r="S211">
        <f t="shared" si="171"/>
        <v>0.91964903103197559</v>
      </c>
      <c r="T211">
        <f t="shared" si="172"/>
        <v>-0.40361041792329877</v>
      </c>
      <c r="U211">
        <f t="shared" si="173"/>
        <v>0.91777089925703959</v>
      </c>
      <c r="V211">
        <f t="shared" si="174"/>
        <v>-0.40836606692299338</v>
      </c>
      <c r="X211">
        <f t="shared" si="192"/>
        <v>-9.8288363457221699</v>
      </c>
      <c r="Y211">
        <f t="shared" si="175"/>
        <v>-142.00835154348067</v>
      </c>
      <c r="Z211">
        <f t="shared" si="193"/>
        <v>37.991648456519329</v>
      </c>
      <c r="AC211">
        <v>1</v>
      </c>
      <c r="AD211">
        <f t="shared" si="176"/>
        <v>17.379714654807749</v>
      </c>
      <c r="AE211">
        <f t="shared" si="177"/>
        <v>-1.1597036563079416E-3</v>
      </c>
      <c r="AF211">
        <f t="shared" si="178"/>
        <v>2.6802183534210002E-3</v>
      </c>
      <c r="AG211">
        <f t="shared" si="194"/>
        <v>5325.8858086295186</v>
      </c>
      <c r="AH211">
        <f t="shared" si="195"/>
        <v>-2677.561414422184</v>
      </c>
      <c r="AJ211">
        <f t="shared" si="179"/>
        <v>26400</v>
      </c>
      <c r="AK211">
        <f t="shared" si="180"/>
        <v>11274.26621561856</v>
      </c>
      <c r="AL211">
        <v>1</v>
      </c>
      <c r="AM211">
        <f t="shared" si="181"/>
        <v>15.107089673390403</v>
      </c>
      <c r="AN211">
        <f t="shared" si="196"/>
        <v>858.20513899701791</v>
      </c>
      <c r="AO211">
        <f t="shared" si="197"/>
        <v>-1690.7157773738675</v>
      </c>
      <c r="AQ211">
        <f t="shared" si="182"/>
        <v>0.31918289179699966</v>
      </c>
      <c r="AR211">
        <f t="shared" si="183"/>
        <v>-56.495371848068942</v>
      </c>
      <c r="AT211">
        <f t="shared" si="156"/>
        <v>-149569.89612004376</v>
      </c>
      <c r="AU211">
        <f t="shared" si="157"/>
        <v>-301742.53097409732</v>
      </c>
      <c r="AV211">
        <f t="shared" si="198"/>
        <v>-2.0309877094705939</v>
      </c>
      <c r="AW211">
        <f t="shared" si="199"/>
        <v>-89032.284159970644</v>
      </c>
      <c r="AX211">
        <f t="shared" si="200"/>
        <v>-60456.578274246996</v>
      </c>
      <c r="AY211">
        <f t="shared" si="208"/>
        <v>-2.5450720054357441</v>
      </c>
      <c r="BA211">
        <f t="shared" si="184"/>
        <v>3.1293724559960352</v>
      </c>
      <c r="BB211">
        <f t="shared" si="201"/>
        <v>9.9091451137223494</v>
      </c>
      <c r="BC211">
        <f t="shared" si="202"/>
        <v>0.51408429596515015</v>
      </c>
      <c r="BD211">
        <f t="shared" si="185"/>
        <v>-150.54513949358551</v>
      </c>
      <c r="BF211">
        <f t="shared" si="186"/>
        <v>-9.8691481443591069</v>
      </c>
      <c r="BG211">
        <f t="shared" si="187"/>
        <v>-148.95047519797643</v>
      </c>
      <c r="BH211">
        <f t="shared" si="203"/>
        <v>31.049524802023569</v>
      </c>
      <c r="BI211">
        <f t="shared" si="204"/>
        <v>31.049524802023569</v>
      </c>
      <c r="BJ211">
        <f t="shared" si="188"/>
        <v>0</v>
      </c>
      <c r="BK211">
        <f t="shared" si="205"/>
        <v>0</v>
      </c>
      <c r="BM211">
        <f t="shared" si="206"/>
        <v>-19.778293258081455</v>
      </c>
      <c r="BN211">
        <f t="shared" si="189"/>
        <v>-178.40533570439092</v>
      </c>
      <c r="BQ211" s="56">
        <f t="shared" si="207"/>
        <v>26.811105914007488</v>
      </c>
      <c r="BR211" s="59"/>
      <c r="BS211" s="59"/>
      <c r="BT211" s="59">
        <v>10232.93</v>
      </c>
      <c r="BU211" s="59">
        <v>-2.4867400000000002</v>
      </c>
      <c r="BV211" s="59">
        <v>-211.715</v>
      </c>
      <c r="BW211" s="61"/>
      <c r="BY211" s="59"/>
      <c r="BZ211" s="59"/>
      <c r="CA211" s="59"/>
      <c r="CC211" s="59"/>
    </row>
    <row r="212" spans="1:81" x14ac:dyDescent="0.2">
      <c r="A212">
        <f t="shared" si="190"/>
        <v>89000</v>
      </c>
      <c r="B212">
        <f t="shared" si="191"/>
        <v>89</v>
      </c>
      <c r="C212">
        <f t="shared" si="159"/>
        <v>1.0000600632535512</v>
      </c>
      <c r="D212">
        <f t="shared" si="160"/>
        <v>1.0959949578044996E-2</v>
      </c>
      <c r="F212">
        <f t="shared" si="161"/>
        <v>6.7614870720086968E-3</v>
      </c>
      <c r="G212">
        <f t="shared" si="162"/>
        <v>1.6837354427286708E-2</v>
      </c>
      <c r="H212">
        <f t="shared" si="163"/>
        <v>-3.1247552955727134</v>
      </c>
      <c r="J212">
        <f t="shared" si="164"/>
        <v>15</v>
      </c>
      <c r="M212">
        <f t="shared" si="165"/>
        <v>1.4053327278957381E-2</v>
      </c>
      <c r="N212">
        <f t="shared" si="166"/>
        <v>-1.5707963250000001</v>
      </c>
      <c r="O212">
        <f t="shared" si="167"/>
        <v>17.506489306570483</v>
      </c>
      <c r="P212">
        <f t="shared" si="168"/>
        <v>1.5136435420865955</v>
      </c>
      <c r="Q212">
        <f t="shared" si="169"/>
        <v>15.225315996943294</v>
      </c>
      <c r="R212">
        <f t="shared" si="170"/>
        <v>1.5050689305053651</v>
      </c>
      <c r="S212">
        <f t="shared" si="171"/>
        <v>0.91884639611057373</v>
      </c>
      <c r="T212">
        <f t="shared" si="172"/>
        <v>-0.40564922638316103</v>
      </c>
      <c r="U212">
        <f t="shared" si="173"/>
        <v>0.91695200690875345</v>
      </c>
      <c r="V212">
        <f t="shared" si="174"/>
        <v>-0.41042330606063021</v>
      </c>
      <c r="X212">
        <f t="shared" si="192"/>
        <v>-9.894127493099143</v>
      </c>
      <c r="Y212">
        <f t="shared" si="175"/>
        <v>-142.20535929518741</v>
      </c>
      <c r="Z212">
        <f t="shared" si="193"/>
        <v>37.794640704812593</v>
      </c>
      <c r="AC212">
        <v>1</v>
      </c>
      <c r="AD212">
        <f t="shared" si="176"/>
        <v>17.4779051330835</v>
      </c>
      <c r="AE212">
        <f t="shared" si="177"/>
        <v>-1.1728446693625976E-3</v>
      </c>
      <c r="AF212">
        <f t="shared" si="178"/>
        <v>2.6953608299940001E-3</v>
      </c>
      <c r="AG212">
        <f t="shared" si="194"/>
        <v>5316.3858747871391</v>
      </c>
      <c r="AH212">
        <f t="shared" si="195"/>
        <v>-2684.3511091369583</v>
      </c>
      <c r="AJ212">
        <f t="shared" si="179"/>
        <v>26400</v>
      </c>
      <c r="AK212">
        <f t="shared" si="180"/>
        <v>11337.962634915841</v>
      </c>
      <c r="AL212">
        <v>1</v>
      </c>
      <c r="AM212">
        <f t="shared" si="181"/>
        <v>15.192440462505601</v>
      </c>
      <c r="AN212">
        <f t="shared" si="196"/>
        <v>856.9566043379989</v>
      </c>
      <c r="AO212">
        <f t="shared" si="197"/>
        <v>-1681.2995554401755</v>
      </c>
      <c r="AQ212">
        <f t="shared" si="182"/>
        <v>0.31560675398453525</v>
      </c>
      <c r="AR212">
        <f t="shared" si="183"/>
        <v>-56.178002209247275</v>
      </c>
      <c r="AT212">
        <f t="shared" si="156"/>
        <v>-149123.59525062059</v>
      </c>
      <c r="AU212">
        <f t="shared" si="157"/>
        <v>-299511.13675911236</v>
      </c>
      <c r="AV212">
        <f t="shared" si="198"/>
        <v>-2.0327544991388722</v>
      </c>
      <c r="AW212">
        <f t="shared" si="199"/>
        <v>-87981.550330992046</v>
      </c>
      <c r="AX212">
        <f t="shared" si="200"/>
        <v>-60062.646183452511</v>
      </c>
      <c r="AY212">
        <f t="shared" si="208"/>
        <v>-2.5425903153156155</v>
      </c>
      <c r="BA212">
        <f t="shared" si="184"/>
        <v>3.1407761214922365</v>
      </c>
      <c r="BB212">
        <f t="shared" si="201"/>
        <v>9.940739608799344</v>
      </c>
      <c r="BC212">
        <f t="shared" si="202"/>
        <v>0.50983581617674334</v>
      </c>
      <c r="BD212">
        <f t="shared" si="185"/>
        <v>-150.78855945508602</v>
      </c>
      <c r="BF212">
        <f t="shared" si="186"/>
        <v>-9.9360690829961555</v>
      </c>
      <c r="BG212">
        <f t="shared" si="187"/>
        <v>-149.19589125191851</v>
      </c>
      <c r="BH212">
        <f t="shared" si="203"/>
        <v>30.804108748081489</v>
      </c>
      <c r="BI212">
        <f t="shared" si="204"/>
        <v>30.804108748081489</v>
      </c>
      <c r="BJ212">
        <f t="shared" si="188"/>
        <v>0</v>
      </c>
      <c r="BK212">
        <f t="shared" si="205"/>
        <v>0</v>
      </c>
      <c r="BM212">
        <f t="shared" si="206"/>
        <v>-19.8768086917955</v>
      </c>
      <c r="BN212">
        <f t="shared" si="189"/>
        <v>-178.40733179683252</v>
      </c>
      <c r="BQ212" s="56">
        <f t="shared" si="207"/>
        <v>26.842700409084479</v>
      </c>
      <c r="BR212" s="59"/>
      <c r="BS212" s="59"/>
      <c r="BT212" s="59">
        <v>10471.285</v>
      </c>
      <c r="BU212" s="59">
        <v>-2.3517399999999999</v>
      </c>
      <c r="BV212" s="59">
        <v>-211.89099999999999</v>
      </c>
      <c r="BW212" s="61"/>
      <c r="BY212" s="59"/>
      <c r="BZ212" s="59"/>
      <c r="CA212" s="59"/>
      <c r="CC212" s="59"/>
    </row>
    <row r="213" spans="1:81" x14ac:dyDescent="0.2">
      <c r="A213">
        <f t="shared" si="190"/>
        <v>89500</v>
      </c>
      <c r="B213">
        <f t="shared" si="191"/>
        <v>89.5</v>
      </c>
      <c r="C213">
        <f t="shared" si="159"/>
        <v>1.0000607399967134</v>
      </c>
      <c r="D213">
        <f t="shared" si="160"/>
        <v>1.1021517356211569E-2</v>
      </c>
      <c r="F213">
        <f t="shared" si="161"/>
        <v>6.6856574274398815E-3</v>
      </c>
      <c r="G213">
        <f t="shared" si="162"/>
        <v>1.6742046682122039E-2</v>
      </c>
      <c r="H213">
        <f t="shared" si="163"/>
        <v>-3.1248506033178782</v>
      </c>
      <c r="J213">
        <f t="shared" si="164"/>
        <v>15</v>
      </c>
      <c r="M213">
        <f t="shared" si="165"/>
        <v>1.3974817070695048E-2</v>
      </c>
      <c r="N213">
        <f t="shared" si="166"/>
        <v>-1.5707963250000001</v>
      </c>
      <c r="O213">
        <f t="shared" si="167"/>
        <v>17.604520355284947</v>
      </c>
      <c r="P213">
        <f t="shared" si="168"/>
        <v>1.51396214234446</v>
      </c>
      <c r="Q213">
        <f t="shared" si="169"/>
        <v>15.310483517123197</v>
      </c>
      <c r="R213">
        <f t="shared" si="170"/>
        <v>1.5054350748488241</v>
      </c>
      <c r="S213">
        <f t="shared" si="171"/>
        <v>0.91804135491340466</v>
      </c>
      <c r="T213">
        <f t="shared" si="172"/>
        <v>-0.407684470713567</v>
      </c>
      <c r="U213">
        <f t="shared" si="173"/>
        <v>0.91613070768549631</v>
      </c>
      <c r="V213">
        <f t="shared" si="174"/>
        <v>-0.41247686860420152</v>
      </c>
      <c r="X213">
        <f t="shared" si="192"/>
        <v>-9.9591864480970926</v>
      </c>
      <c r="Y213">
        <f t="shared" si="175"/>
        <v>-142.40233085454514</v>
      </c>
      <c r="Z213">
        <f t="shared" si="193"/>
        <v>37.597669145454859</v>
      </c>
      <c r="AC213">
        <v>1</v>
      </c>
      <c r="AD213">
        <f t="shared" si="176"/>
        <v>17.57609561135925</v>
      </c>
      <c r="AE213">
        <f t="shared" si="177"/>
        <v>-1.1860597162936179E-3</v>
      </c>
      <c r="AF213">
        <f t="shared" si="178"/>
        <v>2.710503306567E-3</v>
      </c>
      <c r="AG213">
        <f t="shared" si="194"/>
        <v>5306.8665365347297</v>
      </c>
      <c r="AH213">
        <f t="shared" si="195"/>
        <v>-2691.1092862561582</v>
      </c>
      <c r="AJ213">
        <f t="shared" si="179"/>
        <v>26400</v>
      </c>
      <c r="AK213">
        <f t="shared" si="180"/>
        <v>11401.659054213122</v>
      </c>
      <c r="AL213">
        <v>1</v>
      </c>
      <c r="AM213">
        <f t="shared" si="181"/>
        <v>15.277791251620801</v>
      </c>
      <c r="AN213">
        <f t="shared" si="196"/>
        <v>855.72881731124664</v>
      </c>
      <c r="AO213">
        <f t="shared" si="197"/>
        <v>-1671.9871846644583</v>
      </c>
      <c r="AQ213">
        <f t="shared" si="182"/>
        <v>0.31209038137444606</v>
      </c>
      <c r="AR213">
        <f t="shared" si="183"/>
        <v>-55.864178266025839</v>
      </c>
      <c r="AT213">
        <f t="shared" si="156"/>
        <v>-148680.38689948115</v>
      </c>
      <c r="AU213">
        <f t="shared" si="157"/>
        <v>-297303.60755445127</v>
      </c>
      <c r="AV213">
        <f t="shared" si="198"/>
        <v>-2.0345208457888786</v>
      </c>
      <c r="AW213">
        <f t="shared" si="199"/>
        <v>-86948.443564696165</v>
      </c>
      <c r="AX213">
        <f t="shared" si="200"/>
        <v>-59674.415165807935</v>
      </c>
      <c r="AY213">
        <f t="shared" si="208"/>
        <v>-2.5401073397308567</v>
      </c>
      <c r="BA213">
        <f t="shared" si="184"/>
        <v>3.1520902702141269</v>
      </c>
      <c r="BB213">
        <f t="shared" si="201"/>
        <v>9.9719729282190475</v>
      </c>
      <c r="BC213">
        <f t="shared" si="202"/>
        <v>0.50558649394197808</v>
      </c>
      <c r="BD213">
        <f t="shared" si="185"/>
        <v>-151.03202768520737</v>
      </c>
      <c r="BF213">
        <f t="shared" si="186"/>
        <v>-10.002791933549187</v>
      </c>
      <c r="BG213">
        <f t="shared" si="187"/>
        <v>-149.44129263975196</v>
      </c>
      <c r="BH213">
        <f t="shared" si="203"/>
        <v>30.558707360248036</v>
      </c>
      <c r="BI213">
        <f t="shared" si="204"/>
        <v>30.558707360248036</v>
      </c>
      <c r="BJ213">
        <f t="shared" si="188"/>
        <v>0</v>
      </c>
      <c r="BK213">
        <f t="shared" si="205"/>
        <v>0</v>
      </c>
      <c r="BM213">
        <f t="shared" si="206"/>
        <v>-19.974764861768236</v>
      </c>
      <c r="BN213">
        <f t="shared" si="189"/>
        <v>-178.4092649545446</v>
      </c>
      <c r="BQ213" s="56">
        <f t="shared" si="207"/>
        <v>26.873933728504184</v>
      </c>
      <c r="BR213" s="59"/>
      <c r="BS213" s="59"/>
      <c r="BT213" s="59">
        <v>10715.192999999999</v>
      </c>
      <c r="BU213" s="59">
        <v>-2.5136799999999999</v>
      </c>
      <c r="BV213" s="59">
        <v>-209.68</v>
      </c>
      <c r="BW213" s="61"/>
      <c r="BY213" s="59"/>
      <c r="BZ213" s="59"/>
      <c r="CA213" s="59"/>
      <c r="CC213" s="59"/>
    </row>
    <row r="214" spans="1:81" x14ac:dyDescent="0.2">
      <c r="A214">
        <f t="shared" si="190"/>
        <v>90000</v>
      </c>
      <c r="B214">
        <f t="shared" si="191"/>
        <v>90</v>
      </c>
      <c r="C214">
        <f t="shared" si="159"/>
        <v>1.0000614205306917</v>
      </c>
      <c r="D214">
        <f t="shared" si="160"/>
        <v>1.1083085050818736E-2</v>
      </c>
      <c r="F214">
        <f t="shared" si="161"/>
        <v>6.6110990066109813E-3</v>
      </c>
      <c r="G214">
        <f t="shared" si="162"/>
        <v>1.6647818654675274E-2</v>
      </c>
      <c r="H214">
        <f t="shared" si="163"/>
        <v>-3.1249448313453247</v>
      </c>
      <c r="J214">
        <f t="shared" si="164"/>
        <v>15</v>
      </c>
      <c r="M214">
        <f t="shared" si="165"/>
        <v>1.3897179198080074E-2</v>
      </c>
      <c r="N214">
        <f t="shared" si="166"/>
        <v>-1.5707963250000001</v>
      </c>
      <c r="O214">
        <f t="shared" si="167"/>
        <v>17.702553171174642</v>
      </c>
      <c r="P214">
        <f t="shared" si="168"/>
        <v>1.5142772139587839</v>
      </c>
      <c r="Q214">
        <f t="shared" si="169"/>
        <v>15.395653067143009</v>
      </c>
      <c r="R214">
        <f t="shared" si="170"/>
        <v>1.5057971681814424</v>
      </c>
      <c r="S214">
        <f t="shared" si="171"/>
        <v>0.91723393374113782</v>
      </c>
      <c r="T214">
        <f t="shared" si="172"/>
        <v>-0.40971614343567309</v>
      </c>
      <c r="U214">
        <f t="shared" si="173"/>
        <v>0.91530702880188053</v>
      </c>
      <c r="V214">
        <f t="shared" si="174"/>
        <v>-0.41452674712708731</v>
      </c>
      <c r="X214">
        <f t="shared" si="192"/>
        <v>-10.024016284322093</v>
      </c>
      <c r="Y214">
        <f t="shared" si="175"/>
        <v>-142.59925912070975</v>
      </c>
      <c r="Z214">
        <f t="shared" si="193"/>
        <v>37.400740879290254</v>
      </c>
      <c r="AC214">
        <v>1</v>
      </c>
      <c r="AD214">
        <f t="shared" si="176"/>
        <v>17.674286089635</v>
      </c>
      <c r="AE214">
        <f t="shared" si="177"/>
        <v>-1.1993487971010026E-3</v>
      </c>
      <c r="AF214">
        <f t="shared" si="178"/>
        <v>2.72564578314E-3</v>
      </c>
      <c r="AG214">
        <f t="shared" si="194"/>
        <v>5297.3281838752682</v>
      </c>
      <c r="AH214">
        <f t="shared" si="195"/>
        <v>-2697.8355847504281</v>
      </c>
      <c r="AJ214">
        <f t="shared" si="179"/>
        <v>26400</v>
      </c>
      <c r="AK214">
        <f t="shared" si="180"/>
        <v>11465.355473510401</v>
      </c>
      <c r="AL214">
        <v>1</v>
      </c>
      <c r="AM214">
        <f t="shared" si="181"/>
        <v>15.363142040736003</v>
      </c>
      <c r="AN214">
        <f t="shared" si="196"/>
        <v>854.52132139442108</v>
      </c>
      <c r="AO214">
        <f t="shared" si="197"/>
        <v>-1662.7769639095111</v>
      </c>
      <c r="AQ214">
        <f t="shared" si="182"/>
        <v>0.30863244961575259</v>
      </c>
      <c r="AR214">
        <f t="shared" si="183"/>
        <v>-55.55384093083547</v>
      </c>
      <c r="AT214">
        <f t="shared" ref="AT214:AT277" si="209">-AR214*AH214+AG214*AQ214</f>
        <v>-148240.20155896479</v>
      </c>
      <c r="AU214">
        <f t="shared" ref="AU214:AU277" si="210">AQ214*AH214+AG214*AR214</f>
        <v>-295119.56689062028</v>
      </c>
      <c r="AV214">
        <f t="shared" si="198"/>
        <v>-2.036286688357404</v>
      </c>
      <c r="AW214">
        <f t="shared" si="199"/>
        <v>-85932.576307041832</v>
      </c>
      <c r="AX214">
        <f t="shared" si="200"/>
        <v>-59291.76185145037</v>
      </c>
      <c r="AY214">
        <f t="shared" si="208"/>
        <v>-2.5376232022034149</v>
      </c>
      <c r="BA214">
        <f t="shared" si="184"/>
        <v>3.1633147998200548</v>
      </c>
      <c r="BB214">
        <f t="shared" si="201"/>
        <v>10.002848264630204</v>
      </c>
      <c r="BC214">
        <f t="shared" si="202"/>
        <v>0.50133651384601086</v>
      </c>
      <c r="BD214">
        <f t="shared" si="185"/>
        <v>-151.27553360799914</v>
      </c>
      <c r="BF214">
        <f t="shared" si="186"/>
        <v>-10.069319856198318</v>
      </c>
      <c r="BG214">
        <f t="shared" si="187"/>
        <v>-149.68666986177507</v>
      </c>
      <c r="BH214">
        <f t="shared" si="203"/>
        <v>30.313330138224927</v>
      </c>
      <c r="BI214">
        <f t="shared" si="204"/>
        <v>30.313330138224927</v>
      </c>
      <c r="BJ214">
        <f t="shared" si="188"/>
        <v>0</v>
      </c>
      <c r="BK214">
        <f t="shared" si="205"/>
        <v>0</v>
      </c>
      <c r="BM214">
        <f t="shared" si="206"/>
        <v>-20.072168120828522</v>
      </c>
      <c r="BN214">
        <f t="shared" si="189"/>
        <v>-178.41113625377594</v>
      </c>
      <c r="BQ214" s="56">
        <f t="shared" si="207"/>
        <v>26.904809064915341</v>
      </c>
      <c r="BR214" s="59"/>
      <c r="BS214" s="59"/>
      <c r="BT214" s="59">
        <v>10964.781999999999</v>
      </c>
      <c r="BU214" s="59">
        <v>-2.5043700000000002</v>
      </c>
      <c r="BV214" s="59">
        <v>-209.52500000000001</v>
      </c>
      <c r="BW214" s="61"/>
      <c r="BY214" s="59"/>
      <c r="BZ214" s="59"/>
      <c r="CA214" s="59"/>
      <c r="CC214" s="59"/>
    </row>
    <row r="215" spans="1:81" x14ac:dyDescent="0.2">
      <c r="A215">
        <f t="shared" si="190"/>
        <v>90500</v>
      </c>
      <c r="B215">
        <f t="shared" si="191"/>
        <v>90.5</v>
      </c>
      <c r="C215">
        <f t="shared" si="159"/>
        <v>1.000062104855479</v>
      </c>
      <c r="D215">
        <f t="shared" si="160"/>
        <v>1.1144652661399915E-2</v>
      </c>
      <c r="F215">
        <f t="shared" si="161"/>
        <v>6.5377834936137533E-3</v>
      </c>
      <c r="G215">
        <f t="shared" si="162"/>
        <v>1.6554651989623876E-2</v>
      </c>
      <c r="H215">
        <f t="shared" si="163"/>
        <v>-3.1250379980103764</v>
      </c>
      <c r="J215">
        <f t="shared" si="164"/>
        <v>15</v>
      </c>
      <c r="M215">
        <f t="shared" si="165"/>
        <v>1.382039920251057E-2</v>
      </c>
      <c r="N215">
        <f t="shared" si="166"/>
        <v>-1.5707963250000001</v>
      </c>
      <c r="O215">
        <f t="shared" si="167"/>
        <v>17.800587725042586</v>
      </c>
      <c r="P215">
        <f t="shared" si="168"/>
        <v>1.5145888151672049</v>
      </c>
      <c r="Q215">
        <f t="shared" si="169"/>
        <v>15.480824613500534</v>
      </c>
      <c r="R215">
        <f t="shared" si="170"/>
        <v>1.5061552772703619</v>
      </c>
      <c r="S215">
        <f t="shared" si="171"/>
        <v>0.91642415883802475</v>
      </c>
      <c r="T215">
        <f t="shared" si="172"/>
        <v>-0.41174423721480036</v>
      </c>
      <c r="U215">
        <f t="shared" si="173"/>
        <v>0.91448099740910649</v>
      </c>
      <c r="V215">
        <f t="shared" si="174"/>
        <v>-0.41657293435313081</v>
      </c>
      <c r="X215">
        <f t="shared" si="192"/>
        <v>-10.088620014267144</v>
      </c>
      <c r="Y215">
        <f t="shared" si="175"/>
        <v>-142.79613714600504</v>
      </c>
      <c r="Z215">
        <f t="shared" si="193"/>
        <v>37.203862853994963</v>
      </c>
      <c r="AC215">
        <v>1</v>
      </c>
      <c r="AD215">
        <f t="shared" si="176"/>
        <v>17.772476567910751</v>
      </c>
      <c r="AE215">
        <f t="shared" si="177"/>
        <v>-1.2127119117847512E-3</v>
      </c>
      <c r="AF215">
        <f t="shared" si="178"/>
        <v>2.7407882597129999E-3</v>
      </c>
      <c r="AG215">
        <f t="shared" si="194"/>
        <v>5287.7712051609788</v>
      </c>
      <c r="AH215">
        <f t="shared" si="195"/>
        <v>-2704.5296552997233</v>
      </c>
      <c r="AJ215">
        <f t="shared" si="179"/>
        <v>26400</v>
      </c>
      <c r="AK215">
        <f t="shared" si="180"/>
        <v>11529.051892807682</v>
      </c>
      <c r="AL215">
        <v>1</v>
      </c>
      <c r="AM215">
        <f t="shared" si="181"/>
        <v>15.448492829851201</v>
      </c>
      <c r="AN215">
        <f t="shared" si="196"/>
        <v>853.33367253534027</v>
      </c>
      <c r="AO215">
        <f t="shared" si="197"/>
        <v>-1653.6672288251129</v>
      </c>
      <c r="AQ215">
        <f t="shared" si="182"/>
        <v>0.30523167083816616</v>
      </c>
      <c r="AR215">
        <f t="shared" si="183"/>
        <v>-55.246932421708074</v>
      </c>
      <c r="AT215">
        <f t="shared" si="209"/>
        <v>-147802.97185888802</v>
      </c>
      <c r="AU215">
        <f t="shared" si="210"/>
        <v>-292958.64653850097</v>
      </c>
      <c r="AV215">
        <f t="shared" si="198"/>
        <v>-2.0380519671100465</v>
      </c>
      <c r="AW215">
        <f t="shared" si="199"/>
        <v>-84933.571572502653</v>
      </c>
      <c r="AX215">
        <f t="shared" si="200"/>
        <v>-58914.566346828258</v>
      </c>
      <c r="AY215">
        <f t="shared" si="208"/>
        <v>-2.5351380245574204</v>
      </c>
      <c r="BA215">
        <f t="shared" si="184"/>
        <v>3.1744496158794973</v>
      </c>
      <c r="BB215">
        <f t="shared" si="201"/>
        <v>10.033368768896294</v>
      </c>
      <c r="BC215">
        <f t="shared" si="202"/>
        <v>0.49708605744737389</v>
      </c>
      <c r="BD215">
        <f t="shared" si="185"/>
        <v>-151.51906682092368</v>
      </c>
      <c r="BF215">
        <f t="shared" si="186"/>
        <v>-10.135655944616328</v>
      </c>
      <c r="BG215">
        <f t="shared" si="187"/>
        <v>-149.93201356715946</v>
      </c>
      <c r="BH215">
        <f t="shared" si="203"/>
        <v>30.067986432840542</v>
      </c>
      <c r="BI215">
        <f t="shared" si="204"/>
        <v>30.067986432840542</v>
      </c>
      <c r="BJ215">
        <f t="shared" si="188"/>
        <v>0</v>
      </c>
      <c r="BK215">
        <f t="shared" si="205"/>
        <v>0</v>
      </c>
      <c r="BM215">
        <f t="shared" si="206"/>
        <v>-20.16902471351262</v>
      </c>
      <c r="BN215">
        <f t="shared" si="189"/>
        <v>-178.4129467462358</v>
      </c>
      <c r="BQ215" s="56">
        <f t="shared" si="207"/>
        <v>26.935329569181427</v>
      </c>
      <c r="BR215" s="59"/>
      <c r="BS215" s="59"/>
      <c r="BT215" s="59">
        <v>11220.184999999999</v>
      </c>
      <c r="BU215" s="59">
        <v>-2.7486899999999999</v>
      </c>
      <c r="BV215" s="59">
        <v>-207.815</v>
      </c>
      <c r="BW215" s="61"/>
      <c r="BY215" s="59"/>
      <c r="BZ215" s="59"/>
      <c r="CA215" s="59"/>
      <c r="CC215" s="59"/>
    </row>
    <row r="216" spans="1:81" x14ac:dyDescent="0.2">
      <c r="A216">
        <f t="shared" si="190"/>
        <v>91000</v>
      </c>
      <c r="B216">
        <f t="shared" si="191"/>
        <v>91</v>
      </c>
      <c r="C216">
        <f t="shared" si="159"/>
        <v>1.0000627929710668</v>
      </c>
      <c r="D216">
        <f t="shared" si="160"/>
        <v>1.1206220187488524E-2</v>
      </c>
      <c r="F216">
        <f t="shared" si="161"/>
        <v>6.465683358183893E-3</v>
      </c>
      <c r="G216">
        <f t="shared" si="162"/>
        <v>1.6462528747735541E-2</v>
      </c>
      <c r="H216">
        <f t="shared" si="163"/>
        <v>-3.1251301212522646</v>
      </c>
      <c r="J216">
        <f t="shared" si="164"/>
        <v>15</v>
      </c>
      <c r="M216">
        <f t="shared" si="165"/>
        <v>1.3744462943156116E-2</v>
      </c>
      <c r="N216">
        <f t="shared" si="166"/>
        <v>-1.5707963250000001</v>
      </c>
      <c r="O216">
        <f t="shared" si="167"/>
        <v>17.89862398833095</v>
      </c>
      <c r="P216">
        <f t="shared" si="168"/>
        <v>1.5148970029341486</v>
      </c>
      <c r="Q216">
        <f t="shared" si="169"/>
        <v>15.565998123426045</v>
      </c>
      <c r="R216">
        <f t="shared" si="170"/>
        <v>1.5065094674255264</v>
      </c>
      <c r="S216">
        <f t="shared" si="171"/>
        <v>0.91561205639029308</v>
      </c>
      <c r="T216">
        <f t="shared" si="172"/>
        <v>-0.41376874485985354</v>
      </c>
      <c r="U216">
        <f t="shared" si="173"/>
        <v>0.9136526405933052</v>
      </c>
      <c r="V216">
        <f t="shared" si="174"/>
        <v>-0.41861542315599554</v>
      </c>
      <c r="X216">
        <f t="shared" si="192"/>
        <v>-10.153000590798275</v>
      </c>
      <c r="Y216">
        <f t="shared" si="175"/>
        <v>-142.99295813216619</v>
      </c>
      <c r="Z216">
        <f t="shared" si="193"/>
        <v>37.007041867833806</v>
      </c>
      <c r="AC216">
        <v>1</v>
      </c>
      <c r="AD216">
        <f t="shared" si="176"/>
        <v>17.870667046186497</v>
      </c>
      <c r="AE216">
        <f t="shared" si="177"/>
        <v>-1.2261490603448643E-3</v>
      </c>
      <c r="AF216">
        <f t="shared" si="178"/>
        <v>2.7559307362859998E-3</v>
      </c>
      <c r="AG216">
        <f t="shared" si="194"/>
        <v>5278.1959870693827</v>
      </c>
      <c r="AH216">
        <f t="shared" si="195"/>
        <v>-2711.1911600254953</v>
      </c>
      <c r="AJ216">
        <f t="shared" si="179"/>
        <v>26400</v>
      </c>
      <c r="AK216">
        <f t="shared" si="180"/>
        <v>11592.748312104961</v>
      </c>
      <c r="AL216">
        <v>1</v>
      </c>
      <c r="AM216">
        <f t="shared" si="181"/>
        <v>15.533843618966403</v>
      </c>
      <c r="AN216">
        <f t="shared" si="196"/>
        <v>852.16543874601496</v>
      </c>
      <c r="AO216">
        <f t="shared" si="197"/>
        <v>-1644.6563508635281</v>
      </c>
      <c r="AQ216">
        <f t="shared" si="182"/>
        <v>0.30188679245283018</v>
      </c>
      <c r="AR216">
        <f t="shared" si="183"/>
        <v>-54.943396226415096</v>
      </c>
      <c r="AT216">
        <f t="shared" si="209"/>
        <v>-147368.63249436097</v>
      </c>
      <c r="AU216">
        <f t="shared" si="210"/>
        <v>-290820.4862812538</v>
      </c>
      <c r="AV216">
        <f t="shared" si="198"/>
        <v>-2.0398166236084236</v>
      </c>
      <c r="AW216">
        <f t="shared" si="199"/>
        <v>-83951.062600422534</v>
      </c>
      <c r="AX216">
        <f t="shared" si="200"/>
        <v>-58542.712115094735</v>
      </c>
      <c r="AY216">
        <f t="shared" si="208"/>
        <v>-2.5326519269537537</v>
      </c>
      <c r="BA216">
        <f t="shared" si="184"/>
        <v>3.1854946318598514</v>
      </c>
      <c r="BB216">
        <f t="shared" si="201"/>
        <v>10.063537551063392</v>
      </c>
      <c r="BC216">
        <f t="shared" si="202"/>
        <v>0.4928353033453301</v>
      </c>
      <c r="BD216">
        <f t="shared" si="185"/>
        <v>-151.76261709099703</v>
      </c>
      <c r="BF216">
        <f t="shared" si="186"/>
        <v>-10.201803227462257</v>
      </c>
      <c r="BG216">
        <f t="shared" si="187"/>
        <v>-150.17731455079007</v>
      </c>
      <c r="BH216">
        <f t="shared" si="203"/>
        <v>29.822685449209928</v>
      </c>
      <c r="BI216">
        <f t="shared" si="204"/>
        <v>29.822685449209928</v>
      </c>
      <c r="BJ216">
        <f t="shared" si="188"/>
        <v>0</v>
      </c>
      <c r="BK216">
        <f t="shared" si="205"/>
        <v>0</v>
      </c>
      <c r="BM216">
        <f t="shared" si="206"/>
        <v>-20.265340778525648</v>
      </c>
      <c r="BN216">
        <f t="shared" si="189"/>
        <v>-178.41469745979308</v>
      </c>
      <c r="BQ216" s="56">
        <f t="shared" si="207"/>
        <v>26.965498351348529</v>
      </c>
      <c r="BR216" s="59"/>
      <c r="BS216" s="59"/>
      <c r="BT216" s="59">
        <v>11481.536</v>
      </c>
      <c r="BU216" s="59">
        <v>-2.86917</v>
      </c>
      <c r="BV216" s="59">
        <v>-207.916</v>
      </c>
      <c r="BW216" s="61"/>
      <c r="BY216" s="59"/>
      <c r="BZ216" s="59"/>
      <c r="CA216" s="59"/>
      <c r="CC216" s="59"/>
    </row>
    <row r="217" spans="1:81" x14ac:dyDescent="0.2">
      <c r="A217">
        <f t="shared" si="190"/>
        <v>91500</v>
      </c>
      <c r="B217">
        <f t="shared" si="191"/>
        <v>91.5</v>
      </c>
      <c r="C217">
        <f t="shared" si="159"/>
        <v>1.0000634848774479</v>
      </c>
      <c r="D217">
        <f t="shared" si="160"/>
        <v>1.1267787628617987E-2</v>
      </c>
      <c r="F217">
        <f t="shared" si="161"/>
        <v>6.3947718296354546E-3</v>
      </c>
      <c r="G217">
        <f t="shared" si="162"/>
        <v>1.6371431394081402E-2</v>
      </c>
      <c r="H217">
        <f t="shared" si="163"/>
        <v>-3.1252212186059189</v>
      </c>
      <c r="J217">
        <f t="shared" si="164"/>
        <v>15</v>
      </c>
      <c r="M217">
        <f t="shared" si="165"/>
        <v>1.3669356588275483E-2</v>
      </c>
      <c r="N217">
        <f t="shared" si="166"/>
        <v>-1.5707963250000001</v>
      </c>
      <c r="O217">
        <f t="shared" si="167"/>
        <v>17.996661933103695</v>
      </c>
      <c r="P217">
        <f t="shared" si="168"/>
        <v>1.515201832985398</v>
      </c>
      <c r="Q217">
        <f t="shared" si="169"/>
        <v>15.651173564862399</v>
      </c>
      <c r="R217">
        <f t="shared" si="170"/>
        <v>1.5068598025391668</v>
      </c>
      <c r="S217">
        <f t="shared" si="171"/>
        <v>0.9147976525245638</v>
      </c>
      <c r="T217">
        <f t="shared" si="172"/>
        <v>-0.41578965932273088</v>
      </c>
      <c r="U217">
        <f t="shared" si="173"/>
        <v>0.91282198537390691</v>
      </c>
      <c r="V217">
        <f t="shared" si="174"/>
        <v>-0.42065420655851354</v>
      </c>
      <c r="X217">
        <f t="shared" si="192"/>
        <v>-10.217160908596428</v>
      </c>
      <c r="Y217">
        <f t="shared" si="175"/>
        <v>-143.18971542670133</v>
      </c>
      <c r="Z217">
        <f t="shared" si="193"/>
        <v>36.810284573298674</v>
      </c>
      <c r="AC217">
        <v>1</v>
      </c>
      <c r="AD217">
        <f t="shared" si="176"/>
        <v>17.968857524462251</v>
      </c>
      <c r="AE217">
        <f t="shared" si="177"/>
        <v>-1.239660242781342E-3</v>
      </c>
      <c r="AF217">
        <f t="shared" si="178"/>
        <v>2.7710732128590002E-3</v>
      </c>
      <c r="AG217">
        <f t="shared" si="194"/>
        <v>5268.6029145798375</v>
      </c>
      <c r="AH217">
        <f t="shared" si="195"/>
        <v>-2717.8197722305144</v>
      </c>
      <c r="AJ217">
        <f t="shared" si="179"/>
        <v>26400</v>
      </c>
      <c r="AK217">
        <f t="shared" si="180"/>
        <v>11656.444731402242</v>
      </c>
      <c r="AL217">
        <v>1</v>
      </c>
      <c r="AM217">
        <f t="shared" si="181"/>
        <v>15.619194408081601</v>
      </c>
      <c r="AN217">
        <f t="shared" si="196"/>
        <v>851.01619971200171</v>
      </c>
      <c r="AO217">
        <f t="shared" si="197"/>
        <v>-1635.74273632631</v>
      </c>
      <c r="AQ217">
        <f t="shared" si="182"/>
        <v>0.29859659599880561</v>
      </c>
      <c r="AR217">
        <f t="shared" si="183"/>
        <v>-54.64317706778143</v>
      </c>
      <c r="AT217">
        <f t="shared" si="209"/>
        <v>-146937.12015634647</v>
      </c>
      <c r="AU217">
        <f t="shared" si="210"/>
        <v>-288704.73369374161</v>
      </c>
      <c r="AV217">
        <f t="shared" si="198"/>
        <v>-2.0415806006784214</v>
      </c>
      <c r="AW217">
        <f t="shared" si="199"/>
        <v>-82984.692524320664</v>
      </c>
      <c r="AX217">
        <f t="shared" si="200"/>
        <v>-58176.085861327825</v>
      </c>
      <c r="AY217">
        <f t="shared" si="208"/>
        <v>-2.5301650279232373</v>
      </c>
      <c r="BA217">
        <f t="shared" si="184"/>
        <v>3.1964497691116032</v>
      </c>
      <c r="BB217">
        <f t="shared" si="201"/>
        <v>10.093357681300635</v>
      </c>
      <c r="BC217">
        <f t="shared" si="202"/>
        <v>0.48858442724481588</v>
      </c>
      <c r="BD217">
        <f t="shared" si="185"/>
        <v>-152.00617435106781</v>
      </c>
      <c r="BF217">
        <f t="shared" si="186"/>
        <v>-10.267764669832452</v>
      </c>
      <c r="BG217">
        <f t="shared" si="187"/>
        <v>-150.42256375021989</v>
      </c>
      <c r="BH217">
        <f t="shared" si="203"/>
        <v>29.577436249780106</v>
      </c>
      <c r="BI217">
        <f t="shared" si="204"/>
        <v>29.577436249780106</v>
      </c>
      <c r="BJ217">
        <f t="shared" si="188"/>
        <v>0</v>
      </c>
      <c r="BK217">
        <f t="shared" si="205"/>
        <v>0</v>
      </c>
      <c r="BM217">
        <f t="shared" si="206"/>
        <v>-20.361122351133083</v>
      </c>
      <c r="BN217">
        <f t="shared" si="189"/>
        <v>-178.41638939915211</v>
      </c>
      <c r="BQ217" s="56">
        <f t="shared" si="207"/>
        <v>26.99531848158577</v>
      </c>
      <c r="BR217" s="59"/>
      <c r="BS217" s="59"/>
      <c r="BT217" s="59">
        <v>11748.976000000001</v>
      </c>
      <c r="BU217" s="59">
        <v>-3.0396299999999998</v>
      </c>
      <c r="BV217" s="59">
        <v>-206.25700000000001</v>
      </c>
      <c r="BW217" s="61"/>
      <c r="BY217" s="59"/>
      <c r="BZ217" s="59"/>
      <c r="CA217" s="59"/>
      <c r="CC217" s="59"/>
    </row>
    <row r="218" spans="1:81" x14ac:dyDescent="0.2">
      <c r="A218">
        <f t="shared" si="190"/>
        <v>92000</v>
      </c>
      <c r="B218">
        <f t="shared" si="191"/>
        <v>92</v>
      </c>
      <c r="C218">
        <f t="shared" si="159"/>
        <v>1.0000641805746142</v>
      </c>
      <c r="D218">
        <f t="shared" si="160"/>
        <v>1.1329354984321733E-2</v>
      </c>
      <c r="F218">
        <f t="shared" si="161"/>
        <v>6.3250228718006044E-3</v>
      </c>
      <c r="G218">
        <f t="shared" si="162"/>
        <v>1.6281342786649604E-2</v>
      </c>
      <c r="H218">
        <f t="shared" si="163"/>
        <v>-3.1253113072133507</v>
      </c>
      <c r="J218">
        <f t="shared" si="164"/>
        <v>15</v>
      </c>
      <c r="M218">
        <f t="shared" si="165"/>
        <v>1.3595066606817464E-2</v>
      </c>
      <c r="N218">
        <f t="shared" si="166"/>
        <v>-1.5707963250000001</v>
      </c>
      <c r="O218">
        <f t="shared" si="167"/>
        <v>18.094701532029735</v>
      </c>
      <c r="P218">
        <f t="shared" si="168"/>
        <v>1.5155033598415431</v>
      </c>
      <c r="Q218">
        <f t="shared" si="169"/>
        <v>15.736350906445786</v>
      </c>
      <c r="R218">
        <f t="shared" si="170"/>
        <v>1.5072063451240083</v>
      </c>
      <c r="S218">
        <f t="shared" si="171"/>
        <v>0.91398097330629191</v>
      </c>
      <c r="T218">
        <f t="shared" si="172"/>
        <v>-0.41780697369772485</v>
      </c>
      <c r="U218">
        <f t="shared" si="173"/>
        <v>0.91198905870203217</v>
      </c>
      <c r="V218">
        <f t="shared" si="174"/>
        <v>-0.42268927773202403</v>
      </c>
      <c r="X218">
        <f t="shared" si="192"/>
        <v>-10.281103805556882</v>
      </c>
      <c r="Y218">
        <f t="shared" si="175"/>
        <v>-143.38640251936567</v>
      </c>
      <c r="Z218">
        <f t="shared" si="193"/>
        <v>36.613597480634326</v>
      </c>
      <c r="AC218">
        <v>1</v>
      </c>
      <c r="AD218">
        <f t="shared" si="176"/>
        <v>18.067048002738002</v>
      </c>
      <c r="AE218">
        <f t="shared" si="177"/>
        <v>-1.2532454590941835E-3</v>
      </c>
      <c r="AF218">
        <f t="shared" si="178"/>
        <v>2.7862156894320001E-3</v>
      </c>
      <c r="AG218">
        <f t="shared" si="194"/>
        <v>5258.9923709505765</v>
      </c>
      <c r="AH218">
        <f t="shared" si="195"/>
        <v>-2724.4151761460471</v>
      </c>
      <c r="AJ218">
        <f t="shared" si="179"/>
        <v>26400</v>
      </c>
      <c r="AK218">
        <f t="shared" si="180"/>
        <v>11720.141150699521</v>
      </c>
      <c r="AL218">
        <v>1</v>
      </c>
      <c r="AM218">
        <f t="shared" si="181"/>
        <v>15.704545197196802</v>
      </c>
      <c r="AN218">
        <f t="shared" si="196"/>
        <v>849.88554641640735</v>
      </c>
      <c r="AO218">
        <f t="shared" si="197"/>
        <v>-1626.9248254412475</v>
      </c>
      <c r="AQ218">
        <f t="shared" si="182"/>
        <v>0.29535989603331658</v>
      </c>
      <c r="AR218">
        <f t="shared" si="183"/>
        <v>-54.346220870130253</v>
      </c>
      <c r="AT218">
        <f t="shared" si="209"/>
        <v>-146508.37346484393</v>
      </c>
      <c r="AU218">
        <f t="shared" si="210"/>
        <v>-286611.04392918805</v>
      </c>
      <c r="AV218">
        <f t="shared" si="198"/>
        <v>-2.0433438423794383</v>
      </c>
      <c r="AW218">
        <f t="shared" si="199"/>
        <v>-82034.1140535913</v>
      </c>
      <c r="AX218">
        <f t="shared" si="200"/>
        <v>-57814.577422354589</v>
      </c>
      <c r="AY218">
        <f t="shared" si="208"/>
        <v>-2.5276774443985111</v>
      </c>
      <c r="BA218">
        <f t="shared" si="184"/>
        <v>3.2073149568518944</v>
      </c>
      <c r="BB218">
        <f t="shared" si="201"/>
        <v>10.122832190814094</v>
      </c>
      <c r="BC218">
        <f t="shared" si="202"/>
        <v>0.48433360201907272</v>
      </c>
      <c r="BD218">
        <f t="shared" si="185"/>
        <v>-152.24972869622894</v>
      </c>
      <c r="BF218">
        <f t="shared" si="186"/>
        <v>-10.333543174670691</v>
      </c>
      <c r="BG218">
        <f t="shared" si="187"/>
        <v>-150.66775224273334</v>
      </c>
      <c r="BH218">
        <f t="shared" si="203"/>
        <v>29.332247757266657</v>
      </c>
      <c r="BI218">
        <f t="shared" si="204"/>
        <v>29.332247757266657</v>
      </c>
      <c r="BJ218">
        <f t="shared" si="188"/>
        <v>0</v>
      </c>
      <c r="BK218">
        <f t="shared" si="205"/>
        <v>0</v>
      </c>
      <c r="BM218">
        <f t="shared" si="206"/>
        <v>-20.456375365484789</v>
      </c>
      <c r="BN218">
        <f t="shared" si="189"/>
        <v>-178.4180235465044</v>
      </c>
      <c r="BQ218" s="56">
        <f t="shared" si="207"/>
        <v>27.024792991099229</v>
      </c>
      <c r="BR218" s="59"/>
      <c r="BS218" s="59"/>
      <c r="BT218" s="59">
        <v>12022.644</v>
      </c>
      <c r="BU218" s="59">
        <v>-3.2097500000000001</v>
      </c>
      <c r="BV218" s="59">
        <v>-205.79599999999999</v>
      </c>
      <c r="BW218" s="61"/>
      <c r="BY218" s="59"/>
      <c r="BZ218" s="59"/>
      <c r="CA218" s="59"/>
      <c r="CC218" s="59"/>
    </row>
    <row r="219" spans="1:81" x14ac:dyDescent="0.2">
      <c r="A219">
        <f t="shared" si="190"/>
        <v>92500</v>
      </c>
      <c r="B219">
        <f t="shared" si="191"/>
        <v>92.5</v>
      </c>
      <c r="C219">
        <f t="shared" si="159"/>
        <v>1.0000648800625578</v>
      </c>
      <c r="D219">
        <f t="shared" si="160"/>
        <v>1.1390922254133193E-2</v>
      </c>
      <c r="F219">
        <f t="shared" si="161"/>
        <v>6.2564111589305509E-3</v>
      </c>
      <c r="G219">
        <f t="shared" si="162"/>
        <v>1.6192246165343423E-2</v>
      </c>
      <c r="H219">
        <f t="shared" si="163"/>
        <v>-3.1254004038346568</v>
      </c>
      <c r="J219">
        <f t="shared" si="164"/>
        <v>15</v>
      </c>
      <c r="M219">
        <f t="shared" si="165"/>
        <v>1.3521579760294127E-2</v>
      </c>
      <c r="N219">
        <f t="shared" si="166"/>
        <v>-1.5707963250000001</v>
      </c>
      <c r="O219">
        <f t="shared" si="167"/>
        <v>18.192742758366666</v>
      </c>
      <c r="P219">
        <f t="shared" si="168"/>
        <v>1.5158016368503537</v>
      </c>
      <c r="Q219">
        <f t="shared" si="169"/>
        <v>15.821530117487114</v>
      </c>
      <c r="R219">
        <f t="shared" si="170"/>
        <v>1.5075491563502532</v>
      </c>
      <c r="S219">
        <f t="shared" si="171"/>
        <v>0.91316204473822826</v>
      </c>
      <c r="T219">
        <f t="shared" si="172"/>
        <v>-0.41982068122091498</v>
      </c>
      <c r="U219">
        <f t="shared" si="173"/>
        <v>0.91115388745890957</v>
      </c>
      <c r="V219">
        <f t="shared" si="174"/>
        <v>-0.42472062999570392</v>
      </c>
      <c r="X219">
        <f t="shared" si="192"/>
        <v>-10.344832064147521</v>
      </c>
      <c r="Y219">
        <f t="shared" si="175"/>
        <v>-143.58301303874532</v>
      </c>
      <c r="Z219">
        <f t="shared" si="193"/>
        <v>36.416986961254679</v>
      </c>
      <c r="AC219">
        <v>1</v>
      </c>
      <c r="AD219">
        <f t="shared" si="176"/>
        <v>18.165238481013748</v>
      </c>
      <c r="AE219">
        <f t="shared" si="177"/>
        <v>-1.2669047092833893E-3</v>
      </c>
      <c r="AF219">
        <f t="shared" si="178"/>
        <v>2.801358166005E-3</v>
      </c>
      <c r="AG219">
        <f t="shared" si="194"/>
        <v>5249.3647376962745</v>
      </c>
      <c r="AH219">
        <f t="shared" si="195"/>
        <v>-2730.9770666861314</v>
      </c>
      <c r="AJ219">
        <f t="shared" si="179"/>
        <v>26400</v>
      </c>
      <c r="AK219">
        <f t="shared" si="180"/>
        <v>11783.8375699968</v>
      </c>
      <c r="AL219">
        <v>1</v>
      </c>
      <c r="AM219">
        <f t="shared" si="181"/>
        <v>15.789895986312002</v>
      </c>
      <c r="AN219">
        <f t="shared" si="196"/>
        <v>848.77308077793373</v>
      </c>
      <c r="AO219">
        <f t="shared" si="197"/>
        <v>-1618.2010914683667</v>
      </c>
      <c r="AQ219">
        <f t="shared" si="182"/>
        <v>0.29217553906386956</v>
      </c>
      <c r="AR219">
        <f t="shared" si="183"/>
        <v>-54.052474726815873</v>
      </c>
      <c r="AT219">
        <f t="shared" si="209"/>
        <v>-146082.3329045866</v>
      </c>
      <c r="AU219">
        <f t="shared" si="210"/>
        <v>-284539.07951279642</v>
      </c>
      <c r="AV219">
        <f t="shared" si="198"/>
        <v>-2.0451062939745945</v>
      </c>
      <c r="AW219">
        <f t="shared" si="199"/>
        <v>-81098.98916707201</v>
      </c>
      <c r="AX219">
        <f t="shared" si="200"/>
        <v>-57458.079660969386</v>
      </c>
      <c r="AY219">
        <f t="shared" si="208"/>
        <v>-2.525189291744645</v>
      </c>
      <c r="BA219">
        <f t="shared" si="184"/>
        <v>3.2180901321464668</v>
      </c>
      <c r="BB219">
        <f t="shared" si="201"/>
        <v>10.151964072734902</v>
      </c>
      <c r="BC219">
        <f t="shared" si="202"/>
        <v>0.48008299777005048</v>
      </c>
      <c r="BD219">
        <f t="shared" si="185"/>
        <v>-152.49327038035659</v>
      </c>
      <c r="BF219">
        <f t="shared" si="186"/>
        <v>-10.399141584138816</v>
      </c>
      <c r="BG219">
        <f t="shared" si="187"/>
        <v>-150.91287124251616</v>
      </c>
      <c r="BH219">
        <f t="shared" si="203"/>
        <v>29.087128757483839</v>
      </c>
      <c r="BI219">
        <f t="shared" si="204"/>
        <v>29.087128757483839</v>
      </c>
      <c r="BJ219">
        <f t="shared" si="188"/>
        <v>0</v>
      </c>
      <c r="BK219">
        <f t="shared" si="205"/>
        <v>0</v>
      </c>
      <c r="BM219">
        <f t="shared" si="206"/>
        <v>-20.551105656873716</v>
      </c>
      <c r="BN219">
        <f t="shared" si="189"/>
        <v>-178.41960086215957</v>
      </c>
      <c r="BQ219" s="56">
        <f t="shared" si="207"/>
        <v>27.053924873020037</v>
      </c>
      <c r="BR219" s="59"/>
      <c r="BS219" s="59"/>
      <c r="BT219" s="59">
        <v>12302.688</v>
      </c>
      <c r="BU219" s="59">
        <v>-3.2360000000000002</v>
      </c>
      <c r="BV219" s="59">
        <v>-205.58</v>
      </c>
      <c r="BW219" s="61"/>
      <c r="BY219" s="59"/>
      <c r="BZ219" s="59"/>
      <c r="CA219" s="59"/>
      <c r="CC219" s="59"/>
    </row>
    <row r="220" spans="1:81" x14ac:dyDescent="0.2">
      <c r="A220">
        <f t="shared" si="190"/>
        <v>93000</v>
      </c>
      <c r="B220">
        <f t="shared" si="191"/>
        <v>93</v>
      </c>
      <c r="C220">
        <f t="shared" si="159"/>
        <v>1.0000655833412706</v>
      </c>
      <c r="D220">
        <f t="shared" si="160"/>
        <v>1.1452489437585804E-2</v>
      </c>
      <c r="F220">
        <f t="shared" si="161"/>
        <v>6.1889120525156624E-3</v>
      </c>
      <c r="G220">
        <f t="shared" si="162"/>
        <v>1.6104125141348766E-2</v>
      </c>
      <c r="H220">
        <f t="shared" si="163"/>
        <v>-3.1254885248586515</v>
      </c>
      <c r="J220">
        <f t="shared" si="164"/>
        <v>15</v>
      </c>
      <c r="M220">
        <f t="shared" si="165"/>
        <v>1.3448883094916202E-2</v>
      </c>
      <c r="N220">
        <f t="shared" si="166"/>
        <v>-1.5707963250000001</v>
      </c>
      <c r="O220">
        <f t="shared" si="167"/>
        <v>18.290785585945027</v>
      </c>
      <c r="P220">
        <f t="shared" si="168"/>
        <v>1.5160967162181169</v>
      </c>
      <c r="Q220">
        <f t="shared" si="169"/>
        <v>15.906711167953976</v>
      </c>
      <c r="R220">
        <f t="shared" si="170"/>
        <v>1.5078882960813798</v>
      </c>
      <c r="S220">
        <f t="shared" si="171"/>
        <v>0.9123408927589054</v>
      </c>
      <c r="T220">
        <f t="shared" si="172"/>
        <v>-0.42183077526955209</v>
      </c>
      <c r="U220">
        <f t="shared" si="173"/>
        <v>0.91031649845431528</v>
      </c>
      <c r="V220">
        <f t="shared" si="174"/>
        <v>-0.4267482568158894</v>
      </c>
      <c r="X220">
        <f t="shared" si="192"/>
        <v>-10.408348412727619</v>
      </c>
      <c r="Y220">
        <f t="shared" si="175"/>
        <v>-143.77954074894521</v>
      </c>
      <c r="Z220">
        <f t="shared" si="193"/>
        <v>36.220459251054791</v>
      </c>
      <c r="AC220">
        <v>1</v>
      </c>
      <c r="AD220">
        <f t="shared" si="176"/>
        <v>18.263428959289499</v>
      </c>
      <c r="AE220">
        <f t="shared" si="177"/>
        <v>-1.2806379933489596E-3</v>
      </c>
      <c r="AF220">
        <f t="shared" si="178"/>
        <v>2.8165006425779999E-3</v>
      </c>
      <c r="AG220">
        <f t="shared" si="194"/>
        <v>5239.720394566104</v>
      </c>
      <c r="AH220">
        <f t="shared" si="195"/>
        <v>-2737.5051492086532</v>
      </c>
      <c r="AJ220">
        <f t="shared" si="179"/>
        <v>26400</v>
      </c>
      <c r="AK220">
        <f t="shared" si="180"/>
        <v>11847.533989294081</v>
      </c>
      <c r="AL220">
        <v>1</v>
      </c>
      <c r="AM220">
        <f t="shared" si="181"/>
        <v>15.8752467754272</v>
      </c>
      <c r="AN220">
        <f t="shared" si="196"/>
        <v>847.67841530235808</v>
      </c>
      <c r="AO220">
        <f t="shared" si="197"/>
        <v>-1609.5700398339181</v>
      </c>
      <c r="AQ220">
        <f t="shared" si="182"/>
        <v>0.28904240252044977</v>
      </c>
      <c r="AR220">
        <f t="shared" si="183"/>
        <v>-53.76188686880365</v>
      </c>
      <c r="AT220">
        <f t="shared" si="209"/>
        <v>-145658.94076314228</v>
      </c>
      <c r="AU220">
        <f t="shared" si="210"/>
        <v>-282488.51014206547</v>
      </c>
      <c r="AV220">
        <f t="shared" si="198"/>
        <v>-2.046867901901857</v>
      </c>
      <c r="AW220">
        <f t="shared" si="199"/>
        <v>-80178.988817977253</v>
      </c>
      <c r="AX220">
        <f t="shared" si="200"/>
        <v>-57106.488364345481</v>
      </c>
      <c r="AY220">
        <f t="shared" si="208"/>
        <v>-2.5227006837885426</v>
      </c>
      <c r="BA220">
        <f t="shared" si="184"/>
        <v>3.2287752398899747</v>
      </c>
      <c r="BB220">
        <f t="shared" si="201"/>
        <v>10.180756282982305</v>
      </c>
      <c r="BC220">
        <f t="shared" si="202"/>
        <v>0.47583278188668565</v>
      </c>
      <c r="BD220">
        <f t="shared" si="185"/>
        <v>-152.73678981277112</v>
      </c>
      <c r="BF220">
        <f t="shared" si="186"/>
        <v>-10.464562680949358</v>
      </c>
      <c r="BG220">
        <f t="shared" si="187"/>
        <v>-151.15791209792533</v>
      </c>
      <c r="BH220">
        <f t="shared" si="203"/>
        <v>28.842087902074667</v>
      </c>
      <c r="BI220">
        <f t="shared" si="204"/>
        <v>28.842087902074667</v>
      </c>
      <c r="BJ220">
        <f t="shared" si="188"/>
        <v>0</v>
      </c>
      <c r="BK220">
        <f t="shared" si="205"/>
        <v>0</v>
      </c>
      <c r="BM220">
        <f t="shared" si="206"/>
        <v>-20.645318963931661</v>
      </c>
      <c r="BN220">
        <f t="shared" si="189"/>
        <v>-178.42112228515424</v>
      </c>
      <c r="BQ220" s="56">
        <f t="shared" si="207"/>
        <v>27.082717083267443</v>
      </c>
      <c r="BR220" s="59"/>
      <c r="BS220" s="59"/>
      <c r="BT220" s="59">
        <v>12589.254000000001</v>
      </c>
      <c r="BU220" s="59">
        <v>-3.6465100000000001</v>
      </c>
      <c r="BV220" s="59">
        <v>-203.78</v>
      </c>
      <c r="BW220" s="61"/>
      <c r="BY220" s="59"/>
      <c r="BZ220" s="59"/>
      <c r="CA220" s="59"/>
      <c r="CC220" s="59"/>
    </row>
    <row r="221" spans="1:81" x14ac:dyDescent="0.2">
      <c r="A221">
        <f t="shared" si="190"/>
        <v>93500</v>
      </c>
      <c r="B221">
        <f t="shared" si="191"/>
        <v>93.5</v>
      </c>
      <c r="C221">
        <f t="shared" si="159"/>
        <v>1.0000662904107449</v>
      </c>
      <c r="D221">
        <f t="shared" si="160"/>
        <v>1.1514056534213005E-2</v>
      </c>
      <c r="F221">
        <f t="shared" si="161"/>
        <v>6.1225015789848469E-3</v>
      </c>
      <c r="G221">
        <f t="shared" si="162"/>
        <v>1.6016963686856688E-2</v>
      </c>
      <c r="H221">
        <f t="shared" si="163"/>
        <v>-3.1255756863131436</v>
      </c>
      <c r="J221">
        <f t="shared" si="164"/>
        <v>15</v>
      </c>
      <c r="M221">
        <f t="shared" si="165"/>
        <v>1.337696393398082E-2</v>
      </c>
      <c r="N221">
        <f t="shared" si="166"/>
        <v>-1.5707963250000001</v>
      </c>
      <c r="O221">
        <f t="shared" si="167"/>
        <v>18.388829989153038</v>
      </c>
      <c r="P221">
        <f t="shared" si="168"/>
        <v>1.5163886490399727</v>
      </c>
      <c r="Q221">
        <f t="shared" si="169"/>
        <v>15.99189402845319</v>
      </c>
      <c r="R221">
        <f t="shared" si="170"/>
        <v>1.5082238229088041</v>
      </c>
      <c r="S221">
        <f t="shared" si="171"/>
        <v>0.91151754324114498</v>
      </c>
      <c r="T221">
        <f t="shared" si="172"/>
        <v>-0.42383724936143413</v>
      </c>
      <c r="U221">
        <f t="shared" si="173"/>
        <v>0.90947691842503975</v>
      </c>
      <c r="V221">
        <f t="shared" si="174"/>
        <v>-0.42877215180538919</v>
      </c>
      <c r="X221">
        <f t="shared" si="192"/>
        <v>-10.471655526828334</v>
      </c>
      <c r="Y221">
        <f t="shared" si="175"/>
        <v>-143.97597954637936</v>
      </c>
      <c r="Z221">
        <f t="shared" si="193"/>
        <v>36.024020453620636</v>
      </c>
      <c r="AC221">
        <v>1</v>
      </c>
      <c r="AD221">
        <f t="shared" si="176"/>
        <v>18.361619437565249</v>
      </c>
      <c r="AE221">
        <f t="shared" si="177"/>
        <v>-1.2944453112908939E-3</v>
      </c>
      <c r="AF221">
        <f t="shared" si="178"/>
        <v>2.8316431191509998E-3</v>
      </c>
      <c r="AG221">
        <f t="shared" si="194"/>
        <v>5230.0597195222927</v>
      </c>
      <c r="AH221">
        <f t="shared" si="195"/>
        <v>-2743.9991392830088</v>
      </c>
      <c r="AJ221">
        <f t="shared" si="179"/>
        <v>26400</v>
      </c>
      <c r="AK221">
        <f t="shared" si="180"/>
        <v>11911.23040859136</v>
      </c>
      <c r="AL221">
        <v>1</v>
      </c>
      <c r="AM221">
        <f t="shared" si="181"/>
        <v>15.960597564542402</v>
      </c>
      <c r="AN221">
        <f t="shared" si="196"/>
        <v>846.60117274688719</v>
      </c>
      <c r="AO221">
        <f t="shared" si="197"/>
        <v>-1601.0302072913485</v>
      </c>
      <c r="AQ221">
        <f t="shared" si="182"/>
        <v>0.2859593937660852</v>
      </c>
      <c r="AR221">
        <f t="shared" si="183"/>
        <v>-53.474406634257939</v>
      </c>
      <c r="AT221">
        <f t="shared" si="209"/>
        <v>-145238.14107131839</v>
      </c>
      <c r="AU221">
        <f t="shared" si="210"/>
        <v>-280459.01249355212</v>
      </c>
      <c r="AV221">
        <f t="shared" si="198"/>
        <v>-2.0486286137460588</v>
      </c>
      <c r="AW221">
        <f t="shared" si="199"/>
        <v>-79273.792649719398</v>
      </c>
      <c r="AX221">
        <f t="shared" si="200"/>
        <v>-56759.702146450742</v>
      </c>
      <c r="AY221">
        <f t="shared" si="208"/>
        <v>-2.5202117328471849</v>
      </c>
      <c r="BA221">
        <f t="shared" si="184"/>
        <v>3.2393702327846889</v>
      </c>
      <c r="BB221">
        <f t="shared" si="201"/>
        <v>10.209211741102484</v>
      </c>
      <c r="BC221">
        <f t="shared" si="202"/>
        <v>0.47158311910112616</v>
      </c>
      <c r="BD221">
        <f t="shared" si="185"/>
        <v>-152.9802775550157</v>
      </c>
      <c r="BF221">
        <f t="shared" si="186"/>
        <v>-10.529809189661503</v>
      </c>
      <c r="BG221">
        <f t="shared" si="187"/>
        <v>-151.40286628885664</v>
      </c>
      <c r="BH221">
        <f t="shared" si="203"/>
        <v>28.597133711143357</v>
      </c>
      <c r="BI221">
        <f t="shared" si="204"/>
        <v>28.597133711143357</v>
      </c>
      <c r="BJ221">
        <f t="shared" si="188"/>
        <v>0</v>
      </c>
      <c r="BK221">
        <f t="shared" si="205"/>
        <v>0</v>
      </c>
      <c r="BM221">
        <f t="shared" si="206"/>
        <v>-20.739020930763985</v>
      </c>
      <c r="BN221">
        <f t="shared" si="189"/>
        <v>-178.42258873384091</v>
      </c>
      <c r="BQ221" s="56">
        <f t="shared" si="207"/>
        <v>27.111172541387617</v>
      </c>
      <c r="BR221" s="59"/>
      <c r="BS221" s="59"/>
      <c r="BT221" s="59">
        <v>12882.495999999999</v>
      </c>
      <c r="BU221" s="59">
        <v>-3.6234700000000002</v>
      </c>
      <c r="BV221" s="59">
        <v>-201.71899999999999</v>
      </c>
      <c r="BW221" s="61"/>
      <c r="BY221" s="59"/>
      <c r="BZ221" s="59"/>
      <c r="CA221" s="59"/>
      <c r="CC221" s="59"/>
    </row>
    <row r="222" spans="1:81" x14ac:dyDescent="0.2">
      <c r="A222">
        <f t="shared" si="190"/>
        <v>94000</v>
      </c>
      <c r="B222">
        <f t="shared" si="191"/>
        <v>94</v>
      </c>
      <c r="C222">
        <f t="shared" si="159"/>
        <v>1.0000670012709725</v>
      </c>
      <c r="D222">
        <f t="shared" si="160"/>
        <v>1.1575623543548243E-2</v>
      </c>
      <c r="F222">
        <f t="shared" si="161"/>
        <v>6.0571564082462243E-3</v>
      </c>
      <c r="G222">
        <f t="shared" si="162"/>
        <v>1.5930746125126984E-2</v>
      </c>
      <c r="H222">
        <f t="shared" si="163"/>
        <v>-3.1256619038748732</v>
      </c>
      <c r="J222">
        <f t="shared" si="164"/>
        <v>15</v>
      </c>
      <c r="M222">
        <f t="shared" si="165"/>
        <v>1.33058098705022E-2</v>
      </c>
      <c r="N222">
        <f t="shared" si="166"/>
        <v>-1.5707963250000001</v>
      </c>
      <c r="O222">
        <f t="shared" si="167"/>
        <v>18.486875942921827</v>
      </c>
      <c r="P222">
        <f t="shared" si="168"/>
        <v>1.5166774853292926</v>
      </c>
      <c r="Q222">
        <f t="shared" si="169"/>
        <v>16.077078670213911</v>
      </c>
      <c r="R222">
        <f t="shared" si="170"/>
        <v>1.5085557941854464</v>
      </c>
      <c r="S222">
        <f t="shared" si="171"/>
        <v>0.91069202199058785</v>
      </c>
      <c r="T222">
        <f t="shared" si="172"/>
        <v>-0.42584009715427429</v>
      </c>
      <c r="U222">
        <f t="shared" si="173"/>
        <v>0.9086351740333769</v>
      </c>
      <c r="V222">
        <f t="shared" si="174"/>
        <v>-0.43079230872278945</v>
      </c>
      <c r="X222">
        <f t="shared" si="192"/>
        <v>-10.534756030396409</v>
      </c>
      <c r="Y222">
        <f t="shared" si="175"/>
        <v>-144.17232345665718</v>
      </c>
      <c r="Z222">
        <f t="shared" si="193"/>
        <v>35.827676543342818</v>
      </c>
      <c r="AC222">
        <v>1</v>
      </c>
      <c r="AD222">
        <f t="shared" si="176"/>
        <v>18.459809915840999</v>
      </c>
      <c r="AE222">
        <f t="shared" si="177"/>
        <v>-1.3083266631091924E-3</v>
      </c>
      <c r="AF222">
        <f t="shared" si="178"/>
        <v>2.8467855957239998E-3</v>
      </c>
      <c r="AG222">
        <f t="shared" si="194"/>
        <v>5220.383088719178</v>
      </c>
      <c r="AH222">
        <f t="shared" si="195"/>
        <v>-2750.4587624640872</v>
      </c>
      <c r="AJ222">
        <f t="shared" si="179"/>
        <v>26400</v>
      </c>
      <c r="AK222">
        <f t="shared" si="180"/>
        <v>11974.926827888641</v>
      </c>
      <c r="AL222">
        <v>1</v>
      </c>
      <c r="AM222">
        <f t="shared" si="181"/>
        <v>16.0459483536576</v>
      </c>
      <c r="AN222">
        <f t="shared" si="196"/>
        <v>845.54098579684558</v>
      </c>
      <c r="AO222">
        <f t="shared" si="197"/>
        <v>-1592.5801611082793</v>
      </c>
      <c r="AQ222">
        <f t="shared" si="182"/>
        <v>0.28292544914415052</v>
      </c>
      <c r="AR222">
        <f t="shared" si="183"/>
        <v>-53.1899844391003</v>
      </c>
      <c r="AT222">
        <f t="shared" si="209"/>
        <v>-144819.87954577146</v>
      </c>
      <c r="AU222">
        <f t="shared" si="210"/>
        <v>-278450.27003583801</v>
      </c>
      <c r="AV222">
        <f t="shared" si="198"/>
        <v>-2.0503883782117747</v>
      </c>
      <c r="AW222">
        <f t="shared" si="199"/>
        <v>-78383.088722160552</v>
      </c>
      <c r="AX222">
        <f t="shared" si="200"/>
        <v>-56417.62235428697</v>
      </c>
      <c r="AY222">
        <f t="shared" si="208"/>
        <v>-2.5177225497547653</v>
      </c>
      <c r="BA222">
        <f t="shared" si="184"/>
        <v>3.2498750713175588</v>
      </c>
      <c r="BB222">
        <f t="shared" si="201"/>
        <v>10.237333331083773</v>
      </c>
      <c r="BC222">
        <f t="shared" si="202"/>
        <v>0.46733417154299062</v>
      </c>
      <c r="BD222">
        <f t="shared" si="185"/>
        <v>-153.22372431774747</v>
      </c>
      <c r="BF222">
        <f t="shared" si="186"/>
        <v>-10.594883777941728</v>
      </c>
      <c r="BG222">
        <f t="shared" si="187"/>
        <v>-151.64772542420485</v>
      </c>
      <c r="BH222">
        <f t="shared" si="203"/>
        <v>28.35227457579515</v>
      </c>
      <c r="BI222">
        <f t="shared" si="204"/>
        <v>28.35227457579515</v>
      </c>
      <c r="BJ222">
        <f t="shared" si="188"/>
        <v>0</v>
      </c>
      <c r="BK222">
        <f t="shared" si="205"/>
        <v>0</v>
      </c>
      <c r="BM222">
        <f t="shared" si="206"/>
        <v>-20.8322171090255</v>
      </c>
      <c r="BN222">
        <f t="shared" si="189"/>
        <v>-178.42400110645741</v>
      </c>
      <c r="BQ222" s="56">
        <f t="shared" si="207"/>
        <v>27.139294131368914</v>
      </c>
      <c r="BR222" s="59"/>
      <c r="BS222" s="59"/>
      <c r="BT222" s="59">
        <v>13182.566999999999</v>
      </c>
      <c r="BU222" s="59">
        <v>-4.1132799999999996</v>
      </c>
      <c r="BV222" s="59">
        <v>-198.27600000000001</v>
      </c>
      <c r="BW222" s="61"/>
      <c r="BY222" s="59"/>
      <c r="BZ222" s="59"/>
      <c r="CA222" s="59"/>
      <c r="CC222" s="59"/>
    </row>
    <row r="223" spans="1:81" x14ac:dyDescent="0.2">
      <c r="A223">
        <f t="shared" si="190"/>
        <v>94500</v>
      </c>
      <c r="B223">
        <f t="shared" si="191"/>
        <v>94.5</v>
      </c>
      <c r="C223">
        <f t="shared" si="159"/>
        <v>1.0000677159219451</v>
      </c>
      <c r="D223">
        <f t="shared" si="160"/>
        <v>1.1637190465124958E-2</v>
      </c>
      <c r="F223">
        <f t="shared" si="161"/>
        <v>5.9928538330329311E-3</v>
      </c>
      <c r="G223">
        <f t="shared" si="162"/>
        <v>1.5845457120879779E-2</v>
      </c>
      <c r="H223">
        <f t="shared" si="163"/>
        <v>-3.1257471928791203</v>
      </c>
      <c r="J223">
        <f t="shared" si="164"/>
        <v>15</v>
      </c>
      <c r="M223">
        <f t="shared" si="165"/>
        <v>1.3235408760076261E-2</v>
      </c>
      <c r="N223">
        <f t="shared" si="166"/>
        <v>-1.5707963250000001</v>
      </c>
      <c r="O223">
        <f t="shared" si="167"/>
        <v>18.584923422711153</v>
      </c>
      <c r="P223">
        <f t="shared" si="168"/>
        <v>1.5169632740461272</v>
      </c>
      <c r="Q223">
        <f t="shared" si="169"/>
        <v>16.162265065071246</v>
      </c>
      <c r="R223">
        <f t="shared" si="170"/>
        <v>1.50888426605824</v>
      </c>
      <c r="S223">
        <f t="shared" si="171"/>
        <v>0.90986435474424754</v>
      </c>
      <c r="T223">
        <f t="shared" si="172"/>
        <v>-0.42783931244506113</v>
      </c>
      <c r="U223">
        <f t="shared" si="173"/>
        <v>0.90779129186563834</v>
      </c>
      <c r="V223">
        <f t="shared" si="174"/>
        <v>-0.4328087214717512</v>
      </c>
      <c r="X223">
        <f t="shared" si="192"/>
        <v>-10.59765249700223</v>
      </c>
      <c r="Y223">
        <f t="shared" si="175"/>
        <v>-144.36856663156479</v>
      </c>
      <c r="Z223">
        <f t="shared" si="193"/>
        <v>35.631433368435211</v>
      </c>
      <c r="AC223">
        <v>1</v>
      </c>
      <c r="AD223">
        <f t="shared" si="176"/>
        <v>18.55800039411675</v>
      </c>
      <c r="AE223">
        <f t="shared" si="177"/>
        <v>-1.3222820488038554E-3</v>
      </c>
      <c r="AF223">
        <f t="shared" si="178"/>
        <v>2.8619280722970001E-3</v>
      </c>
      <c r="AG223">
        <f t="shared" si="194"/>
        <v>5210.6908764827695</v>
      </c>
      <c r="AH223">
        <f t="shared" si="195"/>
        <v>-2756.8837540723489</v>
      </c>
      <c r="AJ223">
        <f t="shared" si="179"/>
        <v>26400</v>
      </c>
      <c r="AK223">
        <f t="shared" si="180"/>
        <v>12038.62324718592</v>
      </c>
      <c r="AL223">
        <v>1</v>
      </c>
      <c r="AM223">
        <f t="shared" si="181"/>
        <v>16.131299142772804</v>
      </c>
      <c r="AN223">
        <f t="shared" si="196"/>
        <v>844.49749675418002</v>
      </c>
      <c r="AO223">
        <f t="shared" si="197"/>
        <v>-1584.2184982785639</v>
      </c>
      <c r="AQ223">
        <f t="shared" si="182"/>
        <v>0.27993953306085884</v>
      </c>
      <c r="AR223">
        <f t="shared" si="183"/>
        <v>-52.908571748502325</v>
      </c>
      <c r="AT223">
        <f t="shared" si="209"/>
        <v>-144404.10353373026</v>
      </c>
      <c r="AU223">
        <f t="shared" si="210"/>
        <v>-276461.97284847312</v>
      </c>
      <c r="AV223">
        <f t="shared" si="198"/>
        <v>-2.0521471450970168</v>
      </c>
      <c r="AW223">
        <f t="shared" si="199"/>
        <v>-77506.573247861306</v>
      </c>
      <c r="AX223">
        <f t="shared" si="200"/>
        <v>-56080.15297778185</v>
      </c>
      <c r="AY223">
        <f t="shared" si="208"/>
        <v>-2.5152332438887637</v>
      </c>
      <c r="BA223">
        <f t="shared" si="184"/>
        <v>3.2602897237356596</v>
      </c>
      <c r="BB223">
        <f t="shared" si="201"/>
        <v>10.265123902149005</v>
      </c>
      <c r="BC223">
        <f t="shared" si="202"/>
        <v>0.46308609879174689</v>
      </c>
      <c r="BD223">
        <f t="shared" si="185"/>
        <v>-153.46712095773637</v>
      </c>
      <c r="BF223">
        <f t="shared" si="186"/>
        <v>-10.659789057790359</v>
      </c>
      <c r="BG223">
        <f t="shared" si="187"/>
        <v>-151.8924812394136</v>
      </c>
      <c r="BH223">
        <f t="shared" si="203"/>
        <v>28.107518760586402</v>
      </c>
      <c r="BI223">
        <f t="shared" si="204"/>
        <v>28.107518760586402</v>
      </c>
      <c r="BJ223">
        <f t="shared" si="188"/>
        <v>0</v>
      </c>
      <c r="BK223">
        <f t="shared" si="205"/>
        <v>0</v>
      </c>
      <c r="BM223">
        <f t="shared" si="206"/>
        <v>-20.924912959939363</v>
      </c>
      <c r="BN223">
        <f t="shared" si="189"/>
        <v>-178.42536028167723</v>
      </c>
      <c r="BQ223" s="56">
        <f t="shared" si="207"/>
        <v>27.167084702434142</v>
      </c>
      <c r="BR223" s="59"/>
      <c r="BS223" s="59"/>
      <c r="BT223" s="59">
        <v>13489.629000000001</v>
      </c>
      <c r="BU223" s="59">
        <v>-3.8779599999999999</v>
      </c>
      <c r="BV223" s="59">
        <v>-197.578</v>
      </c>
      <c r="BW223" s="61"/>
      <c r="BY223" s="59"/>
      <c r="BZ223" s="59"/>
      <c r="CA223" s="59"/>
      <c r="CC223" s="59"/>
    </row>
    <row r="224" spans="1:81" x14ac:dyDescent="0.2">
      <c r="A224">
        <f t="shared" si="190"/>
        <v>95000</v>
      </c>
      <c r="B224">
        <f t="shared" si="191"/>
        <v>95</v>
      </c>
      <c r="C224">
        <f t="shared" si="159"/>
        <v>1.0000684343636548</v>
      </c>
      <c r="D224">
        <f t="shared" si="160"/>
        <v>1.1698757298476607E-2</v>
      </c>
      <c r="F224">
        <f t="shared" si="161"/>
        <v>5.9295717490196768E-3</v>
      </c>
      <c r="G224">
        <f t="shared" si="162"/>
        <v>1.576108167100242E-2</v>
      </c>
      <c r="H224">
        <f t="shared" si="163"/>
        <v>-3.1258315683289979</v>
      </c>
      <c r="J224">
        <f t="shared" si="164"/>
        <v>15</v>
      </c>
      <c r="M224">
        <f t="shared" si="165"/>
        <v>1.3165748713970598E-2</v>
      </c>
      <c r="N224">
        <f t="shared" si="166"/>
        <v>-1.5707963250000001</v>
      </c>
      <c r="O224">
        <f t="shared" si="167"/>
        <v>18.682972404495526</v>
      </c>
      <c r="P224">
        <f t="shared" si="168"/>
        <v>1.5172460631247664</v>
      </c>
      <c r="Q224">
        <f t="shared" si="169"/>
        <v>16.247453185450421</v>
      </c>
      <c r="R224">
        <f t="shared" si="170"/>
        <v>1.509209293499624</v>
      </c>
      <c r="S224">
        <f t="shared" si="171"/>
        <v>0.90903456716908571</v>
      </c>
      <c r="T224">
        <f t="shared" si="172"/>
        <v>-0.42983488916941098</v>
      </c>
      <c r="U224">
        <f t="shared" si="173"/>
        <v>0.90694529843069227</v>
      </c>
      <c r="V224">
        <f t="shared" si="174"/>
        <v>-0.43482138410029925</v>
      </c>
      <c r="X224">
        <f t="shared" si="192"/>
        <v>-10.660347451013516</v>
      </c>
      <c r="Y224">
        <f t="shared" si="175"/>
        <v>-144.56470334613604</v>
      </c>
      <c r="Z224">
        <f t="shared" si="193"/>
        <v>35.435296653863958</v>
      </c>
      <c r="AC224">
        <v>1</v>
      </c>
      <c r="AD224">
        <f t="shared" si="176"/>
        <v>18.6561908723925</v>
      </c>
      <c r="AE224">
        <f t="shared" si="177"/>
        <v>-1.3363114683748827E-3</v>
      </c>
      <c r="AF224">
        <f t="shared" si="178"/>
        <v>2.87707054887E-3</v>
      </c>
      <c r="AG224">
        <f t="shared" si="194"/>
        <v>5200.9834552907969</v>
      </c>
      <c r="AH224">
        <f t="shared" si="195"/>
        <v>-2763.2738589797932</v>
      </c>
      <c r="AJ224">
        <f t="shared" si="179"/>
        <v>26400</v>
      </c>
      <c r="AK224">
        <f t="shared" si="180"/>
        <v>12102.319666483201</v>
      </c>
      <c r="AL224">
        <v>1</v>
      </c>
      <c r="AM224">
        <f t="shared" si="181"/>
        <v>16.216649931888004</v>
      </c>
      <c r="AN224">
        <f t="shared" si="196"/>
        <v>843.47035723729505</v>
      </c>
      <c r="AO224">
        <f t="shared" si="197"/>
        <v>-1575.9438447585283</v>
      </c>
      <c r="AQ224">
        <f t="shared" si="182"/>
        <v>0.27700063710146533</v>
      </c>
      <c r="AR224">
        <f t="shared" si="183"/>
        <v>-52.630121049278415</v>
      </c>
      <c r="AT224">
        <f t="shared" si="209"/>
        <v>-143990.76195974348</v>
      </c>
      <c r="AU224">
        <f t="shared" si="210"/>
        <v>-274493.81744667218</v>
      </c>
      <c r="AV224">
        <f t="shared" si="198"/>
        <v>-2.0539048652677305</v>
      </c>
      <c r="AW224">
        <f t="shared" si="199"/>
        <v>-76643.950337911272</v>
      </c>
      <c r="AX224">
        <f t="shared" si="200"/>
        <v>-55747.200563171158</v>
      </c>
      <c r="AY224">
        <f t="shared" si="208"/>
        <v>-2.5127439231950008</v>
      </c>
      <c r="BA224">
        <f t="shared" si="184"/>
        <v>3.2706141660200148</v>
      </c>
      <c r="BB224">
        <f t="shared" si="201"/>
        <v>10.292586269525648</v>
      </c>
      <c r="BC224">
        <f t="shared" si="202"/>
        <v>0.45883905792727031</v>
      </c>
      <c r="BD224">
        <f t="shared" si="185"/>
        <v>-153.71045847496853</v>
      </c>
      <c r="BF224">
        <f t="shared" si="186"/>
        <v>-10.724527586735231</v>
      </c>
      <c r="BG224">
        <f t="shared" si="187"/>
        <v>-152.1371255941107</v>
      </c>
      <c r="BH224">
        <f t="shared" si="203"/>
        <v>27.862874405889301</v>
      </c>
      <c r="BI224">
        <f t="shared" si="204"/>
        <v>27.862874405889301</v>
      </c>
      <c r="BJ224">
        <f t="shared" si="188"/>
        <v>0</v>
      </c>
      <c r="BK224">
        <f t="shared" si="205"/>
        <v>0</v>
      </c>
      <c r="BM224">
        <f t="shared" si="206"/>
        <v>-21.017113856260877</v>
      </c>
      <c r="BN224">
        <f t="shared" si="189"/>
        <v>-178.42666711914217</v>
      </c>
      <c r="BQ224" s="56">
        <f t="shared" si="207"/>
        <v>27.194547069810785</v>
      </c>
      <c r="BR224" s="59"/>
      <c r="BS224" s="59"/>
      <c r="BT224" s="59">
        <v>13803.843000000001</v>
      </c>
      <c r="BU224" s="59">
        <v>-4.0306600000000001</v>
      </c>
      <c r="BV224" s="59">
        <v>-195.64599999999999</v>
      </c>
      <c r="BW224" s="61"/>
      <c r="BY224" s="59"/>
      <c r="BZ224" s="59"/>
      <c r="CA224" s="59"/>
      <c r="CC224" s="59"/>
    </row>
    <row r="225" spans="1:81" x14ac:dyDescent="0.2">
      <c r="A225">
        <f t="shared" si="190"/>
        <v>95500</v>
      </c>
      <c r="B225">
        <f t="shared" si="191"/>
        <v>95.5</v>
      </c>
      <c r="C225">
        <f t="shared" si="159"/>
        <v>1.0000691565960935</v>
      </c>
      <c r="D225">
        <f t="shared" si="160"/>
        <v>1.1760324043136644E-2</v>
      </c>
      <c r="F225">
        <f t="shared" si="161"/>
        <v>5.8672886356772747E-3</v>
      </c>
      <c r="G225">
        <f t="shared" si="162"/>
        <v>1.5677605095559693E-2</v>
      </c>
      <c r="H225">
        <f t="shared" si="163"/>
        <v>-3.1259150449044406</v>
      </c>
      <c r="J225">
        <f t="shared" si="164"/>
        <v>15</v>
      </c>
      <c r="M225">
        <f t="shared" si="165"/>
        <v>1.3096818092431484E-2</v>
      </c>
      <c r="N225">
        <f t="shared" si="166"/>
        <v>-1.5707963250000001</v>
      </c>
      <c r="O225">
        <f t="shared" si="167"/>
        <v>18.781022864750824</v>
      </c>
      <c r="P225">
        <f t="shared" si="168"/>
        <v>1.5175258995004355</v>
      </c>
      <c r="Q225">
        <f t="shared" si="169"/>
        <v>16.332643004351404</v>
      </c>
      <c r="R225">
        <f t="shared" si="170"/>
        <v>1.5095309303380553</v>
      </c>
      <c r="S225">
        <f t="shared" si="171"/>
        <v>0.90820268486060973</v>
      </c>
      <c r="T225">
        <f t="shared" si="172"/>
        <v>-0.43182682140091333</v>
      </c>
      <c r="U225">
        <f t="shared" si="173"/>
        <v>0.90609722015852645</v>
      </c>
      <c r="V225">
        <f t="shared" si="174"/>
        <v>-0.43683029080010405</v>
      </c>
      <c r="X225">
        <f t="shared" si="192"/>
        <v>-10.72284336873588</v>
      </c>
      <c r="Y225">
        <f t="shared" si="175"/>
        <v>-144.7607279958111</v>
      </c>
      <c r="Z225">
        <f t="shared" si="193"/>
        <v>35.239272004188905</v>
      </c>
      <c r="AC225">
        <v>1</v>
      </c>
      <c r="AD225">
        <f t="shared" si="176"/>
        <v>18.75438135066825</v>
      </c>
      <c r="AE225">
        <f t="shared" si="177"/>
        <v>-1.3504149218222742E-3</v>
      </c>
      <c r="AF225">
        <f t="shared" si="178"/>
        <v>2.892213025443E-3</v>
      </c>
      <c r="AG225">
        <f t="shared" si="194"/>
        <v>5191.2611957532536</v>
      </c>
      <c r="AH225">
        <f t="shared" si="195"/>
        <v>-2769.6288314015837</v>
      </c>
      <c r="AJ225">
        <f t="shared" si="179"/>
        <v>26400</v>
      </c>
      <c r="AK225">
        <f t="shared" si="180"/>
        <v>12166.01608578048</v>
      </c>
      <c r="AL225">
        <v>1</v>
      </c>
      <c r="AM225">
        <f t="shared" si="181"/>
        <v>16.3020007210032</v>
      </c>
      <c r="AN225">
        <f t="shared" si="196"/>
        <v>842.45922789174438</v>
      </c>
      <c r="AO225">
        <f t="shared" si="197"/>
        <v>-1567.7548547265358</v>
      </c>
      <c r="AQ225">
        <f t="shared" si="182"/>
        <v>0.2741077791787731</v>
      </c>
      <c r="AR225">
        <f t="shared" si="183"/>
        <v>-52.354585823145662</v>
      </c>
      <c r="AT225">
        <f t="shared" si="209"/>
        <v>-143579.80527436797</v>
      </c>
      <c r="AU225">
        <f t="shared" si="210"/>
        <v>-272545.50661155448</v>
      </c>
      <c r="AV225">
        <f t="shared" si="198"/>
        <v>-2.0556614906330539</v>
      </c>
      <c r="AW225">
        <f t="shared" si="199"/>
        <v>-75794.9317569462</v>
      </c>
      <c r="AX225">
        <f t="shared" si="200"/>
        <v>-55418.674129716397</v>
      </c>
      <c r="AY225">
        <f t="shared" si="208"/>
        <v>-2.5102546942117163</v>
      </c>
      <c r="BA225">
        <f t="shared" si="184"/>
        <v>3.2808483818578082</v>
      </c>
      <c r="BB225">
        <f t="shared" si="201"/>
        <v>10.319723215194397</v>
      </c>
      <c r="BC225">
        <f t="shared" si="202"/>
        <v>0.4545932035786624</v>
      </c>
      <c r="BD225">
        <f t="shared" si="185"/>
        <v>-153.95372800984902</v>
      </c>
      <c r="BF225">
        <f t="shared" si="186"/>
        <v>-10.78910186899363</v>
      </c>
      <c r="BG225">
        <f t="shared" si="187"/>
        <v>-152.38165046982633</v>
      </c>
      <c r="BH225">
        <f t="shared" si="203"/>
        <v>27.618349530173674</v>
      </c>
      <c r="BI225">
        <f t="shared" si="204"/>
        <v>27.618349530173674</v>
      </c>
      <c r="BJ225">
        <f t="shared" si="188"/>
        <v>0</v>
      </c>
      <c r="BK225">
        <f t="shared" si="205"/>
        <v>0</v>
      </c>
      <c r="BM225">
        <f t="shared" si="206"/>
        <v>-21.108825084188023</v>
      </c>
      <c r="BN225">
        <f t="shared" si="189"/>
        <v>-178.42792245997731</v>
      </c>
      <c r="BQ225" s="56">
        <f t="shared" si="207"/>
        <v>27.221684015479536</v>
      </c>
      <c r="BR225" s="59"/>
      <c r="BS225" s="59"/>
      <c r="BT225" s="59">
        <v>14125.375</v>
      </c>
      <c r="BU225" s="59">
        <v>-4.0179099999999996</v>
      </c>
      <c r="BV225" s="59">
        <v>-192.58199999999999</v>
      </c>
      <c r="BW225" s="61"/>
      <c r="BY225" s="59"/>
      <c r="BZ225" s="59"/>
      <c r="CA225" s="59"/>
      <c r="CC225" s="59"/>
    </row>
    <row r="226" spans="1:81" x14ac:dyDescent="0.2">
      <c r="A226">
        <f t="shared" si="190"/>
        <v>96000</v>
      </c>
      <c r="B226">
        <f t="shared" si="191"/>
        <v>96</v>
      </c>
      <c r="C226">
        <f t="shared" si="159"/>
        <v>1.0000698826192529</v>
      </c>
      <c r="D226">
        <f t="shared" si="160"/>
        <v>1.1821890698638529E-2</v>
      </c>
      <c r="F226">
        <f t="shared" si="161"/>
        <v>5.8059835378339725E-3</v>
      </c>
      <c r="G226">
        <f t="shared" si="162"/>
        <v>1.5595013029095691E-2</v>
      </c>
      <c r="H226">
        <f t="shared" si="163"/>
        <v>-3.1259976369709044</v>
      </c>
      <c r="J226">
        <f t="shared" si="164"/>
        <v>15</v>
      </c>
      <c r="M226">
        <f t="shared" si="165"/>
        <v>1.302860549820007E-2</v>
      </c>
      <c r="N226">
        <f t="shared" si="166"/>
        <v>-1.5707963250000001</v>
      </c>
      <c r="O226">
        <f t="shared" si="167"/>
        <v>18.879074780441258</v>
      </c>
      <c r="P226">
        <f t="shared" si="168"/>
        <v>1.5178028291351657</v>
      </c>
      <c r="Q226">
        <f t="shared" si="169"/>
        <v>16.417834495334024</v>
      </c>
      <c r="R226">
        <f t="shared" si="170"/>
        <v>1.5098492292875763</v>
      </c>
      <c r="S226">
        <f t="shared" si="171"/>
        <v>0.90736873334149437</v>
      </c>
      <c r="T226">
        <f t="shared" si="172"/>
        <v>-0.4338151033504683</v>
      </c>
      <c r="U226">
        <f t="shared" si="173"/>
        <v>0.90524708339883542</v>
      </c>
      <c r="V226">
        <f t="shared" si="174"/>
        <v>-0.43883543590575586</v>
      </c>
      <c r="X226">
        <f t="shared" si="192"/>
        <v>-10.785142679521282</v>
      </c>
      <c r="Y226">
        <f t="shared" si="175"/>
        <v>-144.95663509367921</v>
      </c>
      <c r="Z226">
        <f t="shared" si="193"/>
        <v>35.043364906320789</v>
      </c>
      <c r="AC226">
        <v>1</v>
      </c>
      <c r="AD226">
        <f t="shared" si="176"/>
        <v>18.852571828943997</v>
      </c>
      <c r="AE226">
        <f t="shared" si="177"/>
        <v>-1.3645924091460297E-3</v>
      </c>
      <c r="AF226">
        <f t="shared" si="178"/>
        <v>2.9073555020159999E-3</v>
      </c>
      <c r="AG226">
        <f t="shared" si="194"/>
        <v>5181.5244665934297</v>
      </c>
      <c r="AH226">
        <f t="shared" si="195"/>
        <v>-2775.9484346931476</v>
      </c>
      <c r="AJ226">
        <f t="shared" si="179"/>
        <v>26400</v>
      </c>
      <c r="AK226">
        <f t="shared" si="180"/>
        <v>12229.712505077761</v>
      </c>
      <c r="AL226">
        <v>1</v>
      </c>
      <c r="AM226">
        <f t="shared" si="181"/>
        <v>16.387351510118403</v>
      </c>
      <c r="AN226">
        <f t="shared" si="196"/>
        <v>841.46377811134084</v>
      </c>
      <c r="AO226">
        <f t="shared" si="197"/>
        <v>-1559.650209865059</v>
      </c>
      <c r="AQ226">
        <f t="shared" si="182"/>
        <v>0.27126000271260003</v>
      </c>
      <c r="AR226">
        <f t="shared" si="183"/>
        <v>-52.081920520819203</v>
      </c>
      <c r="AT226">
        <f t="shared" si="209"/>
        <v>-143171.18540471746</v>
      </c>
      <c r="AU226">
        <f t="shared" si="210"/>
        <v>-270616.74922572402</v>
      </c>
      <c r="AV226">
        <f t="shared" si="198"/>
        <v>-2.0574169741213115</v>
      </c>
      <c r="AW226">
        <f t="shared" si="199"/>
        <v>-74959.236686975477</v>
      </c>
      <c r="AX226">
        <f t="shared" si="200"/>
        <v>-55094.485089611597</v>
      </c>
      <c r="AY226">
        <f t="shared" si="208"/>
        <v>-2.5077656620927189</v>
      </c>
      <c r="BA226">
        <f t="shared" si="184"/>
        <v>3.2909923626129727</v>
      </c>
      <c r="BB226">
        <f t="shared" si="201"/>
        <v>10.346537488616789</v>
      </c>
      <c r="BC226">
        <f t="shared" si="202"/>
        <v>0.45034868797140737</v>
      </c>
      <c r="BD226">
        <f t="shared" si="185"/>
        <v>-154.19692084050001</v>
      </c>
      <c r="BF226">
        <f t="shared" si="186"/>
        <v>-10.853514356603668</v>
      </c>
      <c r="BG226">
        <f t="shared" si="187"/>
        <v>-152.62604796778933</v>
      </c>
      <c r="BH226">
        <f t="shared" si="203"/>
        <v>27.373952032210667</v>
      </c>
      <c r="BI226">
        <f t="shared" si="204"/>
        <v>27.373952032210667</v>
      </c>
      <c r="BJ226">
        <f t="shared" si="188"/>
        <v>0</v>
      </c>
      <c r="BK226">
        <f t="shared" si="205"/>
        <v>0</v>
      </c>
      <c r="BM226">
        <f t="shared" si="206"/>
        <v>-21.200051845220457</v>
      </c>
      <c r="BN226">
        <f t="shared" si="189"/>
        <v>-178.42912712728932</v>
      </c>
      <c r="BQ226" s="56">
        <f t="shared" si="207"/>
        <v>27.248498288901924</v>
      </c>
      <c r="BR226" s="59"/>
      <c r="BS226" s="59"/>
      <c r="BT226" s="59">
        <v>14454.397999999999</v>
      </c>
      <c r="BU226" s="59">
        <v>-3.9652699999999999</v>
      </c>
      <c r="BV226" s="59">
        <v>-192.25399999999999</v>
      </c>
      <c r="BW226" s="61"/>
      <c r="BY226" s="59"/>
      <c r="BZ226" s="59"/>
      <c r="CA226" s="59"/>
      <c r="CC226" s="59"/>
    </row>
    <row r="227" spans="1:81" x14ac:dyDescent="0.2">
      <c r="A227">
        <f t="shared" si="190"/>
        <v>96500</v>
      </c>
      <c r="B227">
        <f t="shared" si="191"/>
        <v>96.5</v>
      </c>
      <c r="C227">
        <f t="shared" si="159"/>
        <v>1.0000706124331249</v>
      </c>
      <c r="D227">
        <f t="shared" si="160"/>
        <v>1.1883457264515725E-2</v>
      </c>
      <c r="F227">
        <f t="shared" si="161"/>
        <v>5.7456360479138519E-3</v>
      </c>
      <c r="G227">
        <f t="shared" si="162"/>
        <v>1.5513291412216487E-2</v>
      </c>
      <c r="H227">
        <f t="shared" si="163"/>
        <v>-3.1260793585877837</v>
      </c>
      <c r="J227">
        <f t="shared" si="164"/>
        <v>15</v>
      </c>
      <c r="M227">
        <f t="shared" si="165"/>
        <v>1.2961099770230123E-2</v>
      </c>
      <c r="N227">
        <f t="shared" si="166"/>
        <v>-1.5707963250000001</v>
      </c>
      <c r="O227">
        <f t="shared" si="167"/>
        <v>18.977128129006793</v>
      </c>
      <c r="P227">
        <f t="shared" si="168"/>
        <v>1.5180768970428633</v>
      </c>
      <c r="Q227">
        <f t="shared" si="169"/>
        <v>16.503027632503557</v>
      </c>
      <c r="R227">
        <f t="shared" si="170"/>
        <v>1.5101642419764685</v>
      </c>
      <c r="S227">
        <f t="shared" si="171"/>
        <v>0.90653273806022405</v>
      </c>
      <c r="T227">
        <f t="shared" si="172"/>
        <v>-0.43579972936561717</v>
      </c>
      <c r="U227">
        <f t="shared" si="173"/>
        <v>0.90439491441963138</v>
      </c>
      <c r="V227">
        <f t="shared" si="174"/>
        <v>-0.44083681389403168</v>
      </c>
      <c r="X227">
        <f t="shared" si="192"/>
        <v>-10.847247766845548</v>
      </c>
      <c r="Y227">
        <f t="shared" si="175"/>
        <v>-145.15241926780203</v>
      </c>
      <c r="Z227">
        <f t="shared" si="193"/>
        <v>34.847580732197969</v>
      </c>
      <c r="AC227">
        <v>1</v>
      </c>
      <c r="AD227">
        <f t="shared" si="176"/>
        <v>18.950762307219751</v>
      </c>
      <c r="AE227">
        <f t="shared" si="177"/>
        <v>-1.3788439303461493E-3</v>
      </c>
      <c r="AF227">
        <f t="shared" si="178"/>
        <v>2.9224979785889998E-3</v>
      </c>
      <c r="AG227">
        <f t="shared" si="194"/>
        <v>5171.7736346294387</v>
      </c>
      <c r="AH227">
        <f t="shared" si="195"/>
        <v>-2782.2324411525433</v>
      </c>
      <c r="AJ227">
        <f t="shared" si="179"/>
        <v>26400</v>
      </c>
      <c r="AK227">
        <f t="shared" si="180"/>
        <v>12293.40892437504</v>
      </c>
      <c r="AL227">
        <v>1</v>
      </c>
      <c r="AM227">
        <f t="shared" si="181"/>
        <v>16.4727022992336</v>
      </c>
      <c r="AN227">
        <f t="shared" si="196"/>
        <v>840.48368576925293</v>
      </c>
      <c r="AO227">
        <f t="shared" si="197"/>
        <v>-1551.6286186644627</v>
      </c>
      <c r="AQ227">
        <f t="shared" si="182"/>
        <v>0.26845637583892618</v>
      </c>
      <c r="AR227">
        <f t="shared" si="183"/>
        <v>-51.812080536912752</v>
      </c>
      <c r="AT227">
        <f t="shared" si="209"/>
        <v>-142764.855706795</v>
      </c>
      <c r="AU227">
        <f t="shared" si="210"/>
        <v>-268707.26011399576</v>
      </c>
      <c r="AV227">
        <f t="shared" si="198"/>
        <v>-2.0591712696567228</v>
      </c>
      <c r="AW227">
        <f t="shared" si="199"/>
        <v>-74136.591499659393</v>
      </c>
      <c r="AX227">
        <f t="shared" si="200"/>
        <v>-54774.547170939448</v>
      </c>
      <c r="AY227">
        <f t="shared" si="208"/>
        <v>-2.5052769306296372</v>
      </c>
      <c r="BA227">
        <f t="shared" si="184"/>
        <v>3.3010461072951762</v>
      </c>
      <c r="BB227">
        <f t="shared" si="201"/>
        <v>10.373031807442501</v>
      </c>
      <c r="BC227">
        <f t="shared" si="202"/>
        <v>0.44610566097291438</v>
      </c>
      <c r="BD227">
        <f t="shared" si="185"/>
        <v>-154.44002838015152</v>
      </c>
      <c r="BF227">
        <f t="shared" si="186"/>
        <v>-10.917767450526082</v>
      </c>
      <c r="BG227">
        <f t="shared" si="187"/>
        <v>-152.87031030680046</v>
      </c>
      <c r="BH227">
        <f t="shared" si="203"/>
        <v>27.129689693199538</v>
      </c>
      <c r="BI227">
        <f t="shared" si="204"/>
        <v>27.129689693199538</v>
      </c>
      <c r="BJ227">
        <f t="shared" si="188"/>
        <v>0</v>
      </c>
      <c r="BK227">
        <f t="shared" si="205"/>
        <v>0</v>
      </c>
      <c r="BM227">
        <f t="shared" si="206"/>
        <v>-21.290799257968583</v>
      </c>
      <c r="BN227">
        <f t="shared" si="189"/>
        <v>-178.43028192664895</v>
      </c>
      <c r="BQ227" s="56">
        <f t="shared" si="207"/>
        <v>27.274992607727636</v>
      </c>
      <c r="BR227" s="59"/>
      <c r="BS227" s="59"/>
      <c r="BT227" s="59">
        <v>14791.084000000001</v>
      </c>
      <c r="BU227" s="59">
        <v>-3.9583900000000001</v>
      </c>
      <c r="BV227" s="59">
        <v>-191.02600000000001</v>
      </c>
      <c r="BW227" s="61"/>
      <c r="BY227" s="59"/>
      <c r="BZ227" s="59"/>
      <c r="CA227" s="59"/>
      <c r="CC227" s="59"/>
    </row>
    <row r="228" spans="1:81" x14ac:dyDescent="0.2">
      <c r="A228">
        <f t="shared" si="190"/>
        <v>97000</v>
      </c>
      <c r="B228">
        <f t="shared" si="191"/>
        <v>97</v>
      </c>
      <c r="C228">
        <f t="shared" si="159"/>
        <v>1.0000713460377009</v>
      </c>
      <c r="D228">
        <f t="shared" si="160"/>
        <v>1.1945023740301703E-2</v>
      </c>
      <c r="F228">
        <f t="shared" si="161"/>
        <v>5.6862262888240011E-3</v>
      </c>
      <c r="G228">
        <f t="shared" si="162"/>
        <v>1.5432426483442887E-2</v>
      </c>
      <c r="H228">
        <f t="shared" si="163"/>
        <v>-3.1261602235165573</v>
      </c>
      <c r="J228">
        <f t="shared" si="164"/>
        <v>15</v>
      </c>
      <c r="M228">
        <f t="shared" si="165"/>
        <v>1.289428997760007E-2</v>
      </c>
      <c r="N228">
        <f t="shared" si="166"/>
        <v>-1.5707963250000001</v>
      </c>
      <c r="O228">
        <f t="shared" si="167"/>
        <v>19.075182888350948</v>
      </c>
      <c r="P228">
        <f t="shared" si="168"/>
        <v>1.5183481473136107</v>
      </c>
      <c r="Q228">
        <f t="shared" si="169"/>
        <v>16.588222390496735</v>
      </c>
      <c r="R228">
        <f t="shared" si="170"/>
        <v>1.5104760189750324</v>
      </c>
      <c r="S228">
        <f t="shared" si="171"/>
        <v>0.90569472438975829</v>
      </c>
      <c r="T228">
        <f t="shared" si="172"/>
        <v>-0.43778069392986635</v>
      </c>
      <c r="U228">
        <f t="shared" si="173"/>
        <v>0.90354073940588109</v>
      </c>
      <c r="V228">
        <f t="shared" si="174"/>
        <v>-0.44283441938315521</v>
      </c>
      <c r="X228">
        <f t="shared" si="192"/>
        <v>-10.909160969355911</v>
      </c>
      <c r="Y228">
        <f t="shared" si="175"/>
        <v>-145.34807525861575</v>
      </c>
      <c r="Z228">
        <f t="shared" si="193"/>
        <v>34.651924741384249</v>
      </c>
      <c r="AC228">
        <v>1</v>
      </c>
      <c r="AD228">
        <f t="shared" si="176"/>
        <v>19.048952785495501</v>
      </c>
      <c r="AE228">
        <f t="shared" si="177"/>
        <v>-1.3931694854226336E-3</v>
      </c>
      <c r="AF228">
        <f t="shared" si="178"/>
        <v>2.9376404551620001E-3</v>
      </c>
      <c r="AG228">
        <f t="shared" si="194"/>
        <v>5162.0090647562156</v>
      </c>
      <c r="AH228">
        <f t="shared" si="195"/>
        <v>-2788.4806318279179</v>
      </c>
      <c r="AJ228">
        <f t="shared" si="179"/>
        <v>26400</v>
      </c>
      <c r="AK228">
        <f t="shared" si="180"/>
        <v>12357.105343672321</v>
      </c>
      <c r="AL228">
        <v>1</v>
      </c>
      <c r="AM228">
        <f t="shared" si="181"/>
        <v>16.558053088348803</v>
      </c>
      <c r="AN228">
        <f t="shared" si="196"/>
        <v>839.51863695868064</v>
      </c>
      <c r="AO228">
        <f t="shared" si="197"/>
        <v>-1543.6888157477367</v>
      </c>
      <c r="AQ228">
        <f t="shared" si="182"/>
        <v>0.26569599064750116</v>
      </c>
      <c r="AR228">
        <f t="shared" si="183"/>
        <v>-51.545022185615217</v>
      </c>
      <c r="AT228">
        <f t="shared" si="209"/>
        <v>-142360.77091953656</v>
      </c>
      <c r="AU228">
        <f t="shared" si="210"/>
        <v>-266816.75988908089</v>
      </c>
      <c r="AV228">
        <f t="shared" si="198"/>
        <v>-2.0609243321367972</v>
      </c>
      <c r="AW228">
        <f t="shared" si="199"/>
        <v>-73326.729536692903</v>
      </c>
      <c r="AX228">
        <f t="shared" si="200"/>
        <v>-54458.776343543897</v>
      </c>
      <c r="AY228">
        <f t="shared" si="208"/>
        <v>-2.5027886022733181</v>
      </c>
      <c r="BA228">
        <f t="shared" si="184"/>
        <v>3.3110096225272243</v>
      </c>
      <c r="BB228">
        <f t="shared" si="201"/>
        <v>10.399208858196927</v>
      </c>
      <c r="BC228">
        <f t="shared" si="202"/>
        <v>0.44186427013652096</v>
      </c>
      <c r="BD228">
        <f t="shared" si="185"/>
        <v>-154.68304217462</v>
      </c>
      <c r="BF228">
        <f t="shared" si="186"/>
        <v>-10.98186350171745</v>
      </c>
      <c r="BG228">
        <f t="shared" si="187"/>
        <v>-153.11442982117754</v>
      </c>
      <c r="BH228">
        <f t="shared" si="203"/>
        <v>26.885570178822462</v>
      </c>
      <c r="BI228">
        <f t="shared" si="204"/>
        <v>26.885570178822462</v>
      </c>
      <c r="BJ228">
        <f t="shared" si="188"/>
        <v>0</v>
      </c>
      <c r="BK228">
        <f t="shared" si="205"/>
        <v>0</v>
      </c>
      <c r="BM228">
        <f t="shared" si="206"/>
        <v>-21.381072359914377</v>
      </c>
      <c r="BN228">
        <f t="shared" si="189"/>
        <v>-178.43138764655757</v>
      </c>
      <c r="BQ228" s="56">
        <f t="shared" si="207"/>
        <v>27.301169658482067</v>
      </c>
      <c r="BR228" s="59"/>
      <c r="BS228" s="59"/>
      <c r="BT228" s="59">
        <v>15135.611999999999</v>
      </c>
      <c r="BU228" s="59">
        <v>-3.8792200000000001</v>
      </c>
      <c r="BV228" s="59">
        <v>-189.453</v>
      </c>
      <c r="BW228" s="61"/>
      <c r="BY228" s="59"/>
      <c r="BZ228" s="59"/>
      <c r="CA228" s="59"/>
      <c r="CC228" s="59"/>
    </row>
    <row r="229" spans="1:81" x14ac:dyDescent="0.2">
      <c r="A229">
        <f t="shared" si="190"/>
        <v>97500</v>
      </c>
      <c r="B229">
        <f t="shared" si="191"/>
        <v>97.5</v>
      </c>
      <c r="C229">
        <f t="shared" si="159"/>
        <v>1.0000720834329726</v>
      </c>
      <c r="D229">
        <f t="shared" si="160"/>
        <v>1.2006590125529929E-2</v>
      </c>
      <c r="F229">
        <f t="shared" si="161"/>
        <v>5.6277348974634479E-3</v>
      </c>
      <c r="G229">
        <f t="shared" si="162"/>
        <v>1.5352404771323273E-2</v>
      </c>
      <c r="H229">
        <f t="shared" si="163"/>
        <v>-3.1262402452286771</v>
      </c>
      <c r="J229">
        <f t="shared" si="164"/>
        <v>15</v>
      </c>
      <c r="M229">
        <f t="shared" si="165"/>
        <v>1.2828165413612376E-2</v>
      </c>
      <c r="N229">
        <f t="shared" si="166"/>
        <v>-1.5707963250000001</v>
      </c>
      <c r="O229">
        <f t="shared" si="167"/>
        <v>19.173239036828932</v>
      </c>
      <c r="P229">
        <f t="shared" si="168"/>
        <v>1.5186166231372222</v>
      </c>
      <c r="Q229">
        <f t="shared" si="169"/>
        <v>16.673418744468204</v>
      </c>
      <c r="R229">
        <f t="shared" si="170"/>
        <v>1.5107846098225146</v>
      </c>
      <c r="S229">
        <f t="shared" si="171"/>
        <v>0.90485471762622105</v>
      </c>
      <c r="T229">
        <f t="shared" si="172"/>
        <v>-0.43975799166200419</v>
      </c>
      <c r="U229">
        <f t="shared" si="173"/>
        <v>0.90268458445816457</v>
      </c>
      <c r="V229">
        <f t="shared" si="174"/>
        <v>-0.44482824713204999</v>
      </c>
      <c r="X229">
        <f t="shared" si="192"/>
        <v>-10.970884581889695</v>
      </c>
      <c r="Y229">
        <f t="shared" si="175"/>
        <v>-145.54359791640826</v>
      </c>
      <c r="Z229">
        <f t="shared" si="193"/>
        <v>34.45640208359174</v>
      </c>
      <c r="AC229">
        <v>1</v>
      </c>
      <c r="AD229">
        <f t="shared" si="176"/>
        <v>19.147143263771248</v>
      </c>
      <c r="AE229">
        <f t="shared" si="177"/>
        <v>-1.4075690743754821E-3</v>
      </c>
      <c r="AF229">
        <f t="shared" si="178"/>
        <v>2.9527829317350001E-3</v>
      </c>
      <c r="AG229">
        <f t="shared" si="194"/>
        <v>5152.2311199280211</v>
      </c>
      <c r="AH229">
        <f t="shared" si="195"/>
        <v>-2794.6927963298835</v>
      </c>
      <c r="AJ229">
        <f t="shared" si="179"/>
        <v>26400</v>
      </c>
      <c r="AK229">
        <f t="shared" si="180"/>
        <v>12420.801762969602</v>
      </c>
      <c r="AL229">
        <v>1</v>
      </c>
      <c r="AM229">
        <f t="shared" si="181"/>
        <v>16.643403877464003</v>
      </c>
      <c r="AN229">
        <f t="shared" si="196"/>
        <v>838.56832574273096</v>
      </c>
      <c r="AO229">
        <f t="shared" si="197"/>
        <v>-1535.8295612154627</v>
      </c>
      <c r="AQ229">
        <f t="shared" si="182"/>
        <v>0.26297796244674698</v>
      </c>
      <c r="AR229">
        <f t="shared" si="183"/>
        <v>-51.280702677115656</v>
      </c>
      <c r="AT229">
        <f t="shared" si="209"/>
        <v>-141958.88712049631</v>
      </c>
      <c r="AU229">
        <f t="shared" si="210"/>
        <v>-264944.97480205493</v>
      </c>
      <c r="AV229">
        <f t="shared" si="198"/>
        <v>-2.0626761174103865</v>
      </c>
      <c r="AW229">
        <f t="shared" si="199"/>
        <v>-72529.39089796925</v>
      </c>
      <c r="AX229">
        <f t="shared" si="200"/>
        <v>-54147.09074769351</v>
      </c>
      <c r="AY229">
        <f t="shared" si="208"/>
        <v>-2.5003007781544082</v>
      </c>
      <c r="BA229">
        <f t="shared" si="184"/>
        <v>3.3208829225108527</v>
      </c>
      <c r="BB229">
        <f t="shared" si="201"/>
        <v>10.425071296949522</v>
      </c>
      <c r="BC229">
        <f t="shared" si="202"/>
        <v>0.43762466074402173</v>
      </c>
      <c r="BD229">
        <f t="shared" si="185"/>
        <v>-154.92595389987181</v>
      </c>
      <c r="BF229">
        <f t="shared" si="186"/>
        <v>-11.045804812175973</v>
      </c>
      <c r="BG229">
        <f t="shared" si="187"/>
        <v>-153.35839895877098</v>
      </c>
      <c r="BH229">
        <f t="shared" si="203"/>
        <v>26.641601041229023</v>
      </c>
      <c r="BI229">
        <f t="shared" si="204"/>
        <v>26.641601041229023</v>
      </c>
      <c r="BJ229">
        <f t="shared" si="188"/>
        <v>0</v>
      </c>
      <c r="BK229">
        <f t="shared" si="205"/>
        <v>0</v>
      </c>
      <c r="BM229">
        <f t="shared" si="206"/>
        <v>-21.470876109125495</v>
      </c>
      <c r="BN229">
        <f t="shared" si="189"/>
        <v>-178.43244505889919</v>
      </c>
      <c r="BQ229" s="56">
        <f t="shared" si="207"/>
        <v>27.32703209723466</v>
      </c>
      <c r="BR229" s="59"/>
      <c r="BS229" s="59"/>
      <c r="BT229" s="59">
        <v>15488.165999999999</v>
      </c>
      <c r="BU229" s="59">
        <v>-3.9822899999999999</v>
      </c>
      <c r="BV229" s="59">
        <v>-188.48099999999999</v>
      </c>
      <c r="BW229" s="61"/>
      <c r="BY229" s="59"/>
      <c r="BZ229" s="59"/>
      <c r="CA229" s="59"/>
      <c r="CC229" s="59"/>
    </row>
    <row r="230" spans="1:81" x14ac:dyDescent="0.2">
      <c r="A230">
        <f t="shared" si="190"/>
        <v>98000</v>
      </c>
      <c r="B230">
        <f t="shared" si="191"/>
        <v>98</v>
      </c>
      <c r="C230">
        <f t="shared" si="159"/>
        <v>1.0000728246189319</v>
      </c>
      <c r="D230">
        <f t="shared" si="160"/>
        <v>1.2068156419733883E-2</v>
      </c>
      <c r="F230">
        <f t="shared" si="161"/>
        <v>5.5701430088281453E-3</v>
      </c>
      <c r="G230">
        <f t="shared" si="162"/>
        <v>1.5273213086796784E-2</v>
      </c>
      <c r="H230">
        <f t="shared" si="163"/>
        <v>-3.1263194369132035</v>
      </c>
      <c r="J230">
        <f t="shared" si="164"/>
        <v>15</v>
      </c>
      <c r="M230">
        <f t="shared" si="165"/>
        <v>1.2762715590073538E-2</v>
      </c>
      <c r="N230">
        <f t="shared" si="166"/>
        <v>-1.5707963250000001</v>
      </c>
      <c r="O230">
        <f t="shared" si="167"/>
        <v>19.271296553236187</v>
      </c>
      <c r="P230">
        <f t="shared" si="168"/>
        <v>1.518882366826086</v>
      </c>
      <c r="Q230">
        <f t="shared" si="169"/>
        <v>16.75861667007738</v>
      </c>
      <c r="R230">
        <f t="shared" si="170"/>
        <v>1.511090063053222</v>
      </c>
      <c r="S230">
        <f t="shared" si="171"/>
        <v>0.90401274298760981</v>
      </c>
      <c r="T230">
        <f t="shared" si="172"/>
        <v>-0.441731617315411</v>
      </c>
      <c r="U230">
        <f t="shared" si="173"/>
        <v>0.90182647559135987</v>
      </c>
      <c r="V230">
        <f t="shared" si="174"/>
        <v>-0.44681829203958573</v>
      </c>
      <c r="X230">
        <f t="shared" si="192"/>
        <v>-11.032420856464951</v>
      </c>
      <c r="Y230">
        <f t="shared" si="175"/>
        <v>-145.73898219886925</v>
      </c>
      <c r="Z230">
        <f t="shared" si="193"/>
        <v>34.261017801130748</v>
      </c>
      <c r="AC230">
        <v>1</v>
      </c>
      <c r="AD230">
        <f t="shared" si="176"/>
        <v>19.245333742046999</v>
      </c>
      <c r="AE230">
        <f t="shared" si="177"/>
        <v>-1.4220426972046947E-3</v>
      </c>
      <c r="AF230">
        <f t="shared" si="178"/>
        <v>2.967925408308E-3</v>
      </c>
      <c r="AG230">
        <f t="shared" si="194"/>
        <v>5142.4401611414041</v>
      </c>
      <c r="AH230">
        <f t="shared" si="195"/>
        <v>-2800.8687326486206</v>
      </c>
      <c r="AJ230">
        <f t="shared" si="179"/>
        <v>26400</v>
      </c>
      <c r="AK230">
        <f t="shared" si="180"/>
        <v>12484.498182266881</v>
      </c>
      <c r="AL230">
        <v>1</v>
      </c>
      <c r="AM230">
        <f t="shared" si="181"/>
        <v>16.728754666579199</v>
      </c>
      <c r="AN230">
        <f t="shared" si="196"/>
        <v>837.63245391311295</v>
      </c>
      <c r="AO230">
        <f t="shared" si="197"/>
        <v>-1528.049640010295</v>
      </c>
      <c r="AQ230">
        <f t="shared" si="182"/>
        <v>0.26030142905484549</v>
      </c>
      <c r="AR230">
        <f t="shared" si="183"/>
        <v>-51.019080094749718</v>
      </c>
      <c r="AT230">
        <f t="shared" si="209"/>
        <v>-141559.16168310598</v>
      </c>
      <c r="AU230">
        <f t="shared" si="210"/>
        <v>-263091.63659743441</v>
      </c>
      <c r="AV230">
        <f t="shared" si="198"/>
        <v>-2.0644265822563779</v>
      </c>
      <c r="AW230">
        <f t="shared" si="199"/>
        <v>-71744.322237208893</v>
      </c>
      <c r="AX230">
        <f t="shared" si="200"/>
        <v>-53839.410625414937</v>
      </c>
      <c r="AY230">
        <f t="shared" si="208"/>
        <v>-2.4978135581031475</v>
      </c>
      <c r="BA230">
        <f t="shared" si="184"/>
        <v>3.3306660289909593</v>
      </c>
      <c r="BB230">
        <f t="shared" si="201"/>
        <v>10.450621749963556</v>
      </c>
      <c r="BC230">
        <f t="shared" si="202"/>
        <v>0.43338697584676966</v>
      </c>
      <c r="BD230">
        <f t="shared" si="185"/>
        <v>-155.16875535966813</v>
      </c>
      <c r="BF230">
        <f t="shared" si="186"/>
        <v>-11.109593635960524</v>
      </c>
      <c r="BG230">
        <f t="shared" si="187"/>
        <v>-153.60221027904618</v>
      </c>
      <c r="BH230">
        <f t="shared" si="203"/>
        <v>26.397789720953824</v>
      </c>
      <c r="BI230">
        <f t="shared" si="204"/>
        <v>26.397789720953824</v>
      </c>
      <c r="BJ230">
        <f t="shared" si="188"/>
        <v>0</v>
      </c>
      <c r="BK230">
        <f t="shared" si="205"/>
        <v>0</v>
      </c>
      <c r="BM230">
        <f t="shared" si="206"/>
        <v>-21.560215385924081</v>
      </c>
      <c r="BN230">
        <f t="shared" si="189"/>
        <v>-178.43345491937808</v>
      </c>
      <c r="BQ230" s="56">
        <f t="shared" si="207"/>
        <v>27.352582550248691</v>
      </c>
      <c r="BR230" s="59"/>
      <c r="BS230" s="59"/>
      <c r="BT230" s="59">
        <v>15848.932000000001</v>
      </c>
      <c r="BU230" s="59">
        <v>-3.9450400000000001</v>
      </c>
      <c r="BV230" s="59">
        <v>-186.14400000000001</v>
      </c>
      <c r="BW230" s="61"/>
      <c r="BY230" s="59"/>
      <c r="BZ230" s="59"/>
      <c r="CA230" s="59"/>
      <c r="CC230" s="59"/>
    </row>
    <row r="231" spans="1:81" x14ac:dyDescent="0.2">
      <c r="A231">
        <f t="shared" si="190"/>
        <v>98500</v>
      </c>
      <c r="B231">
        <f t="shared" si="191"/>
        <v>98.5</v>
      </c>
      <c r="C231">
        <f t="shared" si="159"/>
        <v>1.00007356959557</v>
      </c>
      <c r="D231">
        <f t="shared" si="160"/>
        <v>1.2129722622447044E-2</v>
      </c>
      <c r="F231">
        <f t="shared" si="161"/>
        <v>5.5134322406874634E-3</v>
      </c>
      <c r="G231">
        <f t="shared" si="162"/>
        <v>1.5194838515797631E-2</v>
      </c>
      <c r="H231">
        <f t="shared" si="163"/>
        <v>-3.1263978114842024</v>
      </c>
      <c r="J231">
        <f t="shared" si="164"/>
        <v>15</v>
      </c>
      <c r="M231">
        <f t="shared" si="165"/>
        <v>1.269793023174829E-2</v>
      </c>
      <c r="N231">
        <f t="shared" si="166"/>
        <v>-1.5707963250000001</v>
      </c>
      <c r="O231">
        <f t="shared" si="167"/>
        <v>19.369355416797248</v>
      </c>
      <c r="P231">
        <f t="shared" si="168"/>
        <v>1.5191454198373127</v>
      </c>
      <c r="Q231">
        <f t="shared" si="169"/>
        <v>16.843816143475692</v>
      </c>
      <c r="R231">
        <f t="shared" si="170"/>
        <v>1.5113924262218448</v>
      </c>
      <c r="S231">
        <f t="shared" si="171"/>
        <v>0.90316882561252987</v>
      </c>
      <c r="T231">
        <f t="shared" si="172"/>
        <v>-0.4437015657773633</v>
      </c>
      <c r="U231">
        <f t="shared" si="173"/>
        <v>0.90096643873335081</v>
      </c>
      <c r="V231">
        <f t="shared" si="174"/>
        <v>-0.44880454914381812</v>
      </c>
      <c r="X231">
        <f t="shared" si="192"/>
        <v>-11.093772003244137</v>
      </c>
      <c r="Y231">
        <f t="shared" si="175"/>
        <v>-145.93422316871036</v>
      </c>
      <c r="Z231">
        <f t="shared" si="193"/>
        <v>34.065776831289639</v>
      </c>
      <c r="AC231">
        <v>1</v>
      </c>
      <c r="AD231">
        <f t="shared" si="176"/>
        <v>19.343524220322752</v>
      </c>
      <c r="AE231">
        <f t="shared" si="177"/>
        <v>-1.4365903539102717E-3</v>
      </c>
      <c r="AF231">
        <f t="shared" si="178"/>
        <v>2.9830678848809999E-3</v>
      </c>
      <c r="AG231">
        <f t="shared" si="194"/>
        <v>5132.6365474186468</v>
      </c>
      <c r="AH231">
        <f t="shared" si="195"/>
        <v>-2807.0082469755744</v>
      </c>
      <c r="AJ231">
        <f t="shared" si="179"/>
        <v>26400</v>
      </c>
      <c r="AK231">
        <f t="shared" si="180"/>
        <v>12548.194601564161</v>
      </c>
      <c r="AL231">
        <v>1</v>
      </c>
      <c r="AM231">
        <f t="shared" si="181"/>
        <v>16.814105455694403</v>
      </c>
      <c r="AN231">
        <f t="shared" si="196"/>
        <v>836.71073075730556</v>
      </c>
      <c r="AO231">
        <f t="shared" si="197"/>
        <v>-1520.3478613003001</v>
      </c>
      <c r="AQ231">
        <f t="shared" si="182"/>
        <v>0.25766555011594949</v>
      </c>
      <c r="AR231">
        <f t="shared" si="183"/>
        <v>-50.760113372842049</v>
      </c>
      <c r="AT231">
        <f t="shared" si="209"/>
        <v>-141161.55323544692</v>
      </c>
      <c r="AU231">
        <f t="shared" si="210"/>
        <v>-261256.48237270006</v>
      </c>
      <c r="AV231">
        <f t="shared" si="198"/>
        <v>-2.0661756843630004</v>
      </c>
      <c r="AW231">
        <f t="shared" si="199"/>
        <v>-70971.276564756292</v>
      </c>
      <c r="AX231">
        <f t="shared" si="200"/>
        <v>-53535.658254382528</v>
      </c>
      <c r="AY231">
        <f t="shared" si="208"/>
        <v>-2.4953270406684167</v>
      </c>
      <c r="BA231">
        <f t="shared" si="184"/>
        <v>3.3403589712182593</v>
      </c>
      <c r="BB231">
        <f t="shared" si="201"/>
        <v>10.475862814327744</v>
      </c>
      <c r="BC231">
        <f t="shared" si="202"/>
        <v>0.42915135630541634</v>
      </c>
      <c r="BD231">
        <f t="shared" si="185"/>
        <v>-155.41143848328809</v>
      </c>
      <c r="BF231">
        <f t="shared" si="186"/>
        <v>-11.173232180184074</v>
      </c>
      <c r="BG231">
        <f t="shared" si="187"/>
        <v>-153.84585645123053</v>
      </c>
      <c r="BH231">
        <f t="shared" si="203"/>
        <v>26.154143548769468</v>
      </c>
      <c r="BI231">
        <f t="shared" si="204"/>
        <v>26.154143548769468</v>
      </c>
      <c r="BJ231">
        <f t="shared" si="188"/>
        <v>0</v>
      </c>
      <c r="BK231">
        <f t="shared" si="205"/>
        <v>0</v>
      </c>
      <c r="BM231">
        <f t="shared" si="206"/>
        <v>-21.64909499451182</v>
      </c>
      <c r="BN231">
        <f t="shared" si="189"/>
        <v>-178.43441796794244</v>
      </c>
      <c r="BQ231" s="56">
        <f t="shared" si="207"/>
        <v>27.377823614612883</v>
      </c>
      <c r="BR231" s="59"/>
      <c r="BS231" s="59"/>
      <c r="BT231" s="59">
        <v>16218.101000000001</v>
      </c>
      <c r="BU231" s="59">
        <v>-3.9639700000000002</v>
      </c>
      <c r="BV231" s="59">
        <v>-185.626</v>
      </c>
      <c r="BW231" s="61"/>
      <c r="BY231" s="59"/>
      <c r="BZ231" s="59"/>
      <c r="CA231" s="59"/>
      <c r="CC231" s="59"/>
    </row>
    <row r="232" spans="1:81" x14ac:dyDescent="0.2">
      <c r="A232">
        <f t="shared" si="190"/>
        <v>99000</v>
      </c>
      <c r="B232">
        <f t="shared" si="191"/>
        <v>99</v>
      </c>
      <c r="C232">
        <f t="shared" si="159"/>
        <v>1.0000743183628789</v>
      </c>
      <c r="D232">
        <f t="shared" si="160"/>
        <v>1.2191288733202896E-2</v>
      </c>
      <c r="F232">
        <f t="shared" si="161"/>
        <v>5.4575846788087867E-3</v>
      </c>
      <c r="G232">
        <f t="shared" si="162"/>
        <v>1.5117268412091649E-2</v>
      </c>
      <c r="H232">
        <f t="shared" si="163"/>
        <v>-3.1264753815879085</v>
      </c>
      <c r="J232">
        <f t="shared" si="164"/>
        <v>15</v>
      </c>
      <c r="M232">
        <f t="shared" si="165"/>
        <v>1.2633799270981886E-2</v>
      </c>
      <c r="N232">
        <f t="shared" si="166"/>
        <v>-1.5707963250000001</v>
      </c>
      <c r="O232">
        <f t="shared" si="167"/>
        <v>19.467415607154972</v>
      </c>
      <c r="P232">
        <f t="shared" si="168"/>
        <v>1.5194058227942173</v>
      </c>
      <c r="Q232">
        <f t="shared" si="169"/>
        <v>16.929017141294242</v>
      </c>
      <c r="R232">
        <f t="shared" si="170"/>
        <v>1.5116917459280192</v>
      </c>
      <c r="S232">
        <f t="shared" si="171"/>
        <v>0.90232299055894749</v>
      </c>
      <c r="T232">
        <f t="shared" si="172"/>
        <v>-0.44566783206833127</v>
      </c>
      <c r="U232">
        <f t="shared" si="173"/>
        <v>0.90010449972375861</v>
      </c>
      <c r="V232">
        <f t="shared" si="174"/>
        <v>-0.45078701362122275</v>
      </c>
      <c r="X232">
        <f t="shared" si="192"/>
        <v>-11.154940191471587</v>
      </c>
      <c r="Y232">
        <f t="shared" si="175"/>
        <v>-146.12931599135365</v>
      </c>
      <c r="Z232">
        <f t="shared" si="193"/>
        <v>33.87068400864635</v>
      </c>
      <c r="AC232">
        <v>1</v>
      </c>
      <c r="AD232">
        <f t="shared" si="176"/>
        <v>19.441714698598499</v>
      </c>
      <c r="AE232">
        <f t="shared" si="177"/>
        <v>-1.451212044492213E-3</v>
      </c>
      <c r="AF232">
        <f t="shared" si="178"/>
        <v>2.9982103614539998E-3</v>
      </c>
      <c r="AG232">
        <f t="shared" si="194"/>
        <v>5122.8206357916906</v>
      </c>
      <c r="AH232">
        <f t="shared" si="195"/>
        <v>-2813.1111535295649</v>
      </c>
      <c r="AJ232">
        <f t="shared" si="179"/>
        <v>26400</v>
      </c>
      <c r="AK232">
        <f t="shared" si="180"/>
        <v>12611.89102086144</v>
      </c>
      <c r="AL232">
        <v>1</v>
      </c>
      <c r="AM232">
        <f t="shared" si="181"/>
        <v>16.899456244809603</v>
      </c>
      <c r="AN232">
        <f t="shared" si="196"/>
        <v>835.80287283385769</v>
      </c>
      <c r="AO232">
        <f t="shared" si="197"/>
        <v>-1512.7230578805027</v>
      </c>
      <c r="AQ232">
        <f t="shared" si="182"/>
        <v>0.25506950644050502</v>
      </c>
      <c r="AR232">
        <f t="shared" si="183"/>
        <v>-50.503762275219998</v>
      </c>
      <c r="AT232">
        <f t="shared" si="209"/>
        <v>-140766.02162047243</v>
      </c>
      <c r="AU232">
        <f t="shared" si="210"/>
        <v>-259439.25444210798</v>
      </c>
      <c r="AV232">
        <f t="shared" si="198"/>
        <v>-2.0679233823077259</v>
      </c>
      <c r="AW232">
        <f t="shared" si="199"/>
        <v>-70210.013057258504</v>
      </c>
      <c r="AX232">
        <f t="shared" si="200"/>
        <v>-53235.757884255101</v>
      </c>
      <c r="AY232">
        <f t="shared" si="208"/>
        <v>-2.4928413231360675</v>
      </c>
      <c r="BA232">
        <f t="shared" si="184"/>
        <v>3.3499617859103918</v>
      </c>
      <c r="BB232">
        <f t="shared" si="201"/>
        <v>10.500797058570299</v>
      </c>
      <c r="BC232">
        <f t="shared" si="202"/>
        <v>0.42491794082834167</v>
      </c>
      <c r="BD232">
        <f t="shared" si="185"/>
        <v>-155.65399532332702</v>
      </c>
      <c r="BF232">
        <f t="shared" si="186"/>
        <v>-11.236722605982219</v>
      </c>
      <c r="BG232">
        <f t="shared" si="187"/>
        <v>-154.0893302525219</v>
      </c>
      <c r="BH232">
        <f t="shared" si="203"/>
        <v>25.910669747478096</v>
      </c>
      <c r="BI232">
        <f t="shared" si="204"/>
        <v>25.910669747478096</v>
      </c>
      <c r="BJ232">
        <f t="shared" si="188"/>
        <v>0</v>
      </c>
      <c r="BK232">
        <f t="shared" si="205"/>
        <v>0</v>
      </c>
      <c r="BM232">
        <f t="shared" si="206"/>
        <v>-21.737519664552515</v>
      </c>
      <c r="BN232">
        <f t="shared" si="189"/>
        <v>-178.43533492919491</v>
      </c>
      <c r="BQ232" s="56">
        <f t="shared" si="207"/>
        <v>27.402757858855438</v>
      </c>
      <c r="BR232" s="59"/>
      <c r="BS232" s="59"/>
      <c r="BT232" s="59">
        <v>16595.868999999999</v>
      </c>
      <c r="BU232" s="59">
        <v>-3.91065</v>
      </c>
      <c r="BV232" s="59">
        <v>-184.43100000000001</v>
      </c>
      <c r="BW232" s="61"/>
      <c r="BY232" s="59"/>
      <c r="BZ232" s="59"/>
      <c r="CA232" s="59"/>
      <c r="CC232" s="59"/>
    </row>
    <row r="233" spans="1:81" x14ac:dyDescent="0.2">
      <c r="A233">
        <f t="shared" si="190"/>
        <v>99500</v>
      </c>
      <c r="B233">
        <f t="shared" si="191"/>
        <v>99.5</v>
      </c>
      <c r="C233">
        <f t="shared" si="159"/>
        <v>1.0000750709208495</v>
      </c>
      <c r="D233">
        <f t="shared" si="160"/>
        <v>1.2252854751534929E-2</v>
      </c>
      <c r="F233">
        <f t="shared" si="161"/>
        <v>5.4025828627078899E-3</v>
      </c>
      <c r="G233">
        <f t="shared" si="162"/>
        <v>1.5040490390336583E-2</v>
      </c>
      <c r="H233">
        <f t="shared" si="163"/>
        <v>-3.1265521596096635</v>
      </c>
      <c r="J233">
        <f t="shared" si="164"/>
        <v>15</v>
      </c>
      <c r="M233">
        <f t="shared" si="165"/>
        <v>1.2570312842484489E-2</v>
      </c>
      <c r="N233">
        <f t="shared" si="166"/>
        <v>-1.5707963250000001</v>
      </c>
      <c r="O233">
        <f t="shared" si="167"/>
        <v>19.565477104360049</v>
      </c>
      <c r="P233">
        <f t="shared" si="168"/>
        <v>1.5196636155071592</v>
      </c>
      <c r="Q233">
        <f t="shared" si="169"/>
        <v>17.014219640631815</v>
      </c>
      <c r="R233">
        <f t="shared" si="170"/>
        <v>1.5119880678401558</v>
      </c>
      <c r="S233">
        <f t="shared" si="171"/>
        <v>0.90147526280296952</v>
      </c>
      <c r="T233">
        <f t="shared" si="172"/>
        <v>-0.44763041134126991</v>
      </c>
      <c r="U233">
        <f t="shared" si="173"/>
        <v>0.89924068431269832</v>
      </c>
      <c r="V233">
        <f t="shared" si="174"/>
        <v>-0.45276568078592205</v>
      </c>
      <c r="X233">
        <f t="shared" si="192"/>
        <v>-11.215927550385681</v>
      </c>
      <c r="Y233">
        <f t="shared" si="175"/>
        <v>-146.32425593268465</v>
      </c>
      <c r="Z233">
        <f t="shared" si="193"/>
        <v>33.67574406731535</v>
      </c>
      <c r="AC233">
        <v>1</v>
      </c>
      <c r="AD233">
        <f t="shared" si="176"/>
        <v>19.53990517687425</v>
      </c>
      <c r="AE233">
        <f t="shared" si="177"/>
        <v>-1.4659077689505185E-3</v>
      </c>
      <c r="AF233">
        <f t="shared" si="178"/>
        <v>3.0133528380269997E-3</v>
      </c>
      <c r="AG233">
        <f t="shared" si="194"/>
        <v>5112.992781286529</v>
      </c>
      <c r="AH233">
        <f t="shared" si="195"/>
        <v>-2819.1772743871838</v>
      </c>
      <c r="AJ233">
        <f t="shared" si="179"/>
        <v>26400</v>
      </c>
      <c r="AK233">
        <f t="shared" si="180"/>
        <v>12675.587440158721</v>
      </c>
      <c r="AL233">
        <v>1</v>
      </c>
      <c r="AM233">
        <f t="shared" si="181"/>
        <v>16.984807033924803</v>
      </c>
      <c r="AN233">
        <f t="shared" si="196"/>
        <v>834.9086037554988</v>
      </c>
      <c r="AO233">
        <f t="shared" si="197"/>
        <v>-1505.1740855920098</v>
      </c>
      <c r="AQ233">
        <f t="shared" si="182"/>
        <v>0.25251249936871878</v>
      </c>
      <c r="AR233">
        <f t="shared" si="183"/>
        <v>-50.249987374375031</v>
      </c>
      <c r="AT233">
        <f t="shared" si="209"/>
        <v>-140372.52785762414</v>
      </c>
      <c r="AU233">
        <f t="shared" si="210"/>
        <v>-257639.70020463777</v>
      </c>
      <c r="AV233">
        <f t="shared" si="198"/>
        <v>-2.0696696355377435</v>
      </c>
      <c r="AW233">
        <f t="shared" si="199"/>
        <v>-69460.296873952713</v>
      </c>
      <c r="AX233">
        <f t="shared" si="200"/>
        <v>-52939.635675356294</v>
      </c>
      <c r="AY233">
        <f t="shared" si="208"/>
        <v>-2.4903565015465672</v>
      </c>
      <c r="BA233">
        <f t="shared" si="184"/>
        <v>3.3594745172114857</v>
      </c>
      <c r="BB233">
        <f t="shared" si="201"/>
        <v>10.525427023255906</v>
      </c>
      <c r="BC233">
        <f t="shared" si="202"/>
        <v>0.42068686600882366</v>
      </c>
      <c r="BD233">
        <f t="shared" si="185"/>
        <v>-155.89641805356649</v>
      </c>
      <c r="BF233">
        <f t="shared" si="186"/>
        <v>-11.30006702945769</v>
      </c>
      <c r="BG233">
        <f t="shared" si="187"/>
        <v>-154.33262456635643</v>
      </c>
      <c r="BH233">
        <f t="shared" si="203"/>
        <v>25.667375433643571</v>
      </c>
      <c r="BI233">
        <f t="shared" si="204"/>
        <v>25.667375433643571</v>
      </c>
      <c r="BJ233">
        <f t="shared" si="188"/>
        <v>0</v>
      </c>
      <c r="BK233">
        <f t="shared" si="205"/>
        <v>0</v>
      </c>
      <c r="BM233">
        <f t="shared" si="206"/>
        <v>-21.825494052713598</v>
      </c>
      <c r="BN233">
        <f t="shared" si="189"/>
        <v>-178.43620651278999</v>
      </c>
      <c r="BQ233" s="56">
        <f t="shared" si="207"/>
        <v>27.427387823541043</v>
      </c>
      <c r="BR233" s="59"/>
      <c r="BS233" s="59"/>
      <c r="BT233" s="59">
        <v>16982.437000000002</v>
      </c>
      <c r="BU233" s="59">
        <v>-3.9488799999999999</v>
      </c>
      <c r="BV233" s="59">
        <v>-182.72200000000001</v>
      </c>
      <c r="BW233" s="61"/>
      <c r="BY233" s="59"/>
      <c r="BZ233" s="59"/>
      <c r="CA233" s="59"/>
      <c r="CC233" s="59"/>
    </row>
    <row r="234" spans="1:81" x14ac:dyDescent="0.2">
      <c r="A234">
        <f t="shared" si="190"/>
        <v>100000</v>
      </c>
      <c r="B234">
        <f t="shared" si="191"/>
        <v>100</v>
      </c>
      <c r="C234">
        <f t="shared" si="159"/>
        <v>1.0000758272694739</v>
      </c>
      <c r="D234">
        <f t="shared" si="160"/>
        <v>1.2314420676976634E-2</v>
      </c>
      <c r="F234">
        <f t="shared" si="161"/>
        <v>5.3484097719037772E-3</v>
      </c>
      <c r="G234">
        <f t="shared" si="162"/>
        <v>1.4964492319357975E-2</v>
      </c>
      <c r="H234">
        <f t="shared" si="163"/>
        <v>-3.1266281576806421</v>
      </c>
      <c r="J234">
        <f t="shared" si="164"/>
        <v>15</v>
      </c>
      <c r="M234">
        <f t="shared" si="165"/>
        <v>1.2507461278272066E-2</v>
      </c>
      <c r="N234">
        <f t="shared" si="166"/>
        <v>-1.5707963250000001</v>
      </c>
      <c r="O234">
        <f t="shared" si="167"/>
        <v>19.663539888860843</v>
      </c>
      <c r="P234">
        <f t="shared" si="168"/>
        <v>1.5199188369937582</v>
      </c>
      <c r="Q234">
        <f t="shared" si="169"/>
        <v>17.09942361904324</v>
      </c>
      <c r="R234">
        <f t="shared" si="170"/>
        <v>1.512281436718558</v>
      </c>
      <c r="S234">
        <f t="shared" si="171"/>
        <v>0.90062566723764137</v>
      </c>
      <c r="T234">
        <f t="shared" si="172"/>
        <v>-0.44958929888090515</v>
      </c>
      <c r="U234">
        <f t="shared" si="173"/>
        <v>0.898375018159558</v>
      </c>
      <c r="V234">
        <f t="shared" si="174"/>
        <v>-0.45474054608890735</v>
      </c>
      <c r="X234">
        <f t="shared" si="192"/>
        <v>-11.276736170106565</v>
      </c>
      <c r="Y234">
        <f t="shared" si="175"/>
        <v>-146.51903835686943</v>
      </c>
      <c r="Z234">
        <f t="shared" si="193"/>
        <v>33.48096164313057</v>
      </c>
      <c r="AC234">
        <v>1</v>
      </c>
      <c r="AD234">
        <f t="shared" si="176"/>
        <v>19.63809565515</v>
      </c>
      <c r="AE234">
        <f t="shared" si="177"/>
        <v>-1.4806775272851883E-3</v>
      </c>
      <c r="AF234">
        <f t="shared" si="178"/>
        <v>3.0284953146000001E-3</v>
      </c>
      <c r="AG234">
        <f t="shared" si="194"/>
        <v>5103.1533369080753</v>
      </c>
      <c r="AH234">
        <f t="shared" si="195"/>
        <v>-2825.2064393173041</v>
      </c>
      <c r="AJ234">
        <f t="shared" si="179"/>
        <v>26400</v>
      </c>
      <c r="AK234">
        <f t="shared" si="180"/>
        <v>12739.283859456</v>
      </c>
      <c r="AL234">
        <v>1</v>
      </c>
      <c r="AM234">
        <f t="shared" si="181"/>
        <v>17.070157823040002</v>
      </c>
      <c r="AN234">
        <f t="shared" si="196"/>
        <v>834.02765397974986</v>
      </c>
      <c r="AO234">
        <f t="shared" si="197"/>
        <v>-1497.6998227581262</v>
      </c>
      <c r="AQ234">
        <f t="shared" si="182"/>
        <v>0.24999375015624609</v>
      </c>
      <c r="AR234">
        <f t="shared" si="183"/>
        <v>-49.998750031249216</v>
      </c>
      <c r="AT234">
        <f t="shared" si="209"/>
        <v>-139981.03410578554</v>
      </c>
      <c r="AU234">
        <f t="shared" si="210"/>
        <v>-255857.57201593267</v>
      </c>
      <c r="AV234">
        <f t="shared" si="198"/>
        <v>-2.0714144043509837</v>
      </c>
      <c r="AW234">
        <f t="shared" si="199"/>
        <v>-68721.898979302234</v>
      </c>
      <c r="AX234">
        <f t="shared" si="200"/>
        <v>-52647.219639599716</v>
      </c>
      <c r="AY234">
        <f t="shared" si="208"/>
        <v>-2.4878726707119823</v>
      </c>
      <c r="BA234">
        <f t="shared" si="184"/>
        <v>3.3688972166502085</v>
      </c>
      <c r="BB234">
        <f t="shared" si="201"/>
        <v>10.549755221566102</v>
      </c>
      <c r="BC234">
        <f t="shared" si="202"/>
        <v>0.41645826636099859</v>
      </c>
      <c r="BD234">
        <f t="shared" si="185"/>
        <v>-156.13869896691421</v>
      </c>
      <c r="BF234">
        <f t="shared" si="186"/>
        <v>-11.363267522601648</v>
      </c>
      <c r="BG234">
        <f t="shared" si="187"/>
        <v>-154.57573238073368</v>
      </c>
      <c r="BH234">
        <f t="shared" si="203"/>
        <v>25.424267619266317</v>
      </c>
      <c r="BI234">
        <f t="shared" si="204"/>
        <v>25.424267619266317</v>
      </c>
      <c r="BJ234">
        <f t="shared" si="188"/>
        <v>0</v>
      </c>
      <c r="BK234">
        <f t="shared" si="205"/>
        <v>0</v>
      </c>
      <c r="BM234">
        <f t="shared" si="206"/>
        <v>-21.913022744167748</v>
      </c>
      <c r="BN234">
        <f t="shared" si="189"/>
        <v>-178.43703341381948</v>
      </c>
      <c r="BQ234" s="56">
        <f t="shared" si="207"/>
        <v>27.45171602185124</v>
      </c>
      <c r="BR234" s="59"/>
      <c r="BS234" s="59"/>
      <c r="BT234" s="59">
        <v>17378.008000000002</v>
      </c>
      <c r="BU234" s="59">
        <v>-3.8028900000000001</v>
      </c>
      <c r="BV234" s="59">
        <v>-181.726</v>
      </c>
      <c r="BW234" s="61"/>
      <c r="BY234" s="59"/>
      <c r="BZ234" s="59"/>
      <c r="CA234" s="59"/>
      <c r="CC234" s="59"/>
    </row>
    <row r="235" spans="1:81" x14ac:dyDescent="0.2">
      <c r="A235">
        <f>A234+5000</f>
        <v>105000</v>
      </c>
      <c r="B235">
        <f t="shared" si="191"/>
        <v>105</v>
      </c>
      <c r="C235">
        <f t="shared" si="159"/>
        <v>1.0000835992397417</v>
      </c>
      <c r="D235">
        <f t="shared" si="160"/>
        <v>1.293007471979709E-2</v>
      </c>
      <c r="F235">
        <f t="shared" si="161"/>
        <v>4.8488036373594166E-3</v>
      </c>
      <c r="G235">
        <f t="shared" si="162"/>
        <v>1.4244909305955329E-2</v>
      </c>
      <c r="H235">
        <f t="shared" si="163"/>
        <v>-3.1273477406940451</v>
      </c>
      <c r="J235">
        <f t="shared" si="164"/>
        <v>15</v>
      </c>
      <c r="M235">
        <f t="shared" si="165"/>
        <v>1.1911867884068634E-2</v>
      </c>
      <c r="N235">
        <f t="shared" si="166"/>
        <v>-1.5707963250000001</v>
      </c>
      <c r="O235">
        <f t="shared" si="167"/>
        <v>20.644234499232603</v>
      </c>
      <c r="P235">
        <f t="shared" si="168"/>
        <v>1.5223376890795384</v>
      </c>
      <c r="Q235">
        <f t="shared" si="169"/>
        <v>17.951540118722455</v>
      </c>
      <c r="R235">
        <f t="shared" si="170"/>
        <v>1.5150619496215958</v>
      </c>
      <c r="S235">
        <f t="shared" si="171"/>
        <v>0.89203239685850966</v>
      </c>
      <c r="T235">
        <f t="shared" si="172"/>
        <v>-0.46897418434323557</v>
      </c>
      <c r="U235">
        <f t="shared" si="173"/>
        <v>0.88962214368443504</v>
      </c>
      <c r="V235">
        <f t="shared" si="174"/>
        <v>-0.47427919221745846</v>
      </c>
      <c r="X235">
        <f t="shared" si="192"/>
        <v>-11.875425231930894</v>
      </c>
      <c r="Y235">
        <f t="shared" si="175"/>
        <v>-148.45724546436199</v>
      </c>
      <c r="Z235">
        <f t="shared" si="193"/>
        <v>31.542754535638011</v>
      </c>
      <c r="AC235">
        <v>1</v>
      </c>
      <c r="AD235">
        <f t="shared" si="176"/>
        <v>20.6200004379075</v>
      </c>
      <c r="AE235">
        <f t="shared" si="177"/>
        <v>-1.6324469738319203E-3</v>
      </c>
      <c r="AF235">
        <f t="shared" si="178"/>
        <v>3.1799200803300002E-3</v>
      </c>
      <c r="AG235">
        <f t="shared" si="194"/>
        <v>5004.1976380942651</v>
      </c>
      <c r="AH235">
        <f t="shared" si="195"/>
        <v>-2883.4332496218872</v>
      </c>
      <c r="AJ235">
        <f t="shared" si="179"/>
        <v>26400</v>
      </c>
      <c r="AK235">
        <f t="shared" si="180"/>
        <v>13376.248052428802</v>
      </c>
      <c r="AL235">
        <v>1</v>
      </c>
      <c r="AM235">
        <f t="shared" si="181"/>
        <v>17.923665714192001</v>
      </c>
      <c r="AN235">
        <f t="shared" si="196"/>
        <v>825.89592768681143</v>
      </c>
      <c r="AO235">
        <f t="shared" si="197"/>
        <v>-1426.8344701420956</v>
      </c>
      <c r="AQ235">
        <f t="shared" si="182"/>
        <v>0.22675222784063853</v>
      </c>
      <c r="AR235">
        <f t="shared" si="183"/>
        <v>-47.617967846534093</v>
      </c>
      <c r="AT235">
        <f t="shared" si="209"/>
        <v>-136168.51880512963</v>
      </c>
      <c r="AU235">
        <f t="shared" si="210"/>
        <v>-238943.5471416561</v>
      </c>
      <c r="AV235">
        <f t="shared" si="198"/>
        <v>-2.0887722879585522</v>
      </c>
      <c r="AW235">
        <f t="shared" si="199"/>
        <v>-61913.862803124459</v>
      </c>
      <c r="AX235">
        <f t="shared" si="200"/>
        <v>-49912.277258837566</v>
      </c>
      <c r="AY235">
        <f t="shared" si="208"/>
        <v>-2.4631088652801809</v>
      </c>
      <c r="BA235">
        <f t="shared" si="184"/>
        <v>3.4581889834195727</v>
      </c>
      <c r="BB235">
        <f t="shared" si="201"/>
        <v>10.776974458998936</v>
      </c>
      <c r="BC235">
        <f t="shared" si="202"/>
        <v>0.37433657732162873</v>
      </c>
      <c r="BD235">
        <f t="shared" si="185"/>
        <v>-158.55209397759026</v>
      </c>
      <c r="BF235">
        <f t="shared" si="186"/>
        <v>-11.987782320653405</v>
      </c>
      <c r="BG235">
        <f t="shared" si="187"/>
        <v>-156.99508208280008</v>
      </c>
      <c r="BH235">
        <f t="shared" si="203"/>
        <v>23.004917917199919</v>
      </c>
      <c r="BI235">
        <f t="shared" si="204"/>
        <v>23.004917917199919</v>
      </c>
      <c r="BJ235">
        <f t="shared" si="188"/>
        <v>0</v>
      </c>
      <c r="BK235">
        <f t="shared" si="205"/>
        <v>0</v>
      </c>
      <c r="BM235">
        <f t="shared" si="206"/>
        <v>-22.764756779652338</v>
      </c>
      <c r="BN235">
        <f t="shared" si="189"/>
        <v>-178.44298810520985</v>
      </c>
      <c r="BQ235" s="56">
        <f t="shared" si="207"/>
        <v>27.678935259284074</v>
      </c>
      <c r="BR235" s="59"/>
      <c r="BS235" s="59"/>
      <c r="BT235" s="59">
        <v>17782.794000000002</v>
      </c>
      <c r="BU235" s="59">
        <v>-3.8474200000000001</v>
      </c>
      <c r="BV235" s="59">
        <v>-180.351</v>
      </c>
      <c r="BW235" s="61"/>
      <c r="BY235" s="59"/>
      <c r="BZ235" s="59"/>
      <c r="CA235" s="59"/>
      <c r="CC235" s="59"/>
    </row>
    <row r="236" spans="1:81" x14ac:dyDescent="0.2">
      <c r="A236">
        <f t="shared" ref="A236:A299" si="211">A235+5000</f>
        <v>110000</v>
      </c>
      <c r="B236">
        <f t="shared" si="191"/>
        <v>110</v>
      </c>
      <c r="C236">
        <f t="shared" si="159"/>
        <v>1.0000917502656215</v>
      </c>
      <c r="D236">
        <f t="shared" si="160"/>
        <v>1.3545718960458707E-2</v>
      </c>
      <c r="F236">
        <f t="shared" si="161"/>
        <v>4.4161579979091559E-3</v>
      </c>
      <c r="G236">
        <f t="shared" si="162"/>
        <v>1.3591636917065409E-2</v>
      </c>
      <c r="H236">
        <f t="shared" si="163"/>
        <v>-3.128001013082935</v>
      </c>
      <c r="J236">
        <f t="shared" si="164"/>
        <v>15</v>
      </c>
      <c r="M236">
        <f t="shared" si="165"/>
        <v>1.1370419343883697E-2</v>
      </c>
      <c r="N236">
        <f t="shared" si="166"/>
        <v>-1.5707963250000001</v>
      </c>
      <c r="O236">
        <f t="shared" si="167"/>
        <v>21.62503894014052</v>
      </c>
      <c r="P236">
        <f t="shared" si="168"/>
        <v>1.5245371388272722</v>
      </c>
      <c r="Q236">
        <f t="shared" si="169"/>
        <v>18.803782827006575</v>
      </c>
      <c r="R236">
        <f t="shared" si="170"/>
        <v>1.5175904385879986</v>
      </c>
      <c r="S236">
        <f t="shared" si="171"/>
        <v>0.88327906860968619</v>
      </c>
      <c r="T236">
        <f t="shared" si="172"/>
        <v>-0.48798565967959845</v>
      </c>
      <c r="U236">
        <f t="shared" si="173"/>
        <v>0.8807117036165194</v>
      </c>
      <c r="V236">
        <f t="shared" si="174"/>
        <v>-0.49343363366309723</v>
      </c>
      <c r="X236">
        <f t="shared" si="192"/>
        <v>-12.458279599771263</v>
      </c>
      <c r="Y236">
        <f t="shared" si="175"/>
        <v>-150.37525641937765</v>
      </c>
      <c r="Z236">
        <f t="shared" si="193"/>
        <v>29.624743580622351</v>
      </c>
      <c r="AC236">
        <v>1</v>
      </c>
      <c r="AD236">
        <f t="shared" si="176"/>
        <v>21.601905220665</v>
      </c>
      <c r="AE236">
        <f t="shared" si="177"/>
        <v>-1.791619808015078E-3</v>
      </c>
      <c r="AF236">
        <f t="shared" si="178"/>
        <v>3.3313448460600002E-3</v>
      </c>
      <c r="AG236">
        <f t="shared" si="194"/>
        <v>4904.4557440582703</v>
      </c>
      <c r="AH236">
        <f t="shared" si="195"/>
        <v>-2937.8285679920436</v>
      </c>
      <c r="AJ236">
        <f t="shared" si="179"/>
        <v>26400</v>
      </c>
      <c r="AK236">
        <f t="shared" si="180"/>
        <v>14013.212245401601</v>
      </c>
      <c r="AL236">
        <v>1</v>
      </c>
      <c r="AM236">
        <f t="shared" si="181"/>
        <v>18.777173605344</v>
      </c>
      <c r="AN236">
        <f t="shared" si="196"/>
        <v>818.84348052691769</v>
      </c>
      <c r="AO236">
        <f t="shared" si="197"/>
        <v>-1362.3539440564507</v>
      </c>
      <c r="AQ236">
        <f t="shared" si="182"/>
        <v>0.20660730150203507</v>
      </c>
      <c r="AR236">
        <f t="shared" si="183"/>
        <v>-45.45360633044772</v>
      </c>
      <c r="AT236">
        <f t="shared" si="209"/>
        <v>-132521.60682923728</v>
      </c>
      <c r="AU236">
        <f t="shared" si="210"/>
        <v>-223532.17748823611</v>
      </c>
      <c r="AV236">
        <f t="shared" si="198"/>
        <v>-2.105943725184559</v>
      </c>
      <c r="AW236">
        <f t="shared" si="199"/>
        <v>-56022.909542557049</v>
      </c>
      <c r="AX236">
        <f t="shared" si="200"/>
        <v>-47480.560491853626</v>
      </c>
      <c r="AY236">
        <f t="shared" si="208"/>
        <v>-2.4385398689240017</v>
      </c>
      <c r="BA236">
        <f t="shared" si="184"/>
        <v>3.5385872171792321</v>
      </c>
      <c r="BB236">
        <f t="shared" si="201"/>
        <v>10.976598086562522</v>
      </c>
      <c r="BC236">
        <f t="shared" si="202"/>
        <v>0.33259614373944268</v>
      </c>
      <c r="BD236">
        <f t="shared" si="185"/>
        <v>-160.9436446596284</v>
      </c>
      <c r="BF236">
        <f t="shared" si="186"/>
        <v>-12.599887779129022</v>
      </c>
      <c r="BG236">
        <f t="shared" si="187"/>
        <v>-159.38878869892503</v>
      </c>
      <c r="BH236">
        <f t="shared" si="203"/>
        <v>20.611211301074974</v>
      </c>
      <c r="BI236">
        <f t="shared" si="204"/>
        <v>20.611211301074974</v>
      </c>
      <c r="BJ236">
        <f t="shared" si="188"/>
        <v>0</v>
      </c>
      <c r="BK236">
        <f t="shared" si="205"/>
        <v>0</v>
      </c>
      <c r="BM236">
        <f t="shared" si="206"/>
        <v>-23.576485865691545</v>
      </c>
      <c r="BN236">
        <f t="shared" si="189"/>
        <v>-178.44514403929665</v>
      </c>
      <c r="BQ236" s="56">
        <f t="shared" si="207"/>
        <v>27.878558886847657</v>
      </c>
      <c r="BR236" s="59"/>
      <c r="BS236" s="59"/>
      <c r="BT236" s="59">
        <v>18197.008999999998</v>
      </c>
      <c r="BU236" s="59">
        <v>-3.8303199999999999</v>
      </c>
      <c r="BV236" s="59">
        <v>-179.43</v>
      </c>
      <c r="BY236" s="59"/>
      <c r="BZ236" s="59"/>
      <c r="CA236" s="59"/>
      <c r="CC236" s="59"/>
    </row>
    <row r="237" spans="1:81" x14ac:dyDescent="0.2">
      <c r="A237">
        <f t="shared" si="211"/>
        <v>115000</v>
      </c>
      <c r="B237">
        <f t="shared" si="191"/>
        <v>115</v>
      </c>
      <c r="C237">
        <f t="shared" si="159"/>
        <v>1.0001002803378445</v>
      </c>
      <c r="D237">
        <f t="shared" si="160"/>
        <v>1.4161352932526789E-2</v>
      </c>
      <c r="F237">
        <f t="shared" si="161"/>
        <v>4.0390060714962537E-3</v>
      </c>
      <c r="G237">
        <f t="shared" si="162"/>
        <v>1.2995879511484194E-2</v>
      </c>
      <c r="H237">
        <f t="shared" si="163"/>
        <v>-3.128596770488516</v>
      </c>
      <c r="J237">
        <f t="shared" si="164"/>
        <v>15</v>
      </c>
      <c r="M237">
        <f t="shared" si="165"/>
        <v>1.0876053285453971E-2</v>
      </c>
      <c r="N237">
        <f t="shared" si="166"/>
        <v>-1.5707963250000001</v>
      </c>
      <c r="O237">
        <f t="shared" si="167"/>
        <v>22.605938915928405</v>
      </c>
      <c r="P237">
        <f t="shared" si="168"/>
        <v>1.5265457238478843</v>
      </c>
      <c r="Q237">
        <f t="shared" si="169"/>
        <v>19.656135327598623</v>
      </c>
      <c r="R237">
        <f t="shared" si="170"/>
        <v>1.5198996546337165</v>
      </c>
      <c r="S237">
        <f t="shared" si="171"/>
        <v>0.87438904090272684</v>
      </c>
      <c r="T237">
        <f t="shared" si="172"/>
        <v>-0.50662106632844217</v>
      </c>
      <c r="U237">
        <f t="shared" si="173"/>
        <v>0.87166769477629125</v>
      </c>
      <c r="V237">
        <f t="shared" si="174"/>
        <v>-0.51220145226801583</v>
      </c>
      <c r="X237">
        <f t="shared" si="192"/>
        <v>-13.026860390162319</v>
      </c>
      <c r="Y237">
        <f t="shared" si="175"/>
        <v>-152.26977274751147</v>
      </c>
      <c r="Z237">
        <f t="shared" si="193"/>
        <v>27.730227252488532</v>
      </c>
      <c r="AC237">
        <v>1</v>
      </c>
      <c r="AD237">
        <f t="shared" si="176"/>
        <v>22.583810003422503</v>
      </c>
      <c r="AE237">
        <f t="shared" si="177"/>
        <v>-1.9581960298346618E-3</v>
      </c>
      <c r="AF237">
        <f t="shared" si="178"/>
        <v>3.4827696117899999E-3</v>
      </c>
      <c r="AG237">
        <f t="shared" si="194"/>
        <v>4804.2454349647633</v>
      </c>
      <c r="AH237">
        <f t="shared" si="195"/>
        <v>-2988.3269630775817</v>
      </c>
      <c r="AJ237">
        <f t="shared" si="179"/>
        <v>26400</v>
      </c>
      <c r="AK237">
        <f t="shared" si="180"/>
        <v>14650.176438374401</v>
      </c>
      <c r="AL237">
        <v>1</v>
      </c>
      <c r="AM237">
        <f t="shared" si="181"/>
        <v>19.630681496496003</v>
      </c>
      <c r="AN237">
        <f t="shared" si="196"/>
        <v>812.6875875599635</v>
      </c>
      <c r="AO237">
        <f t="shared" si="197"/>
        <v>-1303.434749170948</v>
      </c>
      <c r="AQ237">
        <f t="shared" si="182"/>
        <v>0.18903234343396155</v>
      </c>
      <c r="AR237">
        <f t="shared" si="183"/>
        <v>-43.477438989811155</v>
      </c>
      <c r="AT237">
        <f t="shared" si="209"/>
        <v>-129016.6454458099</v>
      </c>
      <c r="AU237">
        <f t="shared" si="210"/>
        <v>-209441.1782395367</v>
      </c>
      <c r="AV237">
        <f t="shared" si="198"/>
        <v>-2.1229005833191668</v>
      </c>
      <c r="AW237">
        <f t="shared" si="199"/>
        <v>-50893.659130706517</v>
      </c>
      <c r="AX237">
        <f t="shared" si="200"/>
        <v>-45303.350964526995</v>
      </c>
      <c r="AY237">
        <f t="shared" si="208"/>
        <v>-2.4142423214858484</v>
      </c>
      <c r="BA237">
        <f t="shared" si="184"/>
        <v>3.6102571533531451</v>
      </c>
      <c r="BB237">
        <f t="shared" si="201"/>
        <v>11.15076274340273</v>
      </c>
      <c r="BC237">
        <f t="shared" si="202"/>
        <v>0.29134173816668163</v>
      </c>
      <c r="BD237">
        <f t="shared" si="185"/>
        <v>-163.30734798796951</v>
      </c>
      <c r="BF237">
        <f t="shared" si="186"/>
        <v>-13.201050975033713</v>
      </c>
      <c r="BG237">
        <f t="shared" si="187"/>
        <v>-161.75135318389394</v>
      </c>
      <c r="BH237">
        <f t="shared" si="203"/>
        <v>18.24864681610606</v>
      </c>
      <c r="BI237">
        <f t="shared" si="204"/>
        <v>18.24864681610606</v>
      </c>
      <c r="BJ237">
        <f t="shared" si="188"/>
        <v>0</v>
      </c>
      <c r="BK237">
        <f t="shared" si="205"/>
        <v>0</v>
      </c>
      <c r="BM237">
        <f t="shared" si="206"/>
        <v>-24.351813718436439</v>
      </c>
      <c r="BN237">
        <f t="shared" si="189"/>
        <v>-178.44400519592443</v>
      </c>
      <c r="BQ237" s="56">
        <f t="shared" si="207"/>
        <v>28.052723543687868</v>
      </c>
      <c r="BR237" s="59"/>
      <c r="BS237" s="59"/>
      <c r="BT237" s="59">
        <v>18620.870999999999</v>
      </c>
      <c r="BU237" s="59">
        <v>-3.77474</v>
      </c>
      <c r="BV237" s="59">
        <v>-178.09100000000001</v>
      </c>
      <c r="BY237" s="59"/>
      <c r="BZ237" s="59"/>
      <c r="CA237" s="59"/>
      <c r="CC237" s="59"/>
    </row>
    <row r="238" spans="1:81" x14ac:dyDescent="0.2">
      <c r="A238">
        <f t="shared" si="211"/>
        <v>120000</v>
      </c>
      <c r="B238">
        <f t="shared" si="191"/>
        <v>120</v>
      </c>
      <c r="C238">
        <f t="shared" si="159"/>
        <v>1.0001091894467125</v>
      </c>
      <c r="D238">
        <f t="shared" si="160"/>
        <v>1.4776976169613338E-2</v>
      </c>
      <c r="F238">
        <f t="shared" si="161"/>
        <v>3.708237219569433E-3</v>
      </c>
      <c r="G238">
        <f t="shared" si="162"/>
        <v>1.2450336220653498E-2</v>
      </c>
      <c r="H238">
        <f t="shared" si="163"/>
        <v>-3.1291423137793468</v>
      </c>
      <c r="J238">
        <f t="shared" si="164"/>
        <v>15</v>
      </c>
      <c r="M238">
        <f t="shared" si="165"/>
        <v>1.0422884398560055E-2</v>
      </c>
      <c r="N238">
        <f t="shared" si="166"/>
        <v>-1.5707963250000001</v>
      </c>
      <c r="O238">
        <f t="shared" si="167"/>
        <v>23.586922507685966</v>
      </c>
      <c r="P238">
        <f t="shared" si="168"/>
        <v>1.52838724109604</v>
      </c>
      <c r="Q238">
        <f t="shared" si="169"/>
        <v>20.508583931345211</v>
      </c>
      <c r="R238">
        <f t="shared" si="170"/>
        <v>1.5220169139735353</v>
      </c>
      <c r="S238">
        <f t="shared" si="171"/>
        <v>0.86538463511100494</v>
      </c>
      <c r="T238">
        <f t="shared" si="172"/>
        <v>-0.5248788941361473</v>
      </c>
      <c r="U238">
        <f t="shared" si="173"/>
        <v>0.86251299982226892</v>
      </c>
      <c r="V238">
        <f t="shared" si="174"/>
        <v>-0.53058141541175174</v>
      </c>
      <c r="X238">
        <f t="shared" si="192"/>
        <v>-13.582482188194199</v>
      </c>
      <c r="Y238">
        <f t="shared" si="175"/>
        <v>-154.13812706617145</v>
      </c>
      <c r="Z238">
        <f t="shared" si="193"/>
        <v>25.86187293382855</v>
      </c>
      <c r="AC238">
        <v>1</v>
      </c>
      <c r="AD238">
        <f t="shared" si="176"/>
        <v>23.565714786180003</v>
      </c>
      <c r="AE238">
        <f t="shared" si="177"/>
        <v>-2.1321756392906708E-3</v>
      </c>
      <c r="AF238">
        <f t="shared" si="178"/>
        <v>3.6341943775199999E-3</v>
      </c>
      <c r="AG238">
        <f t="shared" si="194"/>
        <v>4703.8621254917962</v>
      </c>
      <c r="AH238">
        <f t="shared" si="195"/>
        <v>-3034.9120296868177</v>
      </c>
      <c r="AJ238">
        <f t="shared" si="179"/>
        <v>26400</v>
      </c>
      <c r="AK238">
        <f t="shared" si="180"/>
        <v>15287.1406313472</v>
      </c>
      <c r="AL238">
        <v>1</v>
      </c>
      <c r="AM238">
        <f t="shared" si="181"/>
        <v>20.484189387648005</v>
      </c>
      <c r="AN238">
        <f t="shared" si="196"/>
        <v>807.28258991782002</v>
      </c>
      <c r="AO238">
        <f t="shared" si="197"/>
        <v>-1249.3888298804063</v>
      </c>
      <c r="AQ238">
        <f t="shared" si="182"/>
        <v>0.1736080970816479</v>
      </c>
      <c r="AR238">
        <f t="shared" si="183"/>
        <v>-41.66594329959549</v>
      </c>
      <c r="AT238">
        <f t="shared" si="209"/>
        <v>-125635.84399565015</v>
      </c>
      <c r="AU238">
        <f t="shared" si="210"/>
        <v>-196517.73791214003</v>
      </c>
      <c r="AV238">
        <f t="shared" si="198"/>
        <v>-2.1396201853512418</v>
      </c>
      <c r="AW238">
        <f t="shared" si="199"/>
        <v>-46402.19312921571</v>
      </c>
      <c r="AX238">
        <f t="shared" si="200"/>
        <v>-43341.760770345121</v>
      </c>
      <c r="AY238">
        <f t="shared" si="208"/>
        <v>-2.390283102210029</v>
      </c>
      <c r="BA238">
        <f t="shared" si="184"/>
        <v>3.6734250478983315</v>
      </c>
      <c r="BB238">
        <f t="shared" si="201"/>
        <v>11.301423659618548</v>
      </c>
      <c r="BC238">
        <f t="shared" si="202"/>
        <v>0.25066291685878728</v>
      </c>
      <c r="BD238">
        <f t="shared" si="185"/>
        <v>-165.63807276714195</v>
      </c>
      <c r="BF238">
        <f t="shared" si="186"/>
        <v>-13.792452631462481</v>
      </c>
      <c r="BG238">
        <f t="shared" si="187"/>
        <v>-164.07806267791281</v>
      </c>
      <c r="BH238">
        <f t="shared" si="203"/>
        <v>15.921937322087189</v>
      </c>
      <c r="BI238">
        <f t="shared" si="204"/>
        <v>15.921937322087189</v>
      </c>
      <c r="BJ238">
        <f t="shared" si="188"/>
        <v>0</v>
      </c>
      <c r="BK238">
        <f t="shared" si="205"/>
        <v>0</v>
      </c>
      <c r="BM238">
        <f t="shared" si="206"/>
        <v>-25.093876291081031</v>
      </c>
      <c r="BN238">
        <f t="shared" si="189"/>
        <v>-178.43998991077089</v>
      </c>
      <c r="BQ238" s="56">
        <f t="shared" si="207"/>
        <v>28.203384459903688</v>
      </c>
      <c r="BR238" s="59"/>
      <c r="BS238" s="59"/>
      <c r="BT238" s="59">
        <v>19054.607</v>
      </c>
      <c r="BU238" s="59">
        <v>-3.7312500000000002</v>
      </c>
      <c r="BV238" s="59">
        <v>-176.916</v>
      </c>
      <c r="BY238" s="59"/>
      <c r="BZ238" s="59"/>
      <c r="CA238" s="59"/>
      <c r="CC238" s="59"/>
    </row>
    <row r="239" spans="1:81" x14ac:dyDescent="0.2">
      <c r="A239">
        <f t="shared" si="211"/>
        <v>125000</v>
      </c>
      <c r="B239">
        <f t="shared" si="191"/>
        <v>125</v>
      </c>
      <c r="C239">
        <f t="shared" si="159"/>
        <v>1.0001184775820955</v>
      </c>
      <c r="D239">
        <f t="shared" si="160"/>
        <v>1.5392588205379164E-2</v>
      </c>
      <c r="F239">
        <f t="shared" si="161"/>
        <v>3.4165384140585641E-3</v>
      </c>
      <c r="G239">
        <f t="shared" si="162"/>
        <v>1.1948895433064426E-2</v>
      </c>
      <c r="H239">
        <f t="shared" si="163"/>
        <v>-3.1296437545669358</v>
      </c>
      <c r="J239">
        <f t="shared" si="164"/>
        <v>15</v>
      </c>
      <c r="M239">
        <f t="shared" si="165"/>
        <v>1.0005969022617654E-2</v>
      </c>
      <c r="N239">
        <f t="shared" si="166"/>
        <v>-1.5707963250000001</v>
      </c>
      <c r="O239">
        <f t="shared" si="167"/>
        <v>24.567979699219947</v>
      </c>
      <c r="P239">
        <f t="shared" si="168"/>
        <v>1.5300816914874054</v>
      </c>
      <c r="Q239">
        <f t="shared" si="169"/>
        <v>21.361117132811874</v>
      </c>
      <c r="R239">
        <f t="shared" si="170"/>
        <v>1.5239651796509741</v>
      </c>
      <c r="S239">
        <f t="shared" si="171"/>
        <v>0.85628707242569013</v>
      </c>
      <c r="T239">
        <f t="shared" si="172"/>
        <v>-0.54275870002899429</v>
      </c>
      <c r="U239">
        <f t="shared" si="173"/>
        <v>0.85326932578143311</v>
      </c>
      <c r="V239">
        <f t="shared" si="174"/>
        <v>-0.54857338869050654</v>
      </c>
      <c r="X239">
        <f t="shared" si="192"/>
        <v>-14.126258016208947</v>
      </c>
      <c r="Y239">
        <f t="shared" si="175"/>
        <v>-155.97817483106286</v>
      </c>
      <c r="Z239">
        <f t="shared" si="193"/>
        <v>24.021825168937141</v>
      </c>
      <c r="AC239">
        <v>1</v>
      </c>
      <c r="AD239">
        <f t="shared" si="176"/>
        <v>24.547619568937503</v>
      </c>
      <c r="AE239">
        <f t="shared" si="177"/>
        <v>-2.3135586363831071E-3</v>
      </c>
      <c r="AF239">
        <f t="shared" si="178"/>
        <v>3.78561914325E-3</v>
      </c>
      <c r="AG239">
        <f t="shared" si="194"/>
        <v>4603.5784836659714</v>
      </c>
      <c r="AH239">
        <f t="shared" si="195"/>
        <v>-3077.6072072455318</v>
      </c>
      <c r="AJ239">
        <f t="shared" si="179"/>
        <v>26400</v>
      </c>
      <c r="AK239">
        <f t="shared" si="180"/>
        <v>15924.104824320002</v>
      </c>
      <c r="AL239">
        <v>1</v>
      </c>
      <c r="AM239">
        <f t="shared" si="181"/>
        <v>21.337697278800004</v>
      </c>
      <c r="AN239">
        <f t="shared" si="196"/>
        <v>802.51123113081064</v>
      </c>
      <c r="AO239">
        <f t="shared" si="197"/>
        <v>-1199.6368883863342</v>
      </c>
      <c r="AQ239">
        <f t="shared" si="182"/>
        <v>0.15999744004095934</v>
      </c>
      <c r="AR239">
        <f t="shared" si="183"/>
        <v>-39.999360010239833</v>
      </c>
      <c r="AT239">
        <f t="shared" si="209"/>
        <v>-122365.75788030862</v>
      </c>
      <c r="AU239">
        <f t="shared" si="210"/>
        <v>-184632.60237816008</v>
      </c>
      <c r="AV239">
        <f t="shared" si="198"/>
        <v>-2.1560843721260228</v>
      </c>
      <c r="AW239">
        <f t="shared" si="199"/>
        <v>-42448.710633522867</v>
      </c>
      <c r="AX239">
        <f t="shared" si="200"/>
        <v>-41564.391645771335</v>
      </c>
      <c r="AY239">
        <f t="shared" si="208"/>
        <v>-2.3667200666355384</v>
      </c>
      <c r="BA239">
        <f t="shared" si="184"/>
        <v>3.7283707675736686</v>
      </c>
      <c r="BB239">
        <f t="shared" si="201"/>
        <v>11.430381884285985</v>
      </c>
      <c r="BC239">
        <f t="shared" si="202"/>
        <v>0.21063569450951558</v>
      </c>
      <c r="BD239">
        <f t="shared" si="185"/>
        <v>-167.93146367600752</v>
      </c>
      <c r="BF239">
        <f t="shared" si="186"/>
        <v>-14.375037750300159</v>
      </c>
      <c r="BG239">
        <f t="shared" si="187"/>
        <v>-166.36491205610864</v>
      </c>
      <c r="BH239">
        <f t="shared" si="203"/>
        <v>13.635087943891364</v>
      </c>
      <c r="BI239">
        <f t="shared" si="204"/>
        <v>13.635087943891364</v>
      </c>
      <c r="BJ239">
        <f t="shared" si="188"/>
        <v>0</v>
      </c>
      <c r="BK239">
        <f t="shared" si="205"/>
        <v>0</v>
      </c>
      <c r="BM239">
        <f t="shared" si="206"/>
        <v>-25.805419634586141</v>
      </c>
      <c r="BN239">
        <f t="shared" si="189"/>
        <v>-178.43344838010114</v>
      </c>
      <c r="BQ239" s="56">
        <f t="shared" si="207"/>
        <v>28.33234268457112</v>
      </c>
      <c r="BR239" s="59"/>
      <c r="BS239" s="59"/>
      <c r="BT239" s="59">
        <v>19498.446</v>
      </c>
      <c r="BU239" s="59">
        <v>-3.7243200000000001</v>
      </c>
      <c r="BV239" s="59">
        <v>-175.511</v>
      </c>
      <c r="BY239" s="59"/>
      <c r="BZ239" s="59"/>
      <c r="CA239" s="59"/>
      <c r="CC239" s="59"/>
    </row>
    <row r="240" spans="1:81" x14ac:dyDescent="0.2">
      <c r="A240">
        <f t="shared" si="211"/>
        <v>130000</v>
      </c>
      <c r="B240">
        <f t="shared" si="191"/>
        <v>130</v>
      </c>
      <c r="C240">
        <f t="shared" si="159"/>
        <v>1.000128144733434</v>
      </c>
      <c r="D240">
        <f t="shared" si="160"/>
        <v>1.600818857353601E-2</v>
      </c>
      <c r="F240">
        <f t="shared" si="161"/>
        <v>3.1579844271052257E-3</v>
      </c>
      <c r="G240">
        <f t="shared" si="162"/>
        <v>1.1486401462002633E-2</v>
      </c>
      <c r="H240">
        <f t="shared" si="163"/>
        <v>-3.1301062485379978</v>
      </c>
      <c r="J240">
        <f t="shared" si="164"/>
        <v>15</v>
      </c>
      <c r="M240">
        <f t="shared" si="165"/>
        <v>9.621124060209282E-3</v>
      </c>
      <c r="N240">
        <f t="shared" si="166"/>
        <v>-1.5707963250000001</v>
      </c>
      <c r="O240">
        <f t="shared" si="167"/>
        <v>25.549102012082304</v>
      </c>
      <c r="P240">
        <f t="shared" si="168"/>
        <v>1.5316460074164155</v>
      </c>
      <c r="Q240">
        <f t="shared" si="169"/>
        <v>22.21372519175711</v>
      </c>
      <c r="R240">
        <f t="shared" si="170"/>
        <v>1.5257638949087589</v>
      </c>
      <c r="S240">
        <f t="shared" si="171"/>
        <v>0.84711642897111927</v>
      </c>
      <c r="T240">
        <f t="shared" si="172"/>
        <v>-0.56026102557036839</v>
      </c>
      <c r="U240">
        <f t="shared" si="173"/>
        <v>0.84395716181234848</v>
      </c>
      <c r="V240">
        <f t="shared" si="174"/>
        <v>-0.56617824778532</v>
      </c>
      <c r="X240">
        <f t="shared" si="192"/>
        <v>-14.659135009657946</v>
      </c>
      <c r="Y240">
        <f t="shared" si="175"/>
        <v>-157.78820849962699</v>
      </c>
      <c r="Z240">
        <f t="shared" si="193"/>
        <v>22.21179150037301</v>
      </c>
      <c r="AC240">
        <v>1</v>
      </c>
      <c r="AD240">
        <f t="shared" si="176"/>
        <v>25.529524351694999</v>
      </c>
      <c r="AE240">
        <f t="shared" si="177"/>
        <v>-2.5023450211119685E-3</v>
      </c>
      <c r="AF240">
        <f t="shared" si="178"/>
        <v>3.9370439089800001E-3</v>
      </c>
      <c r="AG240">
        <f t="shared" si="194"/>
        <v>4503.6443849363905</v>
      </c>
      <c r="AH240">
        <f t="shared" si="195"/>
        <v>-3116.4681896278998</v>
      </c>
      <c r="AJ240">
        <f t="shared" si="179"/>
        <v>26400</v>
      </c>
      <c r="AK240">
        <f t="shared" si="180"/>
        <v>16561.069017292801</v>
      </c>
      <c r="AL240">
        <v>1</v>
      </c>
      <c r="AM240">
        <f t="shared" si="181"/>
        <v>22.191205169952003</v>
      </c>
      <c r="AN240">
        <f t="shared" si="196"/>
        <v>798.27826561819654</v>
      </c>
      <c r="AO240">
        <f t="shared" si="197"/>
        <v>-1153.6877577540408</v>
      </c>
      <c r="AQ240">
        <f t="shared" si="182"/>
        <v>0.14792680581648202</v>
      </c>
      <c r="AR240">
        <f t="shared" si="183"/>
        <v>-38.460969512285324</v>
      </c>
      <c r="AT240">
        <f t="shared" si="209"/>
        <v>-119196.17829888871</v>
      </c>
      <c r="AU240">
        <f t="shared" si="210"/>
        <v>-173675.53856793384</v>
      </c>
      <c r="AV240">
        <f t="shared" si="198"/>
        <v>-2.1722787590776309</v>
      </c>
      <c r="AW240">
        <f t="shared" si="199"/>
        <v>-38952.108878906933</v>
      </c>
      <c r="AX240">
        <f t="shared" si="200"/>
        <v>-39945.628461963337</v>
      </c>
      <c r="AY240">
        <f t="shared" si="208"/>
        <v>-2.343602657941247</v>
      </c>
      <c r="BA240">
        <f t="shared" si="184"/>
        <v>3.7754197510708263</v>
      </c>
      <c r="BB240">
        <f t="shared" si="201"/>
        <v>11.539304869977776</v>
      </c>
      <c r="BC240">
        <f t="shared" si="202"/>
        <v>0.1713238988636161</v>
      </c>
      <c r="BD240">
        <f t="shared" si="185"/>
        <v>-170.18386365417206</v>
      </c>
      <c r="BF240">
        <f t="shared" si="186"/>
        <v>-14.949557288179399</v>
      </c>
      <c r="BG240">
        <f t="shared" si="187"/>
        <v>-168.60853968389318</v>
      </c>
      <c r="BH240">
        <f t="shared" si="203"/>
        <v>11.391460316106816</v>
      </c>
      <c r="BI240">
        <f t="shared" si="204"/>
        <v>11.391460316106816</v>
      </c>
      <c r="BJ240">
        <f t="shared" si="188"/>
        <v>0</v>
      </c>
      <c r="BK240">
        <f t="shared" si="205"/>
        <v>0</v>
      </c>
      <c r="BM240">
        <f t="shared" si="206"/>
        <v>-26.488862158157175</v>
      </c>
      <c r="BN240">
        <f t="shared" si="189"/>
        <v>-178.42467602972113</v>
      </c>
      <c r="BQ240" s="56">
        <f t="shared" si="207"/>
        <v>28.441265670262915</v>
      </c>
      <c r="BR240" s="59"/>
      <c r="BS240" s="59"/>
      <c r="BT240" s="59">
        <v>19952.623</v>
      </c>
      <c r="BU240" s="59">
        <v>-3.67421</v>
      </c>
      <c r="BV240" s="59">
        <v>-174.244</v>
      </c>
      <c r="BY240" s="59"/>
      <c r="BZ240" s="59"/>
      <c r="CA240" s="59"/>
      <c r="CC240" s="59"/>
    </row>
    <row r="241" spans="1:81" x14ac:dyDescent="0.2">
      <c r="A241">
        <f t="shared" si="211"/>
        <v>135000</v>
      </c>
      <c r="B241">
        <f t="shared" si="191"/>
        <v>135</v>
      </c>
      <c r="C241">
        <f t="shared" si="159"/>
        <v>1.0001381908897371</v>
      </c>
      <c r="D241">
        <f t="shared" si="160"/>
        <v>1.662377680784867E-2</v>
      </c>
      <c r="F241">
        <f t="shared" si="161"/>
        <v>2.9277331103215662E-3</v>
      </c>
      <c r="G241">
        <f t="shared" si="162"/>
        <v>1.1058474207905464E-2</v>
      </c>
      <c r="H241">
        <f t="shared" si="163"/>
        <v>-3.1305341757920946</v>
      </c>
      <c r="J241">
        <f t="shared" si="164"/>
        <v>15</v>
      </c>
      <c r="M241">
        <f t="shared" si="165"/>
        <v>9.2647861320533827E-3</v>
      </c>
      <c r="N241">
        <f t="shared" si="166"/>
        <v>-1.5707963250000001</v>
      </c>
      <c r="O241">
        <f t="shared" si="167"/>
        <v>26.530282221474707</v>
      </c>
      <c r="P241">
        <f t="shared" si="168"/>
        <v>1.5330946192115449</v>
      </c>
      <c r="Q241">
        <f t="shared" si="169"/>
        <v>23.066399807265491</v>
      </c>
      <c r="R241">
        <f t="shared" si="170"/>
        <v>1.5274296322878462</v>
      </c>
      <c r="S241">
        <f t="shared" si="171"/>
        <v>0.83789160755171455</v>
      </c>
      <c r="T241">
        <f t="shared" si="172"/>
        <v>-0.5773873145548285</v>
      </c>
      <c r="U241">
        <f t="shared" si="173"/>
        <v>0.8345957543785143</v>
      </c>
      <c r="V241">
        <f t="shared" si="174"/>
        <v>-0.58339779072807862</v>
      </c>
      <c r="X241">
        <f t="shared" si="192"/>
        <v>-15.181922998225485</v>
      </c>
      <c r="Y241">
        <f t="shared" si="175"/>
        <v>-159.56688846919639</v>
      </c>
      <c r="Z241">
        <f t="shared" si="193"/>
        <v>20.433111530803615</v>
      </c>
      <c r="AC241">
        <v>1</v>
      </c>
      <c r="AD241">
        <f t="shared" si="176"/>
        <v>26.511429134452499</v>
      </c>
      <c r="AE241">
        <f t="shared" si="177"/>
        <v>-2.698534793477256E-3</v>
      </c>
      <c r="AF241">
        <f t="shared" si="178"/>
        <v>4.0884686747100002E-3</v>
      </c>
      <c r="AG241">
        <f t="shared" si="194"/>
        <v>4404.2871563800436</v>
      </c>
      <c r="AH241">
        <f t="shared" si="195"/>
        <v>-3151.5765821222803</v>
      </c>
      <c r="AJ241">
        <f t="shared" si="179"/>
        <v>26400</v>
      </c>
      <c r="AK241">
        <f t="shared" si="180"/>
        <v>17198.033210265603</v>
      </c>
      <c r="AL241">
        <v>1</v>
      </c>
      <c r="AM241">
        <f t="shared" si="181"/>
        <v>23.044713061104002</v>
      </c>
      <c r="AN241">
        <f t="shared" si="196"/>
        <v>794.50568337821153</v>
      </c>
      <c r="AO241">
        <f t="shared" si="197"/>
        <v>-1111.1222886016315</v>
      </c>
      <c r="AQ241">
        <f t="shared" si="182"/>
        <v>0.13717232959767356</v>
      </c>
      <c r="AR241">
        <f t="shared" si="183"/>
        <v>-37.03652899137186</v>
      </c>
      <c r="AT241">
        <f t="shared" si="209"/>
        <v>-116119.3111228427</v>
      </c>
      <c r="AU241">
        <f t="shared" si="210"/>
        <v>-163551.8180552714</v>
      </c>
      <c r="AV241">
        <f t="shared" si="198"/>
        <v>-2.1881921383375715</v>
      </c>
      <c r="AW241">
        <f t="shared" si="199"/>
        <v>-35845.933199313818</v>
      </c>
      <c r="AX241">
        <f t="shared" si="200"/>
        <v>-38464.376336612135</v>
      </c>
      <c r="AY241">
        <f t="shared" si="208"/>
        <v>-2.3209724562938345</v>
      </c>
      <c r="BA241">
        <f t="shared" si="184"/>
        <v>3.8149346624877323</v>
      </c>
      <c r="BB241">
        <f t="shared" si="201"/>
        <v>11.629742085849283</v>
      </c>
      <c r="BC241">
        <f t="shared" si="202"/>
        <v>0.13278031795626299</v>
      </c>
      <c r="BD241">
        <f t="shared" si="185"/>
        <v>-172.39224817000786</v>
      </c>
      <c r="BF241">
        <f t="shared" si="186"/>
        <v>-15.516602819699351</v>
      </c>
      <c r="BG241">
        <f t="shared" si="187"/>
        <v>-170.80617201757104</v>
      </c>
      <c r="BH241">
        <f t="shared" si="203"/>
        <v>9.1938279824289566</v>
      </c>
      <c r="BI241">
        <f t="shared" si="204"/>
        <v>9.1938279824289566</v>
      </c>
      <c r="BJ241">
        <f t="shared" si="188"/>
        <v>0</v>
      </c>
      <c r="BK241">
        <f t="shared" si="205"/>
        <v>0</v>
      </c>
      <c r="BM241">
        <f t="shared" si="206"/>
        <v>-27.146344905548631</v>
      </c>
      <c r="BN241">
        <f t="shared" si="189"/>
        <v>-178.41392384756318</v>
      </c>
      <c r="BQ241" s="56">
        <f t="shared" si="207"/>
        <v>28.531702886134418</v>
      </c>
      <c r="BR241" s="59"/>
      <c r="BS241" s="59"/>
      <c r="BT241" s="59">
        <v>20417.379000000001</v>
      </c>
      <c r="BU241" s="59">
        <v>-3.6440899999999998</v>
      </c>
      <c r="BV241" s="59">
        <v>-173.369</v>
      </c>
      <c r="BY241" s="59"/>
      <c r="BZ241" s="59"/>
      <c r="CA241" s="59"/>
      <c r="CC241" s="59"/>
    </row>
    <row r="242" spans="1:81" x14ac:dyDescent="0.2">
      <c r="A242">
        <f t="shared" si="211"/>
        <v>140000</v>
      </c>
      <c r="B242">
        <f t="shared" si="191"/>
        <v>140</v>
      </c>
      <c r="C242">
        <f t="shared" si="159"/>
        <v>1.0001486160395843</v>
      </c>
      <c r="D242">
        <f t="shared" si="160"/>
        <v>1.7239352442137097E-2</v>
      </c>
      <c r="F242">
        <f t="shared" si="161"/>
        <v>2.7217960322516647E-3</v>
      </c>
      <c r="G242">
        <f t="shared" si="162"/>
        <v>1.0661368254874909E-2</v>
      </c>
      <c r="H242">
        <f t="shared" si="163"/>
        <v>-3.1309312817451254</v>
      </c>
      <c r="J242">
        <f t="shared" si="164"/>
        <v>15</v>
      </c>
      <c r="M242">
        <f t="shared" si="165"/>
        <v>8.9339009130514763E-3</v>
      </c>
      <c r="N242">
        <f t="shared" si="166"/>
        <v>-1.5707963250000001</v>
      </c>
      <c r="O242">
        <f t="shared" si="167"/>
        <v>27.511514132871898</v>
      </c>
      <c r="P242">
        <f t="shared" si="168"/>
        <v>1.5344399006297218</v>
      </c>
      <c r="Q242">
        <f t="shared" si="169"/>
        <v>23.919133861468474</v>
      </c>
      <c r="R242">
        <f t="shared" si="170"/>
        <v>1.528976604274453</v>
      </c>
      <c r="S242">
        <f t="shared" si="171"/>
        <v>0.82863032431056094</v>
      </c>
      <c r="T242">
        <f t="shared" si="172"/>
        <v>-0.5941398316337172</v>
      </c>
      <c r="U242">
        <f t="shared" si="173"/>
        <v>0.82520309792883195</v>
      </c>
      <c r="V242">
        <f t="shared" si="174"/>
        <v>-0.60023465160034695</v>
      </c>
      <c r="X242">
        <f t="shared" si="192"/>
        <v>-15.695317600269147</v>
      </c>
      <c r="Y242">
        <f t="shared" si="175"/>
        <v>-161.31318676019882</v>
      </c>
      <c r="Z242">
        <f t="shared" si="193"/>
        <v>18.686813239801182</v>
      </c>
      <c r="AC242">
        <v>1</v>
      </c>
      <c r="AD242">
        <f t="shared" si="176"/>
        <v>27.493333917210002</v>
      </c>
      <c r="AE242">
        <f t="shared" si="177"/>
        <v>-2.902127953478969E-3</v>
      </c>
      <c r="AF242">
        <f t="shared" si="178"/>
        <v>4.2398934404399994E-3</v>
      </c>
      <c r="AG242">
        <f t="shared" si="194"/>
        <v>4305.7120663682972</v>
      </c>
      <c r="AH242">
        <f t="shared" si="195"/>
        <v>-3183.0345590097177</v>
      </c>
      <c r="AJ242">
        <f t="shared" si="179"/>
        <v>26400</v>
      </c>
      <c r="AK242">
        <f t="shared" si="180"/>
        <v>17834.997403238402</v>
      </c>
      <c r="AL242">
        <v>1</v>
      </c>
      <c r="AM242">
        <f t="shared" si="181"/>
        <v>23.898220952256004</v>
      </c>
      <c r="AN242">
        <f t="shared" si="196"/>
        <v>791.12910039926612</v>
      </c>
      <c r="AO242">
        <f t="shared" si="197"/>
        <v>-1071.5806398627863</v>
      </c>
      <c r="AQ242">
        <f t="shared" si="182"/>
        <v>0.12754939350263389</v>
      </c>
      <c r="AR242">
        <f t="shared" si="183"/>
        <v>-35.713830180737489</v>
      </c>
      <c r="AT242">
        <f t="shared" si="209"/>
        <v>-113129.16473722945</v>
      </c>
      <c r="AU242">
        <f t="shared" si="210"/>
        <v>-154179.46367292927</v>
      </c>
      <c r="AV242">
        <f t="shared" si="198"/>
        <v>-2.2038159911735189</v>
      </c>
      <c r="AW242">
        <f t="shared" si="199"/>
        <v>-33075.314853197771</v>
      </c>
      <c r="AX242">
        <f t="shared" si="200"/>
        <v>-37103.113101245792</v>
      </c>
      <c r="AY242">
        <f t="shared" si="208"/>
        <v>-2.2988637046954539</v>
      </c>
      <c r="BA242">
        <f t="shared" si="184"/>
        <v>3.8473070403574305</v>
      </c>
      <c r="BB242">
        <f t="shared" si="201"/>
        <v>11.703136944809936</v>
      </c>
      <c r="BC242">
        <f t="shared" si="202"/>
        <v>9.5047713521934973E-2</v>
      </c>
      <c r="BD242">
        <f t="shared" si="185"/>
        <v>-174.55416715660184</v>
      </c>
      <c r="BF242">
        <f t="shared" si="186"/>
        <v>-16.076635574669087</v>
      </c>
      <c r="BG242">
        <f t="shared" si="187"/>
        <v>-172.95557361346306</v>
      </c>
      <c r="BH242">
        <f t="shared" si="203"/>
        <v>7.0444263865369408</v>
      </c>
      <c r="BI242">
        <f t="shared" si="204"/>
        <v>7.0444263865369408</v>
      </c>
      <c r="BJ242">
        <f t="shared" si="188"/>
        <v>0</v>
      </c>
      <c r="BK242">
        <f t="shared" si="205"/>
        <v>0</v>
      </c>
      <c r="BM242">
        <f t="shared" si="206"/>
        <v>-27.779772519479021</v>
      </c>
      <c r="BN242">
        <f t="shared" si="189"/>
        <v>-178.40140645686122</v>
      </c>
      <c r="BQ242" s="56">
        <f t="shared" si="207"/>
        <v>28.605097745095073</v>
      </c>
      <c r="BR242" s="59"/>
      <c r="BS242" s="59"/>
      <c r="BT242" s="59">
        <v>20892.960999999999</v>
      </c>
      <c r="BU242" s="59">
        <v>-3.5620099999999999</v>
      </c>
      <c r="BV242" s="59">
        <v>-172.084</v>
      </c>
      <c r="BY242" s="59"/>
      <c r="BZ242" s="59"/>
      <c r="CA242" s="59"/>
      <c r="CC242" s="59"/>
    </row>
    <row r="243" spans="1:81" x14ac:dyDescent="0.2">
      <c r="A243">
        <f t="shared" si="211"/>
        <v>145000</v>
      </c>
      <c r="B243">
        <f t="shared" si="191"/>
        <v>145</v>
      </c>
      <c r="C243">
        <f t="shared" si="159"/>
        <v>1.0001594201711237</v>
      </c>
      <c r="D243">
        <f t="shared" si="160"/>
        <v>1.7854915010278527E-2</v>
      </c>
      <c r="F243">
        <f t="shared" si="161"/>
        <v>2.5368638883875505E-3</v>
      </c>
      <c r="G243">
        <f t="shared" si="162"/>
        <v>1.0291861674306626E-2</v>
      </c>
      <c r="H243">
        <f t="shared" si="163"/>
        <v>-3.1313007883256936</v>
      </c>
      <c r="J243">
        <f t="shared" si="164"/>
        <v>15</v>
      </c>
      <c r="M243">
        <f t="shared" si="165"/>
        <v>8.6258353643255629E-3</v>
      </c>
      <c r="N243">
        <f t="shared" si="166"/>
        <v>-1.5707963250000001</v>
      </c>
      <c r="O243">
        <f t="shared" si="167"/>
        <v>28.492792404749085</v>
      </c>
      <c r="P243">
        <f t="shared" si="168"/>
        <v>1.5356925224771218</v>
      </c>
      <c r="Q243">
        <f t="shared" si="169"/>
        <v>24.771921216118781</v>
      </c>
      <c r="R243">
        <f t="shared" si="170"/>
        <v>1.5304170687475194</v>
      </c>
      <c r="S243">
        <f t="shared" si="171"/>
        <v>0.81934910854603704</v>
      </c>
      <c r="T243">
        <f t="shared" si="172"/>
        <v>-0.61052158281233193</v>
      </c>
      <c r="U243">
        <f t="shared" si="173"/>
        <v>0.8157959391635482</v>
      </c>
      <c r="V243">
        <f t="shared" si="174"/>
        <v>-0.61669221653014394</v>
      </c>
      <c r="X243">
        <f t="shared" si="192"/>
        <v>-16.199919024609713</v>
      </c>
      <c r="Y243">
        <f t="shared" si="175"/>
        <v>-163.02634052762531</v>
      </c>
      <c r="Z243">
        <f t="shared" si="193"/>
        <v>16.973659472374692</v>
      </c>
      <c r="AC243">
        <v>1</v>
      </c>
      <c r="AD243">
        <f t="shared" si="176"/>
        <v>28.475238699967502</v>
      </c>
      <c r="AE243">
        <f t="shared" si="177"/>
        <v>-3.1131245011171084E-3</v>
      </c>
      <c r="AF243">
        <f t="shared" si="178"/>
        <v>4.3913182061699994E-3</v>
      </c>
      <c r="AG243">
        <f t="shared" si="194"/>
        <v>4208.1030166636274</v>
      </c>
      <c r="AH243">
        <f t="shared" si="195"/>
        <v>-3210.9603409264969</v>
      </c>
      <c r="AJ243">
        <f t="shared" si="179"/>
        <v>26400</v>
      </c>
      <c r="AK243">
        <f t="shared" si="180"/>
        <v>18471.9615962112</v>
      </c>
      <c r="AL243">
        <v>1</v>
      </c>
      <c r="AM243">
        <f t="shared" si="181"/>
        <v>24.751728843408003</v>
      </c>
      <c r="AN243">
        <f t="shared" si="196"/>
        <v>788.09500072740423</v>
      </c>
      <c r="AO243">
        <f t="shared" si="197"/>
        <v>-1034.7521646389432</v>
      </c>
      <c r="AQ243">
        <f t="shared" si="182"/>
        <v>0.11890465036087561</v>
      </c>
      <c r="AR243">
        <f t="shared" si="183"/>
        <v>-34.482348604653929</v>
      </c>
      <c r="AT243">
        <f t="shared" si="209"/>
        <v>-110221.09081366696</v>
      </c>
      <c r="AU243">
        <f t="shared" si="210"/>
        <v>-145487.07330155151</v>
      </c>
      <c r="AV243">
        <f t="shared" si="198"/>
        <v>-2.2191440854480122</v>
      </c>
      <c r="AW243">
        <f t="shared" si="199"/>
        <v>-30594.630690949729</v>
      </c>
      <c r="AX243">
        <f t="shared" si="200"/>
        <v>-35847.169334663391</v>
      </c>
      <c r="AY243">
        <f t="shared" si="208"/>
        <v>-2.2773038323036183</v>
      </c>
      <c r="BA243">
        <f t="shared" si="184"/>
        <v>3.8729492096951263</v>
      </c>
      <c r="BB243">
        <f t="shared" si="201"/>
        <v>11.760836032705001</v>
      </c>
      <c r="BC243">
        <f t="shared" si="202"/>
        <v>5.8159746855606098E-2</v>
      </c>
      <c r="BD243">
        <f t="shared" si="185"/>
        <v>-176.66769196381679</v>
      </c>
      <c r="BF243">
        <f t="shared" si="186"/>
        <v>-16.630010861927154</v>
      </c>
      <c r="BG243">
        <f t="shared" si="187"/>
        <v>-175.05500045105006</v>
      </c>
      <c r="BH243">
        <f t="shared" si="203"/>
        <v>4.9449995489499372</v>
      </c>
      <c r="BI243">
        <f t="shared" si="204"/>
        <v>4.9449995489499372</v>
      </c>
      <c r="BJ243">
        <f t="shared" si="188"/>
        <v>0</v>
      </c>
      <c r="BK243">
        <f t="shared" si="205"/>
        <v>0</v>
      </c>
      <c r="BM243">
        <f t="shared" si="206"/>
        <v>-28.390846894632151</v>
      </c>
      <c r="BN243">
        <f t="shared" si="189"/>
        <v>-178.3873084872333</v>
      </c>
      <c r="BQ243" s="56">
        <f t="shared" si="207"/>
        <v>28.662796832990132</v>
      </c>
      <c r="BR243" s="59"/>
      <c r="BS243" s="59"/>
      <c r="BT243" s="59">
        <v>21379.620999999999</v>
      </c>
      <c r="BU243" s="59">
        <v>-3.5589</v>
      </c>
      <c r="BV243" s="59">
        <v>-170.62899999999999</v>
      </c>
      <c r="BY243" s="59"/>
      <c r="BZ243" s="59"/>
      <c r="CA243" s="59"/>
      <c r="CC243" s="59"/>
    </row>
    <row r="244" spans="1:81" x14ac:dyDescent="0.2">
      <c r="A244">
        <f t="shared" si="211"/>
        <v>150000</v>
      </c>
      <c r="B244">
        <f t="shared" si="191"/>
        <v>150</v>
      </c>
      <c r="C244">
        <f t="shared" si="159"/>
        <v>1.0001706032720745</v>
      </c>
      <c r="D244">
        <f t="shared" si="160"/>
        <v>1.8470464046209587E-2</v>
      </c>
      <c r="F244">
        <f t="shared" si="161"/>
        <v>2.370172219329926E-3</v>
      </c>
      <c r="G244">
        <f t="shared" si="162"/>
        <v>9.9471674623865681E-3</v>
      </c>
      <c r="H244">
        <f t="shared" si="163"/>
        <v>-3.1316454825376137</v>
      </c>
      <c r="J244">
        <f t="shared" si="164"/>
        <v>15</v>
      </c>
      <c r="M244">
        <f t="shared" si="165"/>
        <v>8.3383075188480441E-3</v>
      </c>
      <c r="N244">
        <f t="shared" si="166"/>
        <v>-1.5707963250000001</v>
      </c>
      <c r="O244">
        <f t="shared" si="167"/>
        <v>29.474112406684078</v>
      </c>
      <c r="P244">
        <f t="shared" si="168"/>
        <v>1.5368617357182937</v>
      </c>
      <c r="Q244">
        <f t="shared" si="169"/>
        <v>25.624756549728641</v>
      </c>
      <c r="R244">
        <f t="shared" si="170"/>
        <v>1.5317616536591341</v>
      </c>
      <c r="S244">
        <f t="shared" si="171"/>
        <v>0.8100633139478961</v>
      </c>
      <c r="T244">
        <f t="shared" si="172"/>
        <v>-0.62653623851022489</v>
      </c>
      <c r="U244">
        <f t="shared" si="173"/>
        <v>0.80638979299672731</v>
      </c>
      <c r="V244">
        <f t="shared" si="174"/>
        <v>-0.63277454269009914</v>
      </c>
      <c r="X244">
        <f t="shared" si="192"/>
        <v>-16.696247478523027</v>
      </c>
      <c r="Y244">
        <f t="shared" si="175"/>
        <v>-164.70581326212803</v>
      </c>
      <c r="Z244">
        <f t="shared" si="193"/>
        <v>15.294186737871968</v>
      </c>
      <c r="AC244">
        <v>1</v>
      </c>
      <c r="AD244">
        <f t="shared" si="176"/>
        <v>29.457143482725002</v>
      </c>
      <c r="AE244">
        <f t="shared" si="177"/>
        <v>-3.3315244363916739E-3</v>
      </c>
      <c r="AF244">
        <f t="shared" si="178"/>
        <v>4.5427429718999995E-3</v>
      </c>
      <c r="AG244">
        <f t="shared" si="194"/>
        <v>4111.6233964668081</v>
      </c>
      <c r="AH244">
        <f t="shared" si="195"/>
        <v>-3235.4843559246069</v>
      </c>
      <c r="AJ244">
        <f t="shared" si="179"/>
        <v>26400</v>
      </c>
      <c r="AK244">
        <f t="shared" si="180"/>
        <v>19108.925789184002</v>
      </c>
      <c r="AL244">
        <v>1</v>
      </c>
      <c r="AM244">
        <f t="shared" si="181"/>
        <v>25.605236734560005</v>
      </c>
      <c r="AN244">
        <f t="shared" si="196"/>
        <v>785.35860816054412</v>
      </c>
      <c r="AO244">
        <f t="shared" si="197"/>
        <v>-1000.367294291279</v>
      </c>
      <c r="AQ244">
        <f t="shared" si="182"/>
        <v>0.11110987655692714</v>
      </c>
      <c r="AR244">
        <f t="shared" si="183"/>
        <v>-33.332962967078146</v>
      </c>
      <c r="AT244">
        <f t="shared" si="209"/>
        <v>-107391.43824856561</v>
      </c>
      <c r="AU244">
        <f t="shared" si="210"/>
        <v>-137412.08467638883</v>
      </c>
      <c r="AV244">
        <f t="shared" si="198"/>
        <v>-2.2341721395738623</v>
      </c>
      <c r="AW244">
        <f t="shared" si="199"/>
        <v>-28365.696560784727</v>
      </c>
      <c r="AX244">
        <f t="shared" si="200"/>
        <v>-34684.17490271412</v>
      </c>
      <c r="AY244">
        <f t="shared" si="208"/>
        <v>-2.2563139841971243</v>
      </c>
      <c r="BA244">
        <f t="shared" si="184"/>
        <v>3.8922866773840501</v>
      </c>
      <c r="BB244">
        <f t="shared" si="201"/>
        <v>11.804096394623604</v>
      </c>
      <c r="BC244">
        <f t="shared" si="202"/>
        <v>2.2141844623261964E-2</v>
      </c>
      <c r="BD244">
        <f t="shared" si="185"/>
        <v>-178.73136575100304</v>
      </c>
      <c r="BF244">
        <f t="shared" si="186"/>
        <v>-17.176998639996796</v>
      </c>
      <c r="BG244">
        <f t="shared" si="187"/>
        <v>-177.10315539994195</v>
      </c>
      <c r="BH244">
        <f t="shared" si="203"/>
        <v>2.8968446000580457</v>
      </c>
      <c r="BI244">
        <f t="shared" si="204"/>
        <v>2.8968446000580457</v>
      </c>
      <c r="BJ244">
        <f t="shared" si="188"/>
        <v>0</v>
      </c>
      <c r="BK244">
        <f t="shared" si="205"/>
        <v>0</v>
      </c>
      <c r="BM244">
        <f t="shared" si="206"/>
        <v>-28.981095034620402</v>
      </c>
      <c r="BN244">
        <f t="shared" si="189"/>
        <v>-178.37178964893894</v>
      </c>
      <c r="BQ244" s="56">
        <f t="shared" si="207"/>
        <v>28.706057194908745</v>
      </c>
      <c r="BR244" s="59"/>
      <c r="BS244" s="59"/>
      <c r="BT244" s="59">
        <v>21877.616000000002</v>
      </c>
      <c r="BU244" s="59">
        <v>-3.49654</v>
      </c>
      <c r="BV244" s="59">
        <v>-169.465</v>
      </c>
      <c r="BY244" s="59"/>
      <c r="BZ244" s="59"/>
      <c r="CA244" s="59"/>
      <c r="CC244" s="59"/>
    </row>
    <row r="245" spans="1:81" x14ac:dyDescent="0.2">
      <c r="A245">
        <f t="shared" si="211"/>
        <v>155000</v>
      </c>
      <c r="B245">
        <f t="shared" si="191"/>
        <v>155</v>
      </c>
      <c r="C245">
        <f t="shared" si="159"/>
        <v>1.000182165329724</v>
      </c>
      <c r="D245">
        <f t="shared" si="160"/>
        <v>1.9085999083928419E-2</v>
      </c>
      <c r="F245">
        <f t="shared" si="161"/>
        <v>2.2193971350541212E-3</v>
      </c>
      <c r="G245">
        <f t="shared" si="162"/>
        <v>9.6248624029889717E-3</v>
      </c>
      <c r="H245">
        <f t="shared" si="163"/>
        <v>-3.1319677875970111</v>
      </c>
      <c r="J245">
        <f t="shared" si="164"/>
        <v>15</v>
      </c>
      <c r="M245">
        <f t="shared" si="165"/>
        <v>8.0693298569497196E-3</v>
      </c>
      <c r="N245">
        <f t="shared" si="166"/>
        <v>-1.5707963250000001</v>
      </c>
      <c r="O245">
        <f t="shared" si="167"/>
        <v>30.455470104865785</v>
      </c>
      <c r="P245">
        <f t="shared" si="168"/>
        <v>1.5379555999435408</v>
      </c>
      <c r="Q245">
        <f t="shared" si="169"/>
        <v>26.477635226142151</v>
      </c>
      <c r="R245">
        <f t="shared" si="170"/>
        <v>1.5330196191066892</v>
      </c>
      <c r="S245">
        <f t="shared" si="171"/>
        <v>0.80078713956843561</v>
      </c>
      <c r="T245">
        <f t="shared" si="172"/>
        <v>-0.64218805973686954</v>
      </c>
      <c r="U245">
        <f t="shared" si="173"/>
        <v>0.79699896839952733</v>
      </c>
      <c r="V245">
        <f t="shared" si="174"/>
        <v>-0.64848628084993554</v>
      </c>
      <c r="X245">
        <f t="shared" si="192"/>
        <v>-17.184755867195385</v>
      </c>
      <c r="Y245">
        <f t="shared" si="175"/>
        <v>-166.35126209279181</v>
      </c>
      <c r="Z245">
        <f t="shared" si="193"/>
        <v>13.648737907208186</v>
      </c>
      <c r="AC245">
        <v>1</v>
      </c>
      <c r="AD245">
        <f t="shared" si="176"/>
        <v>30.439048265482501</v>
      </c>
      <c r="AE245">
        <f t="shared" si="177"/>
        <v>-3.5573277593026653E-3</v>
      </c>
      <c r="AF245">
        <f t="shared" si="178"/>
        <v>4.6941677376299996E-3</v>
      </c>
      <c r="AG245">
        <f t="shared" si="194"/>
        <v>4016.4170611301647</v>
      </c>
      <c r="AH245">
        <f t="shared" si="195"/>
        <v>-3256.7459790462563</v>
      </c>
      <c r="AJ245">
        <f t="shared" si="179"/>
        <v>26400</v>
      </c>
      <c r="AK245">
        <f t="shared" si="180"/>
        <v>19745.889982156801</v>
      </c>
      <c r="AL245">
        <v>1</v>
      </c>
      <c r="AM245">
        <f t="shared" si="181"/>
        <v>26.458744625712004</v>
      </c>
      <c r="AN245">
        <f t="shared" si="196"/>
        <v>782.88222856929292</v>
      </c>
      <c r="AO245">
        <f t="shared" si="197"/>
        <v>-968.19097556641361</v>
      </c>
      <c r="AQ245">
        <f t="shared" si="182"/>
        <v>0.10405718983153141</v>
      </c>
      <c r="AR245">
        <f t="shared" si="183"/>
        <v>-32.257728847774736</v>
      </c>
      <c r="AT245">
        <f t="shared" si="209"/>
        <v>-104637.29164558218</v>
      </c>
      <c r="AU245">
        <f t="shared" si="210"/>
        <v>-129899.38033208784</v>
      </c>
      <c r="AV245">
        <f t="shared" si="198"/>
        <v>-2.2488975392335666</v>
      </c>
      <c r="AW245">
        <f t="shared" si="199"/>
        <v>-26356.359727650113</v>
      </c>
      <c r="AX245">
        <f t="shared" si="200"/>
        <v>-33603.628899840849</v>
      </c>
      <c r="AY245">
        <f t="shared" si="208"/>
        <v>-2.2359095586763731</v>
      </c>
      <c r="BA245">
        <f t="shared" si="184"/>
        <v>3.905751178501395</v>
      </c>
      <c r="BB245">
        <f t="shared" si="201"/>
        <v>11.83409144956479</v>
      </c>
      <c r="BC245">
        <f t="shared" si="202"/>
        <v>-1.2987980557193524E-2</v>
      </c>
      <c r="BD245">
        <f t="shared" si="185"/>
        <v>-180.74415647117547</v>
      </c>
      <c r="BF245">
        <f t="shared" si="186"/>
        <v>-17.717800823809196</v>
      </c>
      <c r="BG245">
        <f t="shared" si="187"/>
        <v>-179.09914527991069</v>
      </c>
      <c r="BH245">
        <f t="shared" si="203"/>
        <v>0.90085472008931333</v>
      </c>
      <c r="BI245">
        <f t="shared" si="204"/>
        <v>0.90085472008931333</v>
      </c>
      <c r="BJ245">
        <f t="shared" si="188"/>
        <v>0</v>
      </c>
      <c r="BK245">
        <f t="shared" si="205"/>
        <v>0</v>
      </c>
      <c r="BM245">
        <f t="shared" si="206"/>
        <v>-29.551892273373987</v>
      </c>
      <c r="BN245">
        <f t="shared" si="189"/>
        <v>-178.35498880873521</v>
      </c>
      <c r="BQ245" s="56">
        <f t="shared" si="207"/>
        <v>28.736052249849926</v>
      </c>
      <c r="BR245" s="59"/>
      <c r="BS245" s="59"/>
      <c r="BT245" s="59">
        <v>22387.210999999999</v>
      </c>
      <c r="BU245" s="59">
        <v>-3.4356</v>
      </c>
      <c r="BV245" s="59">
        <v>-168.34299999999999</v>
      </c>
      <c r="BY245" s="59"/>
      <c r="BZ245" s="59"/>
      <c r="CA245" s="59"/>
      <c r="CC245" s="59"/>
    </row>
    <row r="246" spans="1:81" x14ac:dyDescent="0.2">
      <c r="A246">
        <f t="shared" si="211"/>
        <v>160000</v>
      </c>
      <c r="B246">
        <f t="shared" si="191"/>
        <v>160</v>
      </c>
      <c r="C246">
        <f t="shared" si="159"/>
        <v>1.0001941063309308</v>
      </c>
      <c r="D246">
        <f t="shared" si="160"/>
        <v>1.9701519657496787E-2</v>
      </c>
      <c r="F246">
        <f t="shared" si="161"/>
        <v>2.082573615267101E-3</v>
      </c>
      <c r="G246">
        <f t="shared" si="162"/>
        <v>9.3228294759815679E-3</v>
      </c>
      <c r="H246">
        <f t="shared" si="163"/>
        <v>-3.1322698205240185</v>
      </c>
      <c r="J246">
        <f t="shared" si="164"/>
        <v>15</v>
      </c>
      <c r="M246">
        <f t="shared" si="165"/>
        <v>7.8171632989200417E-3</v>
      </c>
      <c r="N246">
        <f t="shared" si="166"/>
        <v>-1.5707963250000001</v>
      </c>
      <c r="O246">
        <f t="shared" si="167"/>
        <v>31.436861969027742</v>
      </c>
      <c r="P246">
        <f t="shared" si="168"/>
        <v>1.5389811691109265</v>
      </c>
      <c r="Q246">
        <f t="shared" si="169"/>
        <v>27.330553187686196</v>
      </c>
      <c r="R246">
        <f t="shared" si="170"/>
        <v>1.5341990704369295</v>
      </c>
      <c r="S246">
        <f t="shared" si="171"/>
        <v>0.79153365892888017</v>
      </c>
      <c r="T246">
        <f t="shared" si="172"/>
        <v>-0.65748182780681619</v>
      </c>
      <c r="U246">
        <f t="shared" si="173"/>
        <v>0.78763660241234801</v>
      </c>
      <c r="V246">
        <f t="shared" si="174"/>
        <v>-0.66383260189894577</v>
      </c>
      <c r="X246">
        <f t="shared" si="192"/>
        <v>-17.665840313205482</v>
      </c>
      <c r="Y246">
        <f t="shared" si="175"/>
        <v>-167.96250999772258</v>
      </c>
      <c r="Z246">
        <f t="shared" si="193"/>
        <v>12.037490002277423</v>
      </c>
      <c r="AC246">
        <v>1</v>
      </c>
      <c r="AD246">
        <f t="shared" si="176"/>
        <v>31.420953048240001</v>
      </c>
      <c r="AE246">
        <f t="shared" si="177"/>
        <v>-3.7905344698500819E-3</v>
      </c>
      <c r="AF246">
        <f t="shared" si="178"/>
        <v>4.8455925033599996E-3</v>
      </c>
      <c r="AG246">
        <f t="shared" si="194"/>
        <v>3922.6094018568429</v>
      </c>
      <c r="AH246">
        <f t="shared" si="195"/>
        <v>-3274.890766917099</v>
      </c>
      <c r="AJ246">
        <f t="shared" si="179"/>
        <v>26400</v>
      </c>
      <c r="AK246">
        <f t="shared" si="180"/>
        <v>20382.854175129603</v>
      </c>
      <c r="AL246">
        <v>1</v>
      </c>
      <c r="AM246">
        <f t="shared" si="181"/>
        <v>27.312252516864007</v>
      </c>
      <c r="AN246">
        <f t="shared" si="196"/>
        <v>780.63394761064887</v>
      </c>
      <c r="AO246">
        <f t="shared" si="197"/>
        <v>-938.01732524882823</v>
      </c>
      <c r="AQ246">
        <f t="shared" si="182"/>
        <v>9.7655296334996727E-2</v>
      </c>
      <c r="AR246">
        <f t="shared" si="183"/>
        <v>-31.249694827198955</v>
      </c>
      <c r="AT246">
        <f t="shared" si="209"/>
        <v>-101956.27347502612</v>
      </c>
      <c r="AU246">
        <f t="shared" si="210"/>
        <v>-122900.15716263581</v>
      </c>
      <c r="AV246">
        <f t="shared" si="198"/>
        <v>-2.263319096550279</v>
      </c>
      <c r="AW246">
        <f t="shared" si="199"/>
        <v>-24539.39265230043</v>
      </c>
      <c r="AX246">
        <f t="shared" si="200"/>
        <v>-32596.562140675996</v>
      </c>
      <c r="AY246">
        <f t="shared" si="208"/>
        <v>-2.2161007483626691</v>
      </c>
      <c r="BA246">
        <f t="shared" si="184"/>
        <v>3.9137744879188108</v>
      </c>
      <c r="BB246">
        <f t="shared" si="201"/>
        <v>11.851915959019994</v>
      </c>
      <c r="BC246">
        <f t="shared" si="202"/>
        <v>-4.7218348187609838E-2</v>
      </c>
      <c r="BD246">
        <f t="shared" si="185"/>
        <v>-182.70541206982062</v>
      </c>
      <c r="BF246">
        <f t="shared" si="186"/>
        <v>-18.252565799579461</v>
      </c>
      <c r="BG246">
        <f t="shared" si="187"/>
        <v>-181.04243935945789</v>
      </c>
      <c r="BH246">
        <f t="shared" si="203"/>
        <v>-1.0424393594578873</v>
      </c>
      <c r="BI246">
        <f t="shared" si="204"/>
        <v>-1.0424393594578873</v>
      </c>
      <c r="BJ246">
        <f t="shared" si="188"/>
        <v>0</v>
      </c>
      <c r="BK246">
        <f t="shared" si="205"/>
        <v>0</v>
      </c>
      <c r="BM246">
        <f t="shared" si="206"/>
        <v>-30.104481758599455</v>
      </c>
      <c r="BN246">
        <f t="shared" si="189"/>
        <v>-178.33702728963726</v>
      </c>
      <c r="BQ246" s="56">
        <f t="shared" si="207"/>
        <v>28.753876759305129</v>
      </c>
      <c r="BR246" s="59"/>
      <c r="BS246" s="59"/>
      <c r="BT246" s="59">
        <v>22908.677</v>
      </c>
      <c r="BU246" s="59">
        <v>-3.37297</v>
      </c>
      <c r="BV246" s="59">
        <v>-167.03899999999999</v>
      </c>
      <c r="BY246" s="59"/>
      <c r="BZ246" s="59"/>
      <c r="CA246" s="59"/>
      <c r="CC246" s="59"/>
    </row>
    <row r="247" spans="1:81" x14ac:dyDescent="0.2">
      <c r="A247">
        <f t="shared" si="211"/>
        <v>165000</v>
      </c>
      <c r="B247">
        <f t="shared" si="191"/>
        <v>165</v>
      </c>
      <c r="C247">
        <f t="shared" si="159"/>
        <v>1.0002064262621224</v>
      </c>
      <c r="D247">
        <f t="shared" si="160"/>
        <v>2.0317025301042197E-2</v>
      </c>
      <c r="F247">
        <f t="shared" si="161"/>
        <v>1.9580309645186966E-3</v>
      </c>
      <c r="G247">
        <f t="shared" si="162"/>
        <v>9.0392108894233429E-3</v>
      </c>
      <c r="H247">
        <f t="shared" si="163"/>
        <v>-3.1325534391105769</v>
      </c>
      <c r="J247">
        <f t="shared" si="164"/>
        <v>15</v>
      </c>
      <c r="M247">
        <f t="shared" si="165"/>
        <v>7.5802795625891321E-3</v>
      </c>
      <c r="N247">
        <f t="shared" si="166"/>
        <v>-1.5707963250000001</v>
      </c>
      <c r="O247">
        <f t="shared" si="167"/>
        <v>32.418284896271679</v>
      </c>
      <c r="P247">
        <f t="shared" si="168"/>
        <v>1.5399446435999311</v>
      </c>
      <c r="Q247">
        <f t="shared" si="169"/>
        <v>28.183506867701219</v>
      </c>
      <c r="R247">
        <f t="shared" si="170"/>
        <v>1.535307132729735</v>
      </c>
      <c r="S247">
        <f t="shared" si="171"/>
        <v>0.78231485576760962</v>
      </c>
      <c r="T247">
        <f t="shared" si="172"/>
        <v>-0.67242277790282157</v>
      </c>
      <c r="U247">
        <f t="shared" si="173"/>
        <v>0.77831470073929609</v>
      </c>
      <c r="V247">
        <f t="shared" si="174"/>
        <v>-0.67881912763124819</v>
      </c>
      <c r="X247">
        <f t="shared" si="192"/>
        <v>-18.139848908145911</v>
      </c>
      <c r="Y247">
        <f t="shared" si="175"/>
        <v>-169.53952201362227</v>
      </c>
      <c r="Z247">
        <f t="shared" si="193"/>
        <v>10.460477986377725</v>
      </c>
      <c r="AC247">
        <v>1</v>
      </c>
      <c r="AD247">
        <f t="shared" si="176"/>
        <v>32.402857830997505</v>
      </c>
      <c r="AE247">
        <f t="shared" si="177"/>
        <v>-4.031144568033925E-3</v>
      </c>
      <c r="AF247">
        <f t="shared" si="178"/>
        <v>4.9970172690899997E-3</v>
      </c>
      <c r="AG247">
        <f t="shared" si="194"/>
        <v>3830.3084765188069</v>
      </c>
      <c r="AH247">
        <f t="shared" si="195"/>
        <v>-3290.0681193777523</v>
      </c>
      <c r="AJ247">
        <f t="shared" si="179"/>
        <v>26400</v>
      </c>
      <c r="AK247">
        <f t="shared" si="180"/>
        <v>21019.818368102402</v>
      </c>
      <c r="AL247">
        <v>1</v>
      </c>
      <c r="AM247">
        <f t="shared" si="181"/>
        <v>28.165760408016006</v>
      </c>
      <c r="AN247">
        <f t="shared" si="196"/>
        <v>778.58659938527012</v>
      </c>
      <c r="AO247">
        <f t="shared" si="197"/>
        <v>-909.66524707505675</v>
      </c>
      <c r="AQ247">
        <f t="shared" si="182"/>
        <v>9.1826521335892239E-2</v>
      </c>
      <c r="AR247">
        <f t="shared" si="183"/>
        <v>-30.302752040844435</v>
      </c>
      <c r="AT247">
        <f t="shared" si="209"/>
        <v>-99346.394515949287</v>
      </c>
      <c r="AU247">
        <f t="shared" si="210"/>
        <v>-116371.0035142546</v>
      </c>
      <c r="AV247">
        <f t="shared" si="198"/>
        <v>-2.2774368438662473</v>
      </c>
      <c r="AW247">
        <f t="shared" si="199"/>
        <v>-22891.616558265927</v>
      </c>
      <c r="AX247">
        <f t="shared" si="200"/>
        <v>-31655.269834841976</v>
      </c>
      <c r="AY247">
        <f t="shared" si="208"/>
        <v>-2.1968930787838947</v>
      </c>
      <c r="BA247">
        <f t="shared" si="184"/>
        <v>3.916783061629741</v>
      </c>
      <c r="BB247">
        <f t="shared" si="201"/>
        <v>11.858590360003989</v>
      </c>
      <c r="BC247">
        <f t="shared" si="202"/>
        <v>-8.0543765082352614E-2</v>
      </c>
      <c r="BD247">
        <f t="shared" si="185"/>
        <v>-184.61481781058518</v>
      </c>
      <c r="BF247">
        <f t="shared" si="186"/>
        <v>-18.78140053813647</v>
      </c>
      <c r="BG247">
        <f t="shared" si="187"/>
        <v>-182.93282937256035</v>
      </c>
      <c r="BH247">
        <f t="shared" si="203"/>
        <v>-2.9328293725603487</v>
      </c>
      <c r="BI247">
        <f t="shared" si="204"/>
        <v>-2.9328293725603487</v>
      </c>
      <c r="BJ247">
        <f t="shared" si="188"/>
        <v>0</v>
      </c>
      <c r="BK247">
        <f t="shared" si="205"/>
        <v>0</v>
      </c>
      <c r="BM247">
        <f t="shared" si="206"/>
        <v>-30.639990898140461</v>
      </c>
      <c r="BN247">
        <f t="shared" si="189"/>
        <v>-178.31801156197517</v>
      </c>
      <c r="BQ247" s="56">
        <f t="shared" si="207"/>
        <v>28.760551160289126</v>
      </c>
      <c r="BR247" s="59"/>
      <c r="BS247" s="59"/>
      <c r="BT247" s="59">
        <v>23442.288</v>
      </c>
      <c r="BU247" s="59">
        <v>-3.29522</v>
      </c>
      <c r="BV247" s="59">
        <v>-165.876</v>
      </c>
      <c r="BY247" s="59"/>
      <c r="BZ247" s="59"/>
      <c r="CA247" s="59"/>
      <c r="CC247" s="59"/>
    </row>
    <row r="248" spans="1:81" x14ac:dyDescent="0.2">
      <c r="A248">
        <f t="shared" si="211"/>
        <v>170000</v>
      </c>
      <c r="B248">
        <f t="shared" si="191"/>
        <v>170</v>
      </c>
      <c r="C248">
        <f t="shared" si="159"/>
        <v>1.0002191251092971</v>
      </c>
      <c r="D248">
        <f t="shared" si="160"/>
        <v>2.0932515548759991E-2</v>
      </c>
      <c r="F248">
        <f t="shared" si="161"/>
        <v>1.8443414233418117E-3</v>
      </c>
      <c r="G248">
        <f t="shared" si="162"/>
        <v>8.7723695138427968E-3</v>
      </c>
      <c r="H248">
        <f t="shared" si="163"/>
        <v>-3.1328202804861576</v>
      </c>
      <c r="J248">
        <f t="shared" si="164"/>
        <v>15</v>
      </c>
      <c r="M248">
        <f t="shared" si="165"/>
        <v>7.3573301636894513E-3</v>
      </c>
      <c r="N248">
        <f t="shared" si="166"/>
        <v>-1.5707963250000001</v>
      </c>
      <c r="O248">
        <f t="shared" si="167"/>
        <v>33.399736148310723</v>
      </c>
      <c r="P248">
        <f t="shared" si="168"/>
        <v>1.5408514954939823</v>
      </c>
      <c r="Q248">
        <f t="shared" si="169"/>
        <v>29.036493118472432</v>
      </c>
      <c r="R248">
        <f t="shared" si="170"/>
        <v>1.5363500945846131</v>
      </c>
      <c r="S248">
        <f t="shared" si="171"/>
        <v>0.7731416650581372</v>
      </c>
      <c r="T248">
        <f t="shared" si="172"/>
        <v>-0.68701653669294016</v>
      </c>
      <c r="U248">
        <f t="shared" si="173"/>
        <v>0.76904418347754877</v>
      </c>
      <c r="V248">
        <f t="shared" si="174"/>
        <v>-0.69345186597860309</v>
      </c>
      <c r="X248">
        <f t="shared" si="192"/>
        <v>-18.607089020904983</v>
      </c>
      <c r="Y248">
        <f t="shared" si="175"/>
        <v>-171.08238474375798</v>
      </c>
      <c r="Z248">
        <f t="shared" si="193"/>
        <v>8.9176152562420157</v>
      </c>
      <c r="AC248">
        <v>1</v>
      </c>
      <c r="AD248">
        <f t="shared" si="176"/>
        <v>33.384762613755001</v>
      </c>
      <c r="AE248">
        <f t="shared" si="177"/>
        <v>-4.2791580538541953E-3</v>
      </c>
      <c r="AF248">
        <f t="shared" si="178"/>
        <v>5.1484420348199998E-3</v>
      </c>
      <c r="AG248">
        <f t="shared" si="194"/>
        <v>3739.6061755835472</v>
      </c>
      <c r="AH248">
        <f t="shared" si="195"/>
        <v>-3302.4293115277655</v>
      </c>
      <c r="AJ248">
        <f t="shared" si="179"/>
        <v>26400</v>
      </c>
      <c r="AK248">
        <f t="shared" si="180"/>
        <v>21656.782561075201</v>
      </c>
      <c r="AL248">
        <v>1</v>
      </c>
      <c r="AM248">
        <f t="shared" si="181"/>
        <v>29.019268299168004</v>
      </c>
      <c r="AN248">
        <f t="shared" si="196"/>
        <v>776.71694350313112</v>
      </c>
      <c r="AO248">
        <f t="shared" si="197"/>
        <v>-882.97481495188129</v>
      </c>
      <c r="AQ248">
        <f t="shared" si="182"/>
        <v>8.6504442003096857E-2</v>
      </c>
      <c r="AR248">
        <f t="shared" si="183"/>
        <v>-29.411510281052934</v>
      </c>
      <c r="AT248">
        <f t="shared" si="209"/>
        <v>-96805.941102919256</v>
      </c>
      <c r="AU248">
        <f t="shared" si="210"/>
        <v>-110273.14028511292</v>
      </c>
      <c r="AV248">
        <f t="shared" si="198"/>
        <v>-2.2912518560846831</v>
      </c>
      <c r="AW248">
        <f t="shared" si="199"/>
        <v>-21393.201782760058</v>
      </c>
      <c r="AX248">
        <f t="shared" si="200"/>
        <v>-30773.098034375067</v>
      </c>
      <c r="AY248">
        <f t="shared" si="208"/>
        <v>-2.1782879371581281</v>
      </c>
      <c r="BA248">
        <f t="shared" si="184"/>
        <v>3.9151935284795649</v>
      </c>
      <c r="BB248">
        <f t="shared" si="201"/>
        <v>11.855064683043853</v>
      </c>
      <c r="BC248">
        <f t="shared" si="202"/>
        <v>-0.112963918926555</v>
      </c>
      <c r="BD248">
        <f t="shared" si="185"/>
        <v>-186.47235579914533</v>
      </c>
      <c r="BF248">
        <f t="shared" si="186"/>
        <v>-19.304380638116726</v>
      </c>
      <c r="BG248">
        <f t="shared" si="187"/>
        <v>-184.77039125219224</v>
      </c>
      <c r="BH248">
        <f t="shared" si="203"/>
        <v>-4.7703912521922405</v>
      </c>
      <c r="BI248">
        <f t="shared" si="204"/>
        <v>-4.7703912521922405</v>
      </c>
      <c r="BJ248">
        <f t="shared" si="188"/>
        <v>0</v>
      </c>
      <c r="BK248">
        <f t="shared" si="205"/>
        <v>0</v>
      </c>
      <c r="BM248">
        <f t="shared" si="206"/>
        <v>-31.159445321160575</v>
      </c>
      <c r="BN248">
        <f t="shared" si="189"/>
        <v>-178.29803545304691</v>
      </c>
      <c r="BQ248" s="56">
        <f t="shared" si="207"/>
        <v>28.757025483328988</v>
      </c>
      <c r="BR248" s="59"/>
      <c r="BS248" s="59"/>
      <c r="BT248" s="59">
        <v>23988.329000000002</v>
      </c>
      <c r="BU248" s="59">
        <v>-3.2437399999999998</v>
      </c>
      <c r="BV248" s="59">
        <v>-164.703</v>
      </c>
      <c r="BY248" s="59"/>
      <c r="BZ248" s="59"/>
      <c r="CA248" s="59"/>
      <c r="CC248" s="59"/>
    </row>
    <row r="249" spans="1:81" x14ac:dyDescent="0.2">
      <c r="A249">
        <f t="shared" si="211"/>
        <v>175000</v>
      </c>
      <c r="B249">
        <f t="shared" si="191"/>
        <v>175</v>
      </c>
      <c r="C249">
        <f t="shared" si="159"/>
        <v>1.0002322028580224</v>
      </c>
      <c r="D249">
        <f t="shared" si="160"/>
        <v>2.1547989934915489E-2</v>
      </c>
      <c r="F249">
        <f t="shared" si="161"/>
        <v>1.7402789560872095E-3</v>
      </c>
      <c r="G249">
        <f t="shared" si="162"/>
        <v>8.5208570131806854E-3</v>
      </c>
      <c r="H249">
        <f t="shared" si="163"/>
        <v>-3.1330717929868195</v>
      </c>
      <c r="J249">
        <f t="shared" si="164"/>
        <v>15</v>
      </c>
      <c r="M249">
        <f t="shared" si="165"/>
        <v>7.1471207304411814E-3</v>
      </c>
      <c r="N249">
        <f t="shared" si="166"/>
        <v>-1.5707963250000001</v>
      </c>
      <c r="O249">
        <f t="shared" si="167"/>
        <v>34.381213299453464</v>
      </c>
      <c r="P249">
        <f t="shared" si="168"/>
        <v>1.541706572432572</v>
      </c>
      <c r="Q249">
        <f t="shared" si="169"/>
        <v>29.889509151489083</v>
      </c>
      <c r="R249">
        <f t="shared" si="170"/>
        <v>1.53733352732885</v>
      </c>
      <c r="S249">
        <f t="shared" si="171"/>
        <v>0.76402401805453335</v>
      </c>
      <c r="T249">
        <f t="shared" si="172"/>
        <v>-0.70126906411828405</v>
      </c>
      <c r="U249">
        <f t="shared" si="173"/>
        <v>0.75983493468043928</v>
      </c>
      <c r="V249">
        <f t="shared" si="174"/>
        <v>-0.70773715078234845</v>
      </c>
      <c r="X249">
        <f t="shared" si="192"/>
        <v>-19.06783342049205</v>
      </c>
      <c r="Y249">
        <f t="shared" si="175"/>
        <v>-172.59128861738347</v>
      </c>
      <c r="Z249">
        <f t="shared" si="193"/>
        <v>7.4087113826165307</v>
      </c>
      <c r="AC249">
        <v>1</v>
      </c>
      <c r="AD249">
        <f t="shared" si="176"/>
        <v>34.366667396512497</v>
      </c>
      <c r="AE249">
        <f t="shared" si="177"/>
        <v>-4.5345749273108882E-3</v>
      </c>
      <c r="AF249">
        <f t="shared" si="178"/>
        <v>5.2998668005499999E-3</v>
      </c>
      <c r="AG249">
        <f t="shared" si="194"/>
        <v>3650.5794009122433</v>
      </c>
      <c r="AH249">
        <f t="shared" si="195"/>
        <v>-3312.1258480897282</v>
      </c>
      <c r="AJ249">
        <f t="shared" si="179"/>
        <v>26400</v>
      </c>
      <c r="AK249">
        <f t="shared" si="180"/>
        <v>22293.746754047999</v>
      </c>
      <c r="AL249">
        <v>1</v>
      </c>
      <c r="AM249">
        <f t="shared" si="181"/>
        <v>29.872776190320003</v>
      </c>
      <c r="AN249">
        <f t="shared" si="196"/>
        <v>775.00500379784182</v>
      </c>
      <c r="AO249">
        <f t="shared" si="197"/>
        <v>-857.80427078303171</v>
      </c>
      <c r="AQ249">
        <f t="shared" si="182"/>
        <v>8.1631986677659779E-2</v>
      </c>
      <c r="AR249">
        <f t="shared" si="183"/>
        <v>-28.571195337180921</v>
      </c>
      <c r="AT249">
        <f t="shared" si="209"/>
        <v>-94333.390538076637</v>
      </c>
      <c r="AU249">
        <f t="shared" si="210"/>
        <v>-104571.79257045861</v>
      </c>
      <c r="AV249">
        <f t="shared" si="198"/>
        <v>-2.3047660968569268</v>
      </c>
      <c r="AW249">
        <f t="shared" si="199"/>
        <v>-20027.105275876005</v>
      </c>
      <c r="AX249">
        <f t="shared" si="200"/>
        <v>-29944.271677986137</v>
      </c>
      <c r="AY249">
        <f t="shared" si="208"/>
        <v>-2.16028308420037</v>
      </c>
      <c r="BA249">
        <f t="shared" si="184"/>
        <v>3.9094090168638846</v>
      </c>
      <c r="BB249">
        <f t="shared" si="201"/>
        <v>11.842222206159985</v>
      </c>
      <c r="BC249">
        <f t="shared" si="202"/>
        <v>-0.14448301265655683</v>
      </c>
      <c r="BD249">
        <f t="shared" si="185"/>
        <v>-188.27826684601527</v>
      </c>
      <c r="BF249">
        <f t="shared" si="186"/>
        <v>-19.8215585861468</v>
      </c>
      <c r="BG249">
        <f t="shared" si="187"/>
        <v>-186.55544881909591</v>
      </c>
      <c r="BH249">
        <f t="shared" si="203"/>
        <v>-6.5554488190959148</v>
      </c>
      <c r="BI249">
        <f t="shared" si="204"/>
        <v>-6.5554488190959148</v>
      </c>
      <c r="BJ249">
        <f t="shared" si="188"/>
        <v>0</v>
      </c>
      <c r="BK249">
        <f t="shared" si="205"/>
        <v>0</v>
      </c>
      <c r="BM249">
        <f t="shared" si="206"/>
        <v>-31.663780792306788</v>
      </c>
      <c r="BN249">
        <f t="shared" si="189"/>
        <v>-178.27718197308067</v>
      </c>
      <c r="BQ249" s="56">
        <f t="shared" si="207"/>
        <v>28.74418300644512</v>
      </c>
      <c r="BR249" s="59"/>
      <c r="BS249" s="59"/>
      <c r="BT249" s="59">
        <v>24547.089</v>
      </c>
      <c r="BU249" s="59">
        <v>-3.1709299999999998</v>
      </c>
      <c r="BV249" s="59">
        <v>-163.65100000000001</v>
      </c>
      <c r="BY249" s="59"/>
      <c r="BZ249" s="59"/>
      <c r="CA249" s="59"/>
      <c r="CC249" s="59"/>
    </row>
    <row r="250" spans="1:81" x14ac:dyDescent="0.2">
      <c r="A250">
        <f t="shared" si="211"/>
        <v>180000</v>
      </c>
      <c r="B250">
        <f t="shared" si="191"/>
        <v>180</v>
      </c>
      <c r="C250">
        <f t="shared" si="159"/>
        <v>1.0002456594934368</v>
      </c>
      <c r="D250">
        <f t="shared" si="160"/>
        <v>2.2163447993846067E-2</v>
      </c>
      <c r="F250">
        <f t="shared" si="161"/>
        <v>1.6447859745929243E-3</v>
      </c>
      <c r="G250">
        <f t="shared" si="162"/>
        <v>8.2833873519868439E-3</v>
      </c>
      <c r="H250">
        <f t="shared" si="163"/>
        <v>-3.1333092626480132</v>
      </c>
      <c r="J250">
        <f t="shared" si="164"/>
        <v>15</v>
      </c>
      <c r="M250">
        <f t="shared" si="165"/>
        <v>6.948589599040037E-3</v>
      </c>
      <c r="N250">
        <f t="shared" si="166"/>
        <v>-1.5707963250000001</v>
      </c>
      <c r="O250">
        <f t="shared" si="167"/>
        <v>35.362714193244017</v>
      </c>
      <c r="P250">
        <f t="shared" si="168"/>
        <v>1.5425141841900771</v>
      </c>
      <c r="Q250">
        <f t="shared" si="169"/>
        <v>30.742552487640314</v>
      </c>
      <c r="R250">
        <f t="shared" si="170"/>
        <v>1.5382623844114003</v>
      </c>
      <c r="S250">
        <f t="shared" si="171"/>
        <v>0.75497089025513664</v>
      </c>
      <c r="T250">
        <f t="shared" si="172"/>
        <v>-0.71518659939179319</v>
      </c>
      <c r="U250">
        <f t="shared" si="173"/>
        <v>0.75069585460102217</v>
      </c>
      <c r="V250">
        <f t="shared" si="174"/>
        <v>-0.72168158611705169</v>
      </c>
      <c r="X250">
        <f t="shared" si="192"/>
        <v>-19.522325420049246</v>
      </c>
      <c r="Y250">
        <f t="shared" si="175"/>
        <v>-174.0665124681509</v>
      </c>
      <c r="Z250">
        <f t="shared" si="193"/>
        <v>5.9334875318490958</v>
      </c>
      <c r="AC250">
        <v>1</v>
      </c>
      <c r="AD250">
        <f t="shared" si="176"/>
        <v>35.348572179270001</v>
      </c>
      <c r="AE250">
        <f t="shared" si="177"/>
        <v>-4.7973951884040106E-3</v>
      </c>
      <c r="AF250">
        <f t="shared" si="178"/>
        <v>5.4512915662799999E-3</v>
      </c>
      <c r="AG250">
        <f t="shared" si="194"/>
        <v>3563.2912387836682</v>
      </c>
      <c r="AH250">
        <f t="shared" si="195"/>
        <v>-3319.3080986073105</v>
      </c>
      <c r="AJ250">
        <f t="shared" si="179"/>
        <v>26400</v>
      </c>
      <c r="AK250">
        <f t="shared" si="180"/>
        <v>22930.710947020802</v>
      </c>
      <c r="AL250">
        <v>1</v>
      </c>
      <c r="AM250">
        <f t="shared" si="181"/>
        <v>30.726284081472006</v>
      </c>
      <c r="AN250">
        <f t="shared" si="196"/>
        <v>773.43353340589829</v>
      </c>
      <c r="AO250">
        <f t="shared" si="197"/>
        <v>-834.02751854549706</v>
      </c>
      <c r="AQ250">
        <f t="shared" si="182"/>
        <v>7.7159898457573636E-2</v>
      </c>
      <c r="AR250">
        <f t="shared" si="183"/>
        <v>-27.777563444726507</v>
      </c>
      <c r="AT250">
        <f t="shared" si="209"/>
        <v>-91927.34811149977</v>
      </c>
      <c r="AU250">
        <f t="shared" si="210"/>
        <v>-99235.66593318939</v>
      </c>
      <c r="AV250">
        <f t="shared" si="198"/>
        <v>-2.3179822848834473</v>
      </c>
      <c r="AW250">
        <f t="shared" si="199"/>
        <v>-18778.615338081192</v>
      </c>
      <c r="AX250">
        <f t="shared" si="200"/>
        <v>-29163.755103322386</v>
      </c>
      <c r="AY250">
        <f t="shared" si="208"/>
        <v>-2.1428731425795315</v>
      </c>
      <c r="BA250">
        <f t="shared" si="184"/>
        <v>3.899816273077664</v>
      </c>
      <c r="BB250">
        <f t="shared" si="201"/>
        <v>11.820882943257798</v>
      </c>
      <c r="BC250">
        <f t="shared" si="202"/>
        <v>-0.17510914230391572</v>
      </c>
      <c r="BD250">
        <f t="shared" si="185"/>
        <v>-190.0330148196345</v>
      </c>
      <c r="BF250">
        <f t="shared" si="186"/>
        <v>-20.332970486063637</v>
      </c>
      <c r="BG250">
        <f t="shared" si="187"/>
        <v>-188.28853965279518</v>
      </c>
      <c r="BH250">
        <f t="shared" si="203"/>
        <v>-8.2885396527951798</v>
      </c>
      <c r="BI250">
        <f t="shared" si="204"/>
        <v>-8.2885396527951798</v>
      </c>
      <c r="BJ250">
        <f t="shared" si="188"/>
        <v>0</v>
      </c>
      <c r="BK250">
        <f t="shared" si="205"/>
        <v>0</v>
      </c>
      <c r="BM250">
        <f t="shared" si="206"/>
        <v>-32.153853429321437</v>
      </c>
      <c r="BN250">
        <f t="shared" si="189"/>
        <v>-178.25552483316068</v>
      </c>
      <c r="BQ250" s="56">
        <f t="shared" si="207"/>
        <v>28.722843743542935</v>
      </c>
      <c r="BR250" s="59"/>
      <c r="BS250" s="59"/>
      <c r="BT250" s="59">
        <v>25118.864000000001</v>
      </c>
      <c r="BU250" s="59">
        <v>-3.1069800000000001</v>
      </c>
      <c r="BV250" s="59">
        <v>-162.52199999999999</v>
      </c>
      <c r="BY250" s="59"/>
      <c r="BZ250" s="59"/>
      <c r="CA250" s="59"/>
      <c r="CC250" s="59"/>
    </row>
    <row r="251" spans="1:81" x14ac:dyDescent="0.2">
      <c r="A251">
        <f t="shared" si="211"/>
        <v>185000</v>
      </c>
      <c r="B251">
        <f t="shared" si="191"/>
        <v>185</v>
      </c>
      <c r="C251">
        <f t="shared" si="159"/>
        <v>1.0002594950002486</v>
      </c>
      <c r="D251">
        <f t="shared" si="160"/>
        <v>2.2778889259963304E-2</v>
      </c>
      <c r="F251">
        <f t="shared" si="161"/>
        <v>1.5569462972909807E-3</v>
      </c>
      <c r="G251">
        <f t="shared" si="162"/>
        <v>8.0588146482446742E-3</v>
      </c>
      <c r="H251">
        <f t="shared" si="163"/>
        <v>-3.1335338353517557</v>
      </c>
      <c r="J251">
        <f t="shared" si="164"/>
        <v>15</v>
      </c>
      <c r="M251">
        <f t="shared" si="165"/>
        <v>6.7607898801470634E-3</v>
      </c>
      <c r="N251">
        <f t="shared" si="166"/>
        <v>-1.5707963250000001</v>
      </c>
      <c r="O251">
        <f t="shared" si="167"/>
        <v>36.34423690612325</v>
      </c>
      <c r="P251">
        <f t="shared" si="168"/>
        <v>1.5432781752418743</v>
      </c>
      <c r="Q251">
        <f t="shared" si="169"/>
        <v>31.59562091547193</v>
      </c>
      <c r="R251">
        <f t="shared" si="170"/>
        <v>1.5391410847200311</v>
      </c>
      <c r="S251">
        <f t="shared" si="171"/>
        <v>0.74599035130768698</v>
      </c>
      <c r="T251">
        <f t="shared" si="172"/>
        <v>-0.72877561118426715</v>
      </c>
      <c r="U251">
        <f t="shared" si="173"/>
        <v>0.741634913608193</v>
      </c>
      <c r="V251">
        <f t="shared" si="174"/>
        <v>-0.73529199511294185</v>
      </c>
      <c r="X251">
        <f t="shared" si="192"/>
        <v>-19.970783208895448</v>
      </c>
      <c r="Y251">
        <f t="shared" si="175"/>
        <v>-175.5084100852086</v>
      </c>
      <c r="Z251">
        <f t="shared" si="193"/>
        <v>4.4915899147914047</v>
      </c>
      <c r="AC251">
        <v>1</v>
      </c>
      <c r="AD251">
        <f t="shared" si="176"/>
        <v>36.330476962027497</v>
      </c>
      <c r="AE251">
        <f t="shared" si="177"/>
        <v>-5.0676188371335572E-3</v>
      </c>
      <c r="AF251">
        <f t="shared" si="178"/>
        <v>5.60271633201E-3</v>
      </c>
      <c r="AG251">
        <f t="shared" si="194"/>
        <v>3477.7921118404029</v>
      </c>
      <c r="AH251">
        <f t="shared" si="195"/>
        <v>-3324.1241772658927</v>
      </c>
      <c r="AJ251">
        <f t="shared" si="179"/>
        <v>26400</v>
      </c>
      <c r="AK251">
        <f t="shared" si="180"/>
        <v>23567.6751399936</v>
      </c>
      <c r="AL251">
        <v>1</v>
      </c>
      <c r="AM251">
        <f t="shared" si="181"/>
        <v>31.579791972624005</v>
      </c>
      <c r="AN251">
        <f t="shared" si="196"/>
        <v>771.98757935797198</v>
      </c>
      <c r="AO251">
        <f t="shared" si="197"/>
        <v>-811.5320215807161</v>
      </c>
      <c r="AQ251">
        <f t="shared" si="182"/>
        <v>7.3045485423773385E-2</v>
      </c>
      <c r="AR251">
        <f t="shared" si="183"/>
        <v>-27.026829606796152</v>
      </c>
      <c r="AT251">
        <f t="shared" si="209"/>
        <v>-89586.50071778438</v>
      </c>
      <c r="AU251">
        <f t="shared" si="210"/>
        <v>-94236.507078707611</v>
      </c>
      <c r="AV251">
        <f t="shared" si="198"/>
        <v>-2.3309037773388517</v>
      </c>
      <c r="AW251">
        <f t="shared" si="199"/>
        <v>-17634.980831317131</v>
      </c>
      <c r="AX251">
        <f t="shared" si="200"/>
        <v>-28427.138115328416</v>
      </c>
      <c r="AY251">
        <f t="shared" si="208"/>
        <v>-2.1260500568372032</v>
      </c>
      <c r="BA251">
        <f t="shared" si="184"/>
        <v>3.8867835081301156</v>
      </c>
      <c r="BB251">
        <f t="shared" si="201"/>
        <v>11.791807026451487</v>
      </c>
      <c r="BC251">
        <f t="shared" si="202"/>
        <v>-0.20485372050164852</v>
      </c>
      <c r="BD251">
        <f t="shared" si="185"/>
        <v>-191.73725361570882</v>
      </c>
      <c r="BF251">
        <f t="shared" si="186"/>
        <v>-20.838641479956554</v>
      </c>
      <c r="BG251">
        <f t="shared" si="187"/>
        <v>-189.97038332987546</v>
      </c>
      <c r="BH251">
        <f t="shared" si="203"/>
        <v>-9.9703833298754603</v>
      </c>
      <c r="BI251">
        <f t="shared" si="204"/>
        <v>-9.9703833298754603</v>
      </c>
      <c r="BJ251">
        <f t="shared" si="188"/>
        <v>0</v>
      </c>
      <c r="BK251">
        <f t="shared" si="205"/>
        <v>0</v>
      </c>
      <c r="BM251">
        <f t="shared" si="206"/>
        <v>-32.630448506408037</v>
      </c>
      <c r="BN251">
        <f t="shared" si="189"/>
        <v>-178.23312971416667</v>
      </c>
      <c r="BQ251" s="56">
        <f t="shared" si="207"/>
        <v>28.693767826736622</v>
      </c>
      <c r="BR251" s="59"/>
      <c r="BS251" s="59"/>
      <c r="BT251" s="59">
        <v>25703.957999999999</v>
      </c>
      <c r="BU251" s="59">
        <v>-3.0172699999999999</v>
      </c>
      <c r="BV251" s="59">
        <v>-161.32599999999999</v>
      </c>
      <c r="BY251" s="59"/>
      <c r="BZ251" s="59"/>
      <c r="CA251" s="59"/>
      <c r="CC251" s="59"/>
    </row>
    <row r="252" spans="1:81" x14ac:dyDescent="0.2">
      <c r="A252">
        <f t="shared" si="211"/>
        <v>190000</v>
      </c>
      <c r="B252">
        <f t="shared" si="191"/>
        <v>190</v>
      </c>
      <c r="C252">
        <f t="shared" si="159"/>
        <v>1.0002737093627361</v>
      </c>
      <c r="D252">
        <f t="shared" si="160"/>
        <v>2.3394313267755047E-2</v>
      </c>
      <c r="F252">
        <f t="shared" si="161"/>
        <v>1.4759630427057437E-3</v>
      </c>
      <c r="G252">
        <f t="shared" si="162"/>
        <v>7.8461145612571878E-3</v>
      </c>
      <c r="H252">
        <f t="shared" si="163"/>
        <v>-3.133746535438743</v>
      </c>
      <c r="J252">
        <f t="shared" si="164"/>
        <v>15</v>
      </c>
      <c r="M252">
        <f t="shared" si="165"/>
        <v>6.5828743569852988E-3</v>
      </c>
      <c r="N252">
        <f t="shared" si="166"/>
        <v>-1.5707963250000001</v>
      </c>
      <c r="O252">
        <f t="shared" si="167"/>
        <v>37.325779716819923</v>
      </c>
      <c r="P252">
        <f t="shared" si="168"/>
        <v>1.5440019858935656</v>
      </c>
      <c r="Q252">
        <f t="shared" si="169"/>
        <v>32.448712456022228</v>
      </c>
      <c r="R252">
        <f t="shared" si="170"/>
        <v>1.5399735827749121</v>
      </c>
      <c r="S252">
        <f t="shared" si="171"/>
        <v>0.73708961600725043</v>
      </c>
      <c r="T252">
        <f t="shared" si="172"/>
        <v>-0.74204275192123337</v>
      </c>
      <c r="U252">
        <f t="shared" si="173"/>
        <v>0.73265920690686048</v>
      </c>
      <c r="V252">
        <f t="shared" si="174"/>
        <v>-0.74857537317101042</v>
      </c>
      <c r="X252">
        <f t="shared" si="192"/>
        <v>-20.413403508246205</v>
      </c>
      <c r="Y252">
        <f t="shared" si="175"/>
        <v>-176.91739845617974</v>
      </c>
      <c r="Z252">
        <f t="shared" si="193"/>
        <v>3.0826015438202603</v>
      </c>
      <c r="AC252">
        <v>1</v>
      </c>
      <c r="AD252">
        <f t="shared" si="176"/>
        <v>37.312381744785</v>
      </c>
      <c r="AE252">
        <f t="shared" si="177"/>
        <v>-5.3452458734995307E-3</v>
      </c>
      <c r="AF252">
        <f t="shared" si="178"/>
        <v>5.7541410977400001E-3</v>
      </c>
      <c r="AG252">
        <f t="shared" si="194"/>
        <v>3394.1208977030151</v>
      </c>
      <c r="AH252">
        <f t="shared" si="195"/>
        <v>-3326.7190354654235</v>
      </c>
      <c r="AJ252">
        <f t="shared" si="179"/>
        <v>26400</v>
      </c>
      <c r="AK252">
        <f t="shared" si="180"/>
        <v>24204.639332966402</v>
      </c>
      <c r="AL252">
        <v>1</v>
      </c>
      <c r="AM252">
        <f t="shared" si="181"/>
        <v>32.433299863776007</v>
      </c>
      <c r="AN252">
        <f t="shared" si="196"/>
        <v>770.65412608052213</v>
      </c>
      <c r="AO252">
        <f t="shared" si="197"/>
        <v>-790.21702945941365</v>
      </c>
      <c r="AQ252">
        <f t="shared" si="182"/>
        <v>6.92515979806234E-2</v>
      </c>
      <c r="AR252">
        <f t="shared" si="183"/>
        <v>-26.315607232636893</v>
      </c>
      <c r="AT252">
        <f t="shared" si="209"/>
        <v>-87309.583214739367</v>
      </c>
      <c r="AU252">
        <f t="shared" si="210"/>
        <v>-89548.733053276024</v>
      </c>
      <c r="AV252">
        <f t="shared" si="198"/>
        <v>-2.343534467994588</v>
      </c>
      <c r="AW252">
        <f t="shared" si="199"/>
        <v>-16585.107397177897</v>
      </c>
      <c r="AX252">
        <f t="shared" si="200"/>
        <v>-27730.542328863103</v>
      </c>
      <c r="AY252">
        <f t="shared" si="208"/>
        <v>-2.1098035209213784</v>
      </c>
      <c r="BA252">
        <f t="shared" si="184"/>
        <v>3.8706588972370803</v>
      </c>
      <c r="BB252">
        <f t="shared" si="201"/>
        <v>11.755698013953884</v>
      </c>
      <c r="BC252">
        <f t="shared" si="202"/>
        <v>-0.23373094707320963</v>
      </c>
      <c r="BD252">
        <f t="shared" si="185"/>
        <v>-193.39179682419288</v>
      </c>
      <c r="BF252">
        <f t="shared" si="186"/>
        <v>-21.338590058300738</v>
      </c>
      <c r="BG252">
        <f t="shared" si="187"/>
        <v>-191.60185215736212</v>
      </c>
      <c r="BH252">
        <f t="shared" si="203"/>
        <v>-11.601852157362117</v>
      </c>
      <c r="BI252">
        <f t="shared" si="204"/>
        <v>-11.601852157362117</v>
      </c>
      <c r="BJ252">
        <f t="shared" si="188"/>
        <v>0</v>
      </c>
      <c r="BK252">
        <f t="shared" si="205"/>
        <v>0</v>
      </c>
      <c r="BM252">
        <f t="shared" si="206"/>
        <v>-33.094288072254621</v>
      </c>
      <c r="BN252">
        <f t="shared" si="189"/>
        <v>-178.21005533316927</v>
      </c>
      <c r="BQ252" s="56">
        <f t="shared" si="207"/>
        <v>28.657658814239021</v>
      </c>
      <c r="BR252" s="59"/>
      <c r="BS252" s="59"/>
      <c r="BT252" s="59">
        <v>26302.68</v>
      </c>
      <c r="BU252" s="59">
        <v>-2.9494799999999999</v>
      </c>
      <c r="BV252" s="59">
        <v>-160.22999999999999</v>
      </c>
      <c r="BY252" s="59"/>
      <c r="BZ252" s="59"/>
      <c r="CA252" s="59"/>
      <c r="CC252" s="59"/>
    </row>
    <row r="253" spans="1:81" x14ac:dyDescent="0.2">
      <c r="A253">
        <f t="shared" si="211"/>
        <v>195000</v>
      </c>
      <c r="B253">
        <f t="shared" si="191"/>
        <v>195</v>
      </c>
      <c r="C253">
        <f t="shared" si="159"/>
        <v>1.0002883025647489</v>
      </c>
      <c r="D253">
        <f t="shared" si="160"/>
        <v>2.4009719551787559E-2</v>
      </c>
      <c r="F253">
        <f t="shared" si="161"/>
        <v>1.4011404540497378E-3</v>
      </c>
      <c r="G253">
        <f t="shared" si="162"/>
        <v>7.644368572540805E-3</v>
      </c>
      <c r="H253">
        <f t="shared" si="163"/>
        <v>-3.1339482814274593</v>
      </c>
      <c r="J253">
        <f t="shared" si="164"/>
        <v>15</v>
      </c>
      <c r="M253">
        <f t="shared" si="165"/>
        <v>6.414082706806188E-3</v>
      </c>
      <c r="N253">
        <f t="shared" si="166"/>
        <v>-1.5707963250000001</v>
      </c>
      <c r="O253">
        <f t="shared" si="167"/>
        <v>38.307341080444665</v>
      </c>
      <c r="P253">
        <f t="shared" si="168"/>
        <v>1.5446887040219686</v>
      </c>
      <c r="Q253">
        <f t="shared" si="169"/>
        <v>33.301825333058467</v>
      </c>
      <c r="R253">
        <f t="shared" si="170"/>
        <v>1.540763428147905</v>
      </c>
      <c r="S253">
        <f t="shared" si="171"/>
        <v>0.72827509566003501</v>
      </c>
      <c r="T253">
        <f t="shared" si="172"/>
        <v>-0.75499481607197738</v>
      </c>
      <c r="U253">
        <f t="shared" si="173"/>
        <v>0.72377500932486205</v>
      </c>
      <c r="V253">
        <f t="shared" si="174"/>
        <v>-0.76153884542267802</v>
      </c>
      <c r="X253">
        <f t="shared" si="192"/>
        <v>-20.850364661574986</v>
      </c>
      <c r="Y253">
        <f t="shared" si="175"/>
        <v>-178.29394747154171</v>
      </c>
      <c r="Z253">
        <f t="shared" si="193"/>
        <v>1.7060525284582866</v>
      </c>
      <c r="AC253">
        <v>1</v>
      </c>
      <c r="AD253">
        <f t="shared" si="176"/>
        <v>38.294286527542496</v>
      </c>
      <c r="AE253">
        <f t="shared" si="177"/>
        <v>-5.6302762975019285E-3</v>
      </c>
      <c r="AF253">
        <f t="shared" si="178"/>
        <v>5.9055658634700001E-3</v>
      </c>
      <c r="AG253">
        <f t="shared" si="194"/>
        <v>3312.3060047305703</v>
      </c>
      <c r="AH253">
        <f t="shared" si="195"/>
        <v>-3327.2337389464551</v>
      </c>
      <c r="AJ253">
        <f t="shared" si="179"/>
        <v>26400</v>
      </c>
      <c r="AK253">
        <f t="shared" si="180"/>
        <v>24841.603525939205</v>
      </c>
      <c r="AL253">
        <v>1</v>
      </c>
      <c r="AM253">
        <f t="shared" si="181"/>
        <v>33.286807754928006</v>
      </c>
      <c r="AN253">
        <f t="shared" si="196"/>
        <v>769.42180188161149</v>
      </c>
      <c r="AO253">
        <f t="shared" si="197"/>
        <v>-769.99207574429727</v>
      </c>
      <c r="AQ253">
        <f t="shared" si="182"/>
        <v>6.5745787338676268E-2</v>
      </c>
      <c r="AR253">
        <f t="shared" si="183"/>
        <v>-25.640857062083747</v>
      </c>
      <c r="AT253">
        <f t="shared" si="209"/>
        <v>-85095.354546280883</v>
      </c>
      <c r="AU253">
        <f t="shared" si="210"/>
        <v>-85149.116415005075</v>
      </c>
      <c r="AV253">
        <f t="shared" si="198"/>
        <v>-2.3558786980457129</v>
      </c>
      <c r="AW253">
        <f t="shared" si="199"/>
        <v>-15619.307178445984</v>
      </c>
      <c r="AX253">
        <f t="shared" si="200"/>
        <v>-27070.543714192587</v>
      </c>
      <c r="AY253">
        <f t="shared" si="208"/>
        <v>-2.0941213708299724</v>
      </c>
      <c r="BA253">
        <f t="shared" si="184"/>
        <v>3.8517696497962963</v>
      </c>
      <c r="BB253">
        <f t="shared" si="201"/>
        <v>11.713206135957044</v>
      </c>
      <c r="BC253">
        <f t="shared" si="202"/>
        <v>-0.26175732721574052</v>
      </c>
      <c r="BD253">
        <f t="shared" si="185"/>
        <v>-194.99759012322406</v>
      </c>
      <c r="BF253">
        <f t="shared" si="186"/>
        <v>-21.832831433515743</v>
      </c>
      <c r="BG253">
        <f t="shared" si="187"/>
        <v>-193.18394446729246</v>
      </c>
      <c r="BH253">
        <f t="shared" si="203"/>
        <v>-13.183944467292463</v>
      </c>
      <c r="BI253">
        <f t="shared" si="204"/>
        <v>-13.183944467292463</v>
      </c>
      <c r="BJ253">
        <f t="shared" si="188"/>
        <v>0</v>
      </c>
      <c r="BK253">
        <f t="shared" si="205"/>
        <v>0</v>
      </c>
      <c r="BM253">
        <f t="shared" si="206"/>
        <v>-33.546037569472787</v>
      </c>
      <c r="BN253">
        <f t="shared" si="189"/>
        <v>-178.18635434406841</v>
      </c>
      <c r="BQ253" s="56">
        <f t="shared" si="207"/>
        <v>28.615166936242179</v>
      </c>
      <c r="BR253" s="59"/>
      <c r="BS253" s="59"/>
      <c r="BT253" s="59">
        <v>26915.348000000002</v>
      </c>
      <c r="BU253" s="59">
        <v>-2.8411300000000002</v>
      </c>
      <c r="BV253" s="59">
        <v>-159.27600000000001</v>
      </c>
      <c r="BY253" s="59"/>
      <c r="BZ253" s="59"/>
      <c r="CA253" s="59"/>
      <c r="CC253" s="59"/>
    </row>
    <row r="254" spans="1:81" x14ac:dyDescent="0.2">
      <c r="A254">
        <f t="shared" si="211"/>
        <v>200000</v>
      </c>
      <c r="B254">
        <f t="shared" si="191"/>
        <v>200</v>
      </c>
      <c r="C254">
        <f t="shared" si="159"/>
        <v>1.0003032745897062</v>
      </c>
      <c r="D254">
        <f t="shared" si="160"/>
        <v>2.4625107646707604E-2</v>
      </c>
      <c r="F254">
        <f t="shared" si="161"/>
        <v>1.3318688755118459E-3</v>
      </c>
      <c r="G254">
        <f t="shared" si="162"/>
        <v>7.4527506477276087E-3</v>
      </c>
      <c r="H254">
        <f t="shared" si="163"/>
        <v>-3.1341398993522724</v>
      </c>
      <c r="J254">
        <f t="shared" si="164"/>
        <v>15</v>
      </c>
      <c r="M254">
        <f t="shared" si="165"/>
        <v>6.253730639136033E-3</v>
      </c>
      <c r="N254">
        <f t="shared" si="166"/>
        <v>-1.5707963250000001</v>
      </c>
      <c r="O254">
        <f t="shared" si="167"/>
        <v>39.2889196064652</v>
      </c>
      <c r="P254">
        <f t="shared" si="168"/>
        <v>1.5453411090676852</v>
      </c>
      <c r="Q254">
        <f t="shared" si="169"/>
        <v>34.154957947770555</v>
      </c>
      <c r="R254">
        <f t="shared" si="170"/>
        <v>1.5415138159883046</v>
      </c>
      <c r="S254">
        <f t="shared" si="171"/>
        <v>0.71955244919977646</v>
      </c>
      <c r="T254">
        <f t="shared" si="172"/>
        <v>-0.76763870227914799</v>
      </c>
      <c r="U254">
        <f t="shared" si="173"/>
        <v>0.71498782955066009</v>
      </c>
      <c r="V254">
        <f t="shared" si="174"/>
        <v>-0.77418962825387616</v>
      </c>
      <c r="X254">
        <f t="shared" si="192"/>
        <v>-21.281829250901666</v>
      </c>
      <c r="Y254">
        <f t="shared" si="175"/>
        <v>-179.63857089902086</v>
      </c>
      <c r="Z254">
        <f t="shared" si="193"/>
        <v>0.36142910097913727</v>
      </c>
      <c r="AC254">
        <v>1</v>
      </c>
      <c r="AD254">
        <f t="shared" si="176"/>
        <v>39.2761913103</v>
      </c>
      <c r="AE254">
        <f t="shared" si="177"/>
        <v>-5.9227101091407532E-3</v>
      </c>
      <c r="AF254">
        <f t="shared" si="178"/>
        <v>6.0569906292000002E-3</v>
      </c>
      <c r="AG254">
        <f t="shared" si="194"/>
        <v>3232.3663978143763</v>
      </c>
      <c r="AH254">
        <f t="shared" si="195"/>
        <v>-3325.8049044468689</v>
      </c>
      <c r="AJ254">
        <f t="shared" si="179"/>
        <v>26400</v>
      </c>
      <c r="AK254">
        <f t="shared" si="180"/>
        <v>25478.567718912</v>
      </c>
      <c r="AL254">
        <v>1</v>
      </c>
      <c r="AM254">
        <f t="shared" si="181"/>
        <v>34.140315646080005</v>
      </c>
      <c r="AN254">
        <f t="shared" si="196"/>
        <v>768.28063602072632</v>
      </c>
      <c r="AO254">
        <f t="shared" si="197"/>
        <v>-750.77569960669985</v>
      </c>
      <c r="AQ254">
        <f t="shared" si="182"/>
        <v>6.2499609377441388E-2</v>
      </c>
      <c r="AR254">
        <f t="shared" si="183"/>
        <v>-24.999843750976556</v>
      </c>
      <c r="AT254">
        <f t="shared" si="209"/>
        <v>-82942.581320175072</v>
      </c>
      <c r="AU254">
        <f t="shared" si="210"/>
        <v>-81016.516398659849</v>
      </c>
      <c r="AV254">
        <f t="shared" si="198"/>
        <v>-2.3679411779842976</v>
      </c>
      <c r="AW254">
        <f t="shared" si="199"/>
        <v>-14729.091528673103</v>
      </c>
      <c r="AX254">
        <f t="shared" si="200"/>
        <v>-26444.108181286589</v>
      </c>
      <c r="AY254">
        <f t="shared" si="208"/>
        <v>-2.0789899410982913</v>
      </c>
      <c r="BA254">
        <f t="shared" si="184"/>
        <v>3.8304215662383525</v>
      </c>
      <c r="BB254">
        <f t="shared" si="201"/>
        <v>11.664931478410757</v>
      </c>
      <c r="BC254">
        <f t="shared" si="202"/>
        <v>-0.28895123688600632</v>
      </c>
      <c r="BD254">
        <f t="shared" si="185"/>
        <v>-196.55568637757068</v>
      </c>
      <c r="BF254">
        <f t="shared" si="186"/>
        <v>-22.321380130306153</v>
      </c>
      <c r="BG254">
        <f t="shared" si="187"/>
        <v>-194.71776047938067</v>
      </c>
      <c r="BH254">
        <f t="shared" si="203"/>
        <v>-14.717760479380672</v>
      </c>
      <c r="BI254">
        <f t="shared" si="204"/>
        <v>-14.717760479380672</v>
      </c>
      <c r="BJ254">
        <f t="shared" si="188"/>
        <v>0</v>
      </c>
      <c r="BK254">
        <f t="shared" si="205"/>
        <v>0</v>
      </c>
      <c r="BM254">
        <f t="shared" si="206"/>
        <v>-33.98631160871691</v>
      </c>
      <c r="BN254">
        <f t="shared" si="189"/>
        <v>-178.16207410181002</v>
      </c>
      <c r="BQ254" s="56">
        <f t="shared" si="207"/>
        <v>28.566892278695892</v>
      </c>
      <c r="BR254" s="59"/>
      <c r="BS254" s="59"/>
      <c r="BT254" s="59">
        <v>27542.287</v>
      </c>
      <c r="BU254" s="59">
        <v>-2.7366600000000001</v>
      </c>
      <c r="BV254" s="59">
        <v>-158.108</v>
      </c>
      <c r="BY254" s="59"/>
      <c r="BZ254" s="59"/>
      <c r="CA254" s="59"/>
      <c r="CC254" s="59"/>
    </row>
    <row r="255" spans="1:81" x14ac:dyDescent="0.2">
      <c r="A255">
        <f t="shared" si="211"/>
        <v>205000</v>
      </c>
      <c r="B255">
        <f t="shared" si="191"/>
        <v>205</v>
      </c>
      <c r="C255">
        <f t="shared" si="159"/>
        <v>1.0003186254205985</v>
      </c>
      <c r="D255">
        <f t="shared" si="160"/>
        <v>2.5240477087244556E-2</v>
      </c>
      <c r="F255">
        <f t="shared" si="161"/>
        <v>1.2676122705333754E-3</v>
      </c>
      <c r="G255">
        <f t="shared" si="162"/>
        <v>7.2705158685947976E-3</v>
      </c>
      <c r="H255">
        <f t="shared" si="163"/>
        <v>-3.1343221341314056</v>
      </c>
      <c r="J255">
        <f t="shared" si="164"/>
        <v>15</v>
      </c>
      <c r="M255">
        <f t="shared" si="165"/>
        <v>6.1012006235473502E-3</v>
      </c>
      <c r="N255">
        <f t="shared" si="166"/>
        <v>-1.5707963250000001</v>
      </c>
      <c r="O255">
        <f t="shared" si="167"/>
        <v>40.270514039900853</v>
      </c>
      <c r="P255">
        <f t="shared" si="168"/>
        <v>1.5459617095997635</v>
      </c>
      <c r="Q255">
        <f t="shared" si="169"/>
        <v>35.008108857162405</v>
      </c>
      <c r="R255">
        <f t="shared" si="170"/>
        <v>1.5422276301698123</v>
      </c>
      <c r="S255">
        <f t="shared" si="171"/>
        <v>0.71092663354769914</v>
      </c>
      <c r="T255">
        <f t="shared" si="172"/>
        <v>-0.77998137915270271</v>
      </c>
      <c r="U255">
        <f t="shared" si="173"/>
        <v>0.70630246331646307</v>
      </c>
      <c r="V255">
        <f t="shared" si="174"/>
        <v>-0.78653499469002708</v>
      </c>
      <c r="X255">
        <f t="shared" si="192"/>
        <v>-21.707946314481731</v>
      </c>
      <c r="Y255">
        <f t="shared" si="175"/>
        <v>-180.95181846733587</v>
      </c>
      <c r="Z255">
        <f t="shared" si="193"/>
        <v>-0.95181846733586895</v>
      </c>
      <c r="AC255">
        <v>1</v>
      </c>
      <c r="AD255">
        <f t="shared" si="176"/>
        <v>40.258096093057496</v>
      </c>
      <c r="AE255">
        <f t="shared" si="177"/>
        <v>-6.2225473084160047E-3</v>
      </c>
      <c r="AF255">
        <f t="shared" si="178"/>
        <v>6.2084153949300003E-3</v>
      </c>
      <c r="AG255">
        <f t="shared" si="194"/>
        <v>3154.3125691814712</v>
      </c>
      <c r="AH255">
        <f t="shared" si="195"/>
        <v>-3322.5642736644741</v>
      </c>
      <c r="AJ255">
        <f t="shared" si="179"/>
        <v>26400</v>
      </c>
      <c r="AK255">
        <f t="shared" si="180"/>
        <v>26115.531911884802</v>
      </c>
      <c r="AL255">
        <v>1</v>
      </c>
      <c r="AM255">
        <f t="shared" si="181"/>
        <v>34.993823537232004</v>
      </c>
      <c r="AN255">
        <f t="shared" si="196"/>
        <v>767.22185664208905</v>
      </c>
      <c r="AO255">
        <f t="shared" si="197"/>
        <v>-732.49435335597661</v>
      </c>
      <c r="AQ255">
        <f t="shared" si="182"/>
        <v>5.9488045877180984E-2</v>
      </c>
      <c r="AR255">
        <f t="shared" si="183"/>
        <v>-24.390098809644201</v>
      </c>
      <c r="AT255">
        <f t="shared" si="209"/>
        <v>-80850.027045243798</v>
      </c>
      <c r="AU255">
        <f t="shared" si="210"/>
        <v>-77131.648094780379</v>
      </c>
      <c r="AV255">
        <f t="shared" si="198"/>
        <v>-2.3797269191262509</v>
      </c>
      <c r="AW255">
        <f t="shared" si="199"/>
        <v>-13906.998465632147</v>
      </c>
      <c r="AX255">
        <f t="shared" si="200"/>
        <v>-25848.537724948608</v>
      </c>
      <c r="AY255">
        <f t="shared" si="208"/>
        <v>-2.064394384942057</v>
      </c>
      <c r="BA255">
        <f t="shared" si="184"/>
        <v>3.8068990005268564</v>
      </c>
      <c r="BB255">
        <f t="shared" si="201"/>
        <v>11.611427097118865</v>
      </c>
      <c r="BC255">
        <f t="shared" si="202"/>
        <v>-0.31533253418419394</v>
      </c>
      <c r="BD255">
        <f t="shared" si="185"/>
        <v>-198.06722337256389</v>
      </c>
      <c r="BF255">
        <f t="shared" si="186"/>
        <v>-22.804251926836617</v>
      </c>
      <c r="BG255">
        <f t="shared" si="187"/>
        <v>-196.20448068628625</v>
      </c>
      <c r="BH255">
        <f t="shared" si="203"/>
        <v>-16.204480686286246</v>
      </c>
      <c r="BI255">
        <f t="shared" si="204"/>
        <v>-16.204480686286246</v>
      </c>
      <c r="BJ255">
        <f t="shared" si="188"/>
        <v>0</v>
      </c>
      <c r="BK255">
        <f t="shared" si="205"/>
        <v>0</v>
      </c>
      <c r="BM255">
        <f t="shared" si="206"/>
        <v>-34.415679023955484</v>
      </c>
      <c r="BN255">
        <f t="shared" si="189"/>
        <v>-178.13725731372239</v>
      </c>
      <c r="BQ255" s="56">
        <f t="shared" si="207"/>
        <v>28.513387897404002</v>
      </c>
      <c r="BR255" s="59"/>
      <c r="BS255" s="59"/>
      <c r="BT255" s="59">
        <v>28183.829000000002</v>
      </c>
      <c r="BU255" s="59">
        <v>-2.6523400000000001</v>
      </c>
      <c r="BV255" s="59">
        <v>-157.06299999999999</v>
      </c>
      <c r="BY255" s="59"/>
      <c r="BZ255" s="59"/>
      <c r="CA255" s="59"/>
      <c r="CC255" s="59"/>
    </row>
    <row r="256" spans="1:81" x14ac:dyDescent="0.2">
      <c r="A256">
        <f t="shared" si="211"/>
        <v>210000</v>
      </c>
      <c r="B256">
        <f t="shared" si="191"/>
        <v>210</v>
      </c>
      <c r="C256">
        <f t="shared" si="159"/>
        <v>1.0003343550399864</v>
      </c>
      <c r="D256">
        <f t="shared" si="160"/>
        <v>2.5855827408212521E-2</v>
      </c>
      <c r="F256">
        <f t="shared" si="161"/>
        <v>1.2078978019701421E-3</v>
      </c>
      <c r="G256">
        <f t="shared" si="162"/>
        <v>7.0969907035093489E-3</v>
      </c>
      <c r="H256">
        <f t="shared" si="163"/>
        <v>-3.134495659296491</v>
      </c>
      <c r="J256">
        <f t="shared" si="164"/>
        <v>15</v>
      </c>
      <c r="M256">
        <f t="shared" si="165"/>
        <v>5.9559339420343169E-3</v>
      </c>
      <c r="N256">
        <f t="shared" si="166"/>
        <v>-1.5707963250000001</v>
      </c>
      <c r="O256">
        <f t="shared" si="167"/>
        <v>41.252123245200636</v>
      </c>
      <c r="P256">
        <f t="shared" si="168"/>
        <v>1.546552775521927</v>
      </c>
      <c r="Q256">
        <f t="shared" si="169"/>
        <v>35.861276755525694</v>
      </c>
      <c r="R256">
        <f t="shared" si="170"/>
        <v>1.5429074802857405</v>
      </c>
      <c r="S256">
        <f t="shared" si="171"/>
        <v>0.70240195280159134</v>
      </c>
      <c r="T256">
        <f t="shared" si="172"/>
        <v>-0.79202985453445918</v>
      </c>
      <c r="U256">
        <f t="shared" si="173"/>
        <v>0.69772304512084005</v>
      </c>
      <c r="V256">
        <f t="shared" si="174"/>
        <v>-0.79858224342253525</v>
      </c>
      <c r="X256">
        <f t="shared" si="192"/>
        <v>-22.128853228575419</v>
      </c>
      <c r="Y256">
        <f t="shared" si="175"/>
        <v>-182.23426892304732</v>
      </c>
      <c r="Z256">
        <f t="shared" si="193"/>
        <v>-2.2342689230473241</v>
      </c>
      <c r="AC256">
        <v>1</v>
      </c>
      <c r="AD256">
        <f t="shared" si="176"/>
        <v>41.240000875814999</v>
      </c>
      <c r="AE256">
        <f t="shared" si="177"/>
        <v>-6.5297878953276814E-3</v>
      </c>
      <c r="AF256">
        <f t="shared" si="178"/>
        <v>6.3598401606600003E-3</v>
      </c>
      <c r="AG256">
        <f t="shared" si="194"/>
        <v>3078.1474509687241</v>
      </c>
      <c r="AH256">
        <f t="shared" si="195"/>
        <v>-3317.6384047959605</v>
      </c>
      <c r="AJ256">
        <f t="shared" si="179"/>
        <v>26400</v>
      </c>
      <c r="AK256">
        <f t="shared" si="180"/>
        <v>26752.496104857604</v>
      </c>
      <c r="AL256">
        <v>1</v>
      </c>
      <c r="AM256">
        <f t="shared" si="181"/>
        <v>35.847331428384003</v>
      </c>
      <c r="AN256">
        <f t="shared" si="196"/>
        <v>766.23772190246916</v>
      </c>
      <c r="AO256">
        <f t="shared" si="197"/>
        <v>-715.08146511013808</v>
      </c>
      <c r="AQ256">
        <f t="shared" si="182"/>
        <v>5.6689021037295707E-2</v>
      </c>
      <c r="AR256">
        <f t="shared" si="183"/>
        <v>-23.809388835664198</v>
      </c>
      <c r="AT256">
        <f t="shared" si="209"/>
        <v>-78816.445630315851</v>
      </c>
      <c r="AU256">
        <f t="shared" si="210"/>
        <v>-73476.883226946564</v>
      </c>
      <c r="AV256">
        <f t="shared" si="198"/>
        <v>-2.3912411736085879</v>
      </c>
      <c r="AW256">
        <f t="shared" si="199"/>
        <v>-13146.448363211646</v>
      </c>
      <c r="AX256">
        <f t="shared" si="200"/>
        <v>-25281.425175986245</v>
      </c>
      <c r="AY256">
        <f t="shared" si="208"/>
        <v>-2.050318958755958</v>
      </c>
      <c r="BA256">
        <f t="shared" si="184"/>
        <v>3.7814651521499183</v>
      </c>
      <c r="BB256">
        <f t="shared" si="201"/>
        <v>11.553202050751333</v>
      </c>
      <c r="BC256">
        <f t="shared" si="202"/>
        <v>-0.34092221485262986</v>
      </c>
      <c r="BD256">
        <f t="shared" si="185"/>
        <v>-199.53340407562814</v>
      </c>
      <c r="BF256">
        <f t="shared" si="186"/>
        <v>-23.281465263051526</v>
      </c>
      <c r="BG256">
        <f t="shared" si="187"/>
        <v>-197.64534667260679</v>
      </c>
      <c r="BH256">
        <f t="shared" si="203"/>
        <v>-17.645346672606792</v>
      </c>
      <c r="BI256">
        <f t="shared" si="204"/>
        <v>-17.645346672606792</v>
      </c>
      <c r="BJ256">
        <f t="shared" si="188"/>
        <v>0</v>
      </c>
      <c r="BK256">
        <f t="shared" si="205"/>
        <v>0</v>
      </c>
      <c r="BM256">
        <f t="shared" si="206"/>
        <v>-34.834667313802854</v>
      </c>
      <c r="BN256">
        <f t="shared" si="189"/>
        <v>-178.11194259697865</v>
      </c>
      <c r="BQ256" s="56">
        <f t="shared" si="207"/>
        <v>28.455162851036469</v>
      </c>
      <c r="BR256" s="59"/>
      <c r="BS256" s="59"/>
      <c r="BT256" s="59">
        <v>28840.314999999999</v>
      </c>
      <c r="BU256" s="59">
        <v>-2.5506799999999998</v>
      </c>
      <c r="BV256" s="59">
        <v>-156.01</v>
      </c>
      <c r="BY256" s="59"/>
      <c r="BZ256" s="59"/>
      <c r="CA256" s="59"/>
      <c r="CC256" s="59"/>
    </row>
    <row r="257" spans="1:81" x14ac:dyDescent="0.2">
      <c r="A257">
        <f t="shared" si="211"/>
        <v>215000</v>
      </c>
      <c r="B257">
        <f t="shared" si="191"/>
        <v>215</v>
      </c>
      <c r="C257">
        <f t="shared" si="159"/>
        <v>1.0003504634300016</v>
      </c>
      <c r="D257">
        <f t="shared" si="160"/>
        <v>2.6471158144512421E-2</v>
      </c>
      <c r="F257">
        <f t="shared" si="161"/>
        <v>1.1523070937281194E-3</v>
      </c>
      <c r="G257">
        <f t="shared" si="162"/>
        <v>6.931564646970755E-3</v>
      </c>
      <c r="H257">
        <f t="shared" si="163"/>
        <v>-3.1346610853530295</v>
      </c>
      <c r="J257">
        <f t="shared" si="164"/>
        <v>15</v>
      </c>
      <c r="M257">
        <f t="shared" si="165"/>
        <v>5.8174238503591012E-3</v>
      </c>
      <c r="N257">
        <f t="shared" si="166"/>
        <v>-1.5707963250000001</v>
      </c>
      <c r="O257">
        <f t="shared" si="167"/>
        <v>42.23374619236845</v>
      </c>
      <c r="P257">
        <f t="shared" si="168"/>
        <v>1.5471163657912514</v>
      </c>
      <c r="Q257">
        <f t="shared" si="169"/>
        <v>36.714460458495097</v>
      </c>
      <c r="R257">
        <f t="shared" si="170"/>
        <v>1.5435557334917331</v>
      </c>
      <c r="S257">
        <f t="shared" si="171"/>
        <v>0.69398210592409537</v>
      </c>
      <c r="T257">
        <f t="shared" si="172"/>
        <v>-0.80379114802817331</v>
      </c>
      <c r="U257">
        <f t="shared" si="173"/>
        <v>0.68925309817316471</v>
      </c>
      <c r="V257">
        <f t="shared" si="174"/>
        <v>-0.8103386712478593</v>
      </c>
      <c r="X257">
        <f t="shared" si="192"/>
        <v>-22.54467730555692</v>
      </c>
      <c r="Y257">
        <f t="shared" si="175"/>
        <v>-183.48652394392431</v>
      </c>
      <c r="Z257">
        <f t="shared" si="193"/>
        <v>-3.4865239439243112</v>
      </c>
      <c r="AC257">
        <v>1</v>
      </c>
      <c r="AD257">
        <f t="shared" si="176"/>
        <v>42.221905658572496</v>
      </c>
      <c r="AE257">
        <f t="shared" si="177"/>
        <v>-6.8444318698757814E-3</v>
      </c>
      <c r="AF257">
        <f t="shared" si="178"/>
        <v>6.5112649263900004E-3</v>
      </c>
      <c r="AG257">
        <f t="shared" si="194"/>
        <v>3003.8672678280277</v>
      </c>
      <c r="AH257">
        <f t="shared" si="195"/>
        <v>-3311.1484641667134</v>
      </c>
      <c r="AJ257">
        <f t="shared" si="179"/>
        <v>26400</v>
      </c>
      <c r="AK257">
        <f t="shared" si="180"/>
        <v>27389.460297830399</v>
      </c>
      <c r="AL257">
        <v>1</v>
      </c>
      <c r="AM257">
        <f t="shared" si="181"/>
        <v>36.700839319536001</v>
      </c>
      <c r="AN257">
        <f t="shared" si="196"/>
        <v>765.32137820611388</v>
      </c>
      <c r="AO257">
        <f t="shared" si="197"/>
        <v>-698.47663151802749</v>
      </c>
      <c r="AQ257">
        <f t="shared" si="182"/>
        <v>5.4082995765301428E-2</v>
      </c>
      <c r="AR257">
        <f t="shared" si="183"/>
        <v>-23.255688179079616</v>
      </c>
      <c r="AT257">
        <f t="shared" si="209"/>
        <v>-76840.578056573984</v>
      </c>
      <c r="AU257">
        <f t="shared" si="210"/>
        <v>-70036.077340318254</v>
      </c>
      <c r="AV257">
        <f t="shared" si="198"/>
        <v>-2.4024893818435413</v>
      </c>
      <c r="AW257">
        <f t="shared" si="199"/>
        <v>-12441.622716781931</v>
      </c>
      <c r="AX257">
        <f t="shared" si="200"/>
        <v>-24740.616005734701</v>
      </c>
      <c r="AY257">
        <f t="shared" si="208"/>
        <v>-2.0367472723621698</v>
      </c>
      <c r="BA257">
        <f t="shared" si="184"/>
        <v>3.7543626182450858</v>
      </c>
      <c r="BB257">
        <f t="shared" si="201"/>
        <v>11.490724340119522</v>
      </c>
      <c r="BC257">
        <f t="shared" si="202"/>
        <v>-0.36574210948137154</v>
      </c>
      <c r="BD257">
        <f t="shared" si="185"/>
        <v>-200.9554792874394</v>
      </c>
      <c r="BF257">
        <f t="shared" si="186"/>
        <v>-23.753042216242509</v>
      </c>
      <c r="BG257">
        <f t="shared" si="187"/>
        <v>-199.0416442450551</v>
      </c>
      <c r="BH257">
        <f t="shared" si="203"/>
        <v>-19.041644245055096</v>
      </c>
      <c r="BI257">
        <f t="shared" si="204"/>
        <v>-19.041644245055096</v>
      </c>
      <c r="BJ257">
        <f t="shared" si="188"/>
        <v>0</v>
      </c>
      <c r="BK257">
        <f t="shared" si="205"/>
        <v>0</v>
      </c>
      <c r="BM257">
        <f t="shared" si="206"/>
        <v>-35.243766556362033</v>
      </c>
      <c r="BN257">
        <f t="shared" si="189"/>
        <v>-178.08616495761569</v>
      </c>
      <c r="BQ257" s="56">
        <f t="shared" si="207"/>
        <v>28.392685140404659</v>
      </c>
      <c r="BR257" s="59"/>
      <c r="BS257" s="59"/>
      <c r="BT257" s="59">
        <v>29512.092000000001</v>
      </c>
      <c r="BU257" s="59">
        <v>-2.44991</v>
      </c>
      <c r="BV257" s="59">
        <v>-155.03200000000001</v>
      </c>
      <c r="BY257" s="59"/>
      <c r="BZ257" s="59"/>
      <c r="CA257" s="59"/>
      <c r="CC257" s="59"/>
    </row>
    <row r="258" spans="1:81" x14ac:dyDescent="0.2">
      <c r="A258">
        <f t="shared" si="211"/>
        <v>220000</v>
      </c>
      <c r="B258">
        <f t="shared" si="191"/>
        <v>220</v>
      </c>
      <c r="C258">
        <f t="shared" si="159"/>
        <v>1.0003669505723467</v>
      </c>
      <c r="D258">
        <f t="shared" si="160"/>
        <v>2.7086468831134098E-2</v>
      </c>
      <c r="F258">
        <f t="shared" si="161"/>
        <v>1.1004688706618196E-3</v>
      </c>
      <c r="G258">
        <f t="shared" si="162"/>
        <v>6.7736830084167404E-3</v>
      </c>
      <c r="H258">
        <f t="shared" si="163"/>
        <v>-3.1348189669915834</v>
      </c>
      <c r="J258">
        <f t="shared" si="164"/>
        <v>15</v>
      </c>
      <c r="M258">
        <f t="shared" si="165"/>
        <v>5.6852096719418486E-3</v>
      </c>
      <c r="N258">
        <f t="shared" si="166"/>
        <v>-1.5707963250000001</v>
      </c>
      <c r="O258">
        <f t="shared" si="167"/>
        <v>43.215381944978525</v>
      </c>
      <c r="P258">
        <f t="shared" si="168"/>
        <v>1.5476543523621045</v>
      </c>
      <c r="Q258">
        <f t="shared" si="169"/>
        <v>37.567658889274824</v>
      </c>
      <c r="R258">
        <f t="shared" si="170"/>
        <v>1.5441745420140243</v>
      </c>
      <c r="S258">
        <f t="shared" si="171"/>
        <v>0.68567023267505578</v>
      </c>
      <c r="T258">
        <f t="shared" si="172"/>
        <v>-0.81527226658387453</v>
      </c>
      <c r="U258">
        <f t="shared" si="173"/>
        <v>0.68089558231963454</v>
      </c>
      <c r="V258">
        <f t="shared" si="174"/>
        <v>-0.82181154868599149</v>
      </c>
      <c r="X258">
        <f t="shared" si="192"/>
        <v>-22.955537152089359</v>
      </c>
      <c r="Y258">
        <f t="shared" si="175"/>
        <v>-184.70920280824873</v>
      </c>
      <c r="Z258">
        <f t="shared" si="193"/>
        <v>-4.7092028082487332</v>
      </c>
      <c r="AC258">
        <v>1</v>
      </c>
      <c r="AD258">
        <f t="shared" si="176"/>
        <v>43.203810441329999</v>
      </c>
      <c r="AE258">
        <f t="shared" si="177"/>
        <v>-7.1664792320603118E-3</v>
      </c>
      <c r="AF258">
        <f t="shared" si="178"/>
        <v>6.6626896921200005E-3</v>
      </c>
      <c r="AG258">
        <f t="shared" si="194"/>
        <v>2931.462329061942</v>
      </c>
      <c r="AH258">
        <f t="shared" si="195"/>
        <v>-3303.21010249342</v>
      </c>
      <c r="AJ258">
        <f t="shared" si="179"/>
        <v>26400</v>
      </c>
      <c r="AK258">
        <f t="shared" si="180"/>
        <v>28026.424490803201</v>
      </c>
      <c r="AL258">
        <v>1</v>
      </c>
      <c r="AM258">
        <f t="shared" si="181"/>
        <v>37.554347210688</v>
      </c>
      <c r="AN258">
        <f t="shared" si="196"/>
        <v>764.46674068681523</v>
      </c>
      <c r="AO258">
        <f t="shared" si="197"/>
        <v>-682.62491997244172</v>
      </c>
      <c r="AQ258">
        <f t="shared" si="182"/>
        <v>5.1652625761230572E-2</v>
      </c>
      <c r="AR258">
        <f t="shared" si="183"/>
        <v>-22.72715533494145</v>
      </c>
      <c r="AT258">
        <f t="shared" si="209"/>
        <v>-74921.151376699636</v>
      </c>
      <c r="AU258">
        <f t="shared" si="210"/>
        <v>-66794.419186354819</v>
      </c>
      <c r="AV258">
        <f t="shared" si="198"/>
        <v>-2.4134771265540387</v>
      </c>
      <c r="AW258">
        <f t="shared" si="199"/>
        <v>-11787.361857329903</v>
      </c>
      <c r="AX258">
        <f t="shared" si="200"/>
        <v>-24224.175942625043</v>
      </c>
      <c r="AY258">
        <f t="shared" si="208"/>
        <v>-2.0236625069143601</v>
      </c>
      <c r="BA258">
        <f t="shared" si="184"/>
        <v>3.7258141442474182</v>
      </c>
      <c r="BB258">
        <f t="shared" si="201"/>
        <v>11.424423741526891</v>
      </c>
      <c r="BC258">
        <f t="shared" si="202"/>
        <v>-0.38981461963967856</v>
      </c>
      <c r="BD258">
        <f t="shared" si="185"/>
        <v>-202.33473252337222</v>
      </c>
      <c r="BF258">
        <f t="shared" si="186"/>
        <v>-24.21900912929129</v>
      </c>
      <c r="BG258">
        <f t="shared" si="187"/>
        <v>-200.39468872707698</v>
      </c>
      <c r="BH258">
        <f t="shared" si="203"/>
        <v>-20.394688727076982</v>
      </c>
      <c r="BI258">
        <f t="shared" si="204"/>
        <v>-20.394688727076982</v>
      </c>
      <c r="BJ258">
        <f t="shared" si="188"/>
        <v>0</v>
      </c>
      <c r="BK258">
        <f t="shared" si="205"/>
        <v>0</v>
      </c>
      <c r="BM258">
        <f t="shared" si="206"/>
        <v>-35.643432870818181</v>
      </c>
      <c r="BN258">
        <f t="shared" si="189"/>
        <v>-178.05995620370479</v>
      </c>
      <c r="BQ258" s="56">
        <f t="shared" si="207"/>
        <v>28.326384541812025</v>
      </c>
      <c r="BR258" s="59"/>
      <c r="BS258" s="59"/>
      <c r="BT258" s="59">
        <v>30199.517</v>
      </c>
      <c r="BU258" s="59">
        <v>-2.3553299999999999</v>
      </c>
      <c r="BV258" s="59">
        <v>-154.00200000000001</v>
      </c>
      <c r="BY258" s="59"/>
      <c r="BZ258" s="59"/>
      <c r="CA258" s="59"/>
      <c r="CC258" s="59"/>
    </row>
    <row r="259" spans="1:81" x14ac:dyDescent="0.2">
      <c r="A259">
        <f t="shared" si="211"/>
        <v>225000</v>
      </c>
      <c r="B259">
        <f t="shared" si="191"/>
        <v>225</v>
      </c>
      <c r="C259">
        <f t="shared" si="159"/>
        <v>1.0003838164482952</v>
      </c>
      <c r="D259">
        <f t="shared" si="160"/>
        <v>2.7701759003158438E-2</v>
      </c>
      <c r="F259">
        <f t="shared" si="161"/>
        <v>1.0520527336969141E-3</v>
      </c>
      <c r="G259">
        <f t="shared" si="162"/>
        <v>6.6228406699313947E-3</v>
      </c>
      <c r="H259">
        <f t="shared" si="163"/>
        <v>-3.1349698093300686</v>
      </c>
      <c r="J259">
        <f t="shared" si="164"/>
        <v>15</v>
      </c>
      <c r="M259">
        <f t="shared" si="165"/>
        <v>5.5588716792320291E-3</v>
      </c>
      <c r="N259">
        <f t="shared" si="166"/>
        <v>-1.5707963250000001</v>
      </c>
      <c r="O259">
        <f t="shared" si="167"/>
        <v>44.197029649787083</v>
      </c>
      <c r="P259">
        <f t="shared" si="168"/>
        <v>1.5481684409416567</v>
      </c>
      <c r="Q259">
        <f t="shared" si="169"/>
        <v>38.42087106669937</v>
      </c>
      <c r="R259">
        <f t="shared" si="170"/>
        <v>1.5447658669961586</v>
      </c>
      <c r="S259">
        <f t="shared" si="171"/>
        <v>0.67746895759807457</v>
      </c>
      <c r="T259">
        <f t="shared" si="172"/>
        <v>-0.82648018292328718</v>
      </c>
      <c r="U259">
        <f t="shared" si="173"/>
        <v>0.67265293977771379</v>
      </c>
      <c r="V259">
        <f t="shared" si="174"/>
        <v>-0.83300809854524094</v>
      </c>
      <c r="X259">
        <f t="shared" si="192"/>
        <v>-23.361543824062956</v>
      </c>
      <c r="Y259">
        <f t="shared" si="175"/>
        <v>-185.90293773267263</v>
      </c>
      <c r="Z259">
        <f t="shared" si="193"/>
        <v>-5.9029377326726262</v>
      </c>
      <c r="AC259">
        <v>1</v>
      </c>
      <c r="AD259">
        <f t="shared" si="176"/>
        <v>44.185715224087495</v>
      </c>
      <c r="AE259">
        <f t="shared" si="177"/>
        <v>-7.4959299818812665E-3</v>
      </c>
      <c r="AF259">
        <f t="shared" si="178"/>
        <v>6.8141144578500006E-3</v>
      </c>
      <c r="AG259">
        <f t="shared" si="194"/>
        <v>2860.917760793548</v>
      </c>
      <c r="AH259">
        <f t="shared" si="195"/>
        <v>-3293.9334021564009</v>
      </c>
      <c r="AJ259">
        <f t="shared" si="179"/>
        <v>26400</v>
      </c>
      <c r="AK259">
        <f t="shared" si="180"/>
        <v>28663.388683776004</v>
      </c>
      <c r="AL259">
        <v>1</v>
      </c>
      <c r="AM259">
        <f t="shared" si="181"/>
        <v>38.407855101839999</v>
      </c>
      <c r="AN259">
        <f t="shared" si="196"/>
        <v>763.66839203563597</v>
      </c>
      <c r="AO259">
        <f t="shared" si="197"/>
        <v>-667.47626338384646</v>
      </c>
      <c r="AQ259">
        <f t="shared" si="182"/>
        <v>4.9382472185322539E-2</v>
      </c>
      <c r="AR259">
        <f t="shared" si="183"/>
        <v>-22.222112483395144</v>
      </c>
      <c r="AT259">
        <f t="shared" si="209"/>
        <v>-73056.879383785112</v>
      </c>
      <c r="AU259">
        <f t="shared" si="210"/>
        <v>-63738.298860709481</v>
      </c>
      <c r="AV259">
        <f t="shared" si="198"/>
        <v>-2.4242100926291235</v>
      </c>
      <c r="AW259">
        <f t="shared" si="199"/>
        <v>-11179.078302063921</v>
      </c>
      <c r="AX259">
        <f t="shared" si="200"/>
        <v>-23730.363402330695</v>
      </c>
      <c r="AY259">
        <f t="shared" si="208"/>
        <v>-2.0110476027097883</v>
      </c>
      <c r="BA259">
        <f t="shared" si="184"/>
        <v>3.6960235195343745</v>
      </c>
      <c r="BB259">
        <f t="shared" si="201"/>
        <v>11.354694523534413</v>
      </c>
      <c r="BC259">
        <f t="shared" si="202"/>
        <v>-0.41316248991933513</v>
      </c>
      <c r="BD259">
        <f t="shared" si="185"/>
        <v>-203.67246695254406</v>
      </c>
      <c r="BF259">
        <f t="shared" si="186"/>
        <v>-24.679396963859158</v>
      </c>
      <c r="BG259">
        <f t="shared" si="187"/>
        <v>-201.70581225555264</v>
      </c>
      <c r="BH259">
        <f t="shared" si="203"/>
        <v>-21.705812255552644</v>
      </c>
      <c r="BI259">
        <f t="shared" si="204"/>
        <v>-21.705812255552644</v>
      </c>
      <c r="BJ259">
        <f t="shared" si="188"/>
        <v>0</v>
      </c>
      <c r="BK259">
        <f t="shared" si="205"/>
        <v>0</v>
      </c>
      <c r="BM259">
        <f t="shared" si="206"/>
        <v>-36.034091487393567</v>
      </c>
      <c r="BN259">
        <f t="shared" si="189"/>
        <v>-178.03334530300856</v>
      </c>
      <c r="BQ259" s="56">
        <f t="shared" si="207"/>
        <v>28.256655323819547</v>
      </c>
      <c r="BR259" s="59"/>
      <c r="BS259" s="59"/>
      <c r="BT259" s="59">
        <v>30902.954000000002</v>
      </c>
      <c r="BU259" s="59">
        <v>-2.2543500000000001</v>
      </c>
      <c r="BV259" s="59">
        <v>-152.994</v>
      </c>
      <c r="BY259" s="59"/>
      <c r="BZ259" s="59"/>
      <c r="CA259" s="59"/>
      <c r="CC259" s="59"/>
    </row>
    <row r="260" spans="1:81" x14ac:dyDescent="0.2">
      <c r="A260">
        <f t="shared" si="211"/>
        <v>230000</v>
      </c>
      <c r="B260">
        <f t="shared" si="191"/>
        <v>230</v>
      </c>
      <c r="C260">
        <f t="shared" si="159"/>
        <v>1.0004010610386922</v>
      </c>
      <c r="D260">
        <f t="shared" si="160"/>
        <v>2.8317028195759455E-2</v>
      </c>
      <c r="F260">
        <f t="shared" si="161"/>
        <v>1.0067638743255915E-3</v>
      </c>
      <c r="G260">
        <f t="shared" si="162"/>
        <v>6.4785766641635061E-3</v>
      </c>
      <c r="H260">
        <f t="shared" si="163"/>
        <v>-3.1351140733358367</v>
      </c>
      <c r="J260">
        <f t="shared" si="164"/>
        <v>15</v>
      </c>
      <c r="M260">
        <f t="shared" si="165"/>
        <v>5.4380266427269857E-3</v>
      </c>
      <c r="N260">
        <f t="shared" si="166"/>
        <v>-1.5707963250000001</v>
      </c>
      <c r="O260">
        <f t="shared" si="167"/>
        <v>45.178688527697936</v>
      </c>
      <c r="P260">
        <f t="shared" si="168"/>
        <v>1.5486601890414735</v>
      </c>
      <c r="Q260">
        <f t="shared" si="169"/>
        <v>39.274096094849618</v>
      </c>
      <c r="R260">
        <f t="shared" si="170"/>
        <v>1.5453314992403182</v>
      </c>
      <c r="S260">
        <f t="shared" si="171"/>
        <v>0.66938043192781693</v>
      </c>
      <c r="T260">
        <f t="shared" si="172"/>
        <v>-0.83742181659475257</v>
      </c>
      <c r="U260">
        <f t="shared" si="173"/>
        <v>0.6645271385633128</v>
      </c>
      <c r="V260">
        <f t="shared" si="174"/>
        <v>-0.84393547720377471</v>
      </c>
      <c r="X260">
        <f t="shared" si="192"/>
        <v>-23.762801809178224</v>
      </c>
      <c r="Y260">
        <f t="shared" si="175"/>
        <v>-187.06836980224864</v>
      </c>
      <c r="Z260">
        <f t="shared" si="193"/>
        <v>-7.0683698022486396</v>
      </c>
      <c r="AC260">
        <v>1</v>
      </c>
      <c r="AD260">
        <f t="shared" si="176"/>
        <v>45.167620006845006</v>
      </c>
      <c r="AE260">
        <f t="shared" si="177"/>
        <v>-7.8327841193386472E-3</v>
      </c>
      <c r="AF260">
        <f t="shared" si="178"/>
        <v>6.9655392235799998E-3</v>
      </c>
      <c r="AG260">
        <f t="shared" si="194"/>
        <v>2792.2141794711119</v>
      </c>
      <c r="AH260">
        <f t="shared" si="195"/>
        <v>-3283.4228835192557</v>
      </c>
      <c r="AJ260">
        <f t="shared" si="179"/>
        <v>26400</v>
      </c>
      <c r="AK260">
        <f t="shared" si="180"/>
        <v>29300.352876748802</v>
      </c>
      <c r="AL260">
        <v>1</v>
      </c>
      <c r="AM260">
        <f t="shared" si="181"/>
        <v>39.261362992992005</v>
      </c>
      <c r="AN260">
        <f t="shared" si="196"/>
        <v>762.92149652585738</v>
      </c>
      <c r="AO260">
        <f t="shared" si="197"/>
        <v>-652.98493350957426</v>
      </c>
      <c r="AQ260">
        <f t="shared" si="182"/>
        <v>4.7258755865993068E-2</v>
      </c>
      <c r="AR260">
        <f t="shared" si="183"/>
        <v>-21.739027698356814</v>
      </c>
      <c r="AT260">
        <f t="shared" si="209"/>
        <v>-71246.464442010518</v>
      </c>
      <c r="AU260">
        <f t="shared" si="210"/>
        <v>-60855.191867724199</v>
      </c>
      <c r="AV260">
        <f t="shared" si="198"/>
        <v>-2.4346940321331703</v>
      </c>
      <c r="AW260">
        <f t="shared" si="199"/>
        <v>-10612.683067463</v>
      </c>
      <c r="AX260">
        <f t="shared" si="200"/>
        <v>-23257.605923700794</v>
      </c>
      <c r="AY260">
        <f t="shared" si="208"/>
        <v>-1.998885419368952</v>
      </c>
      <c r="BA260">
        <f t="shared" si="184"/>
        <v>3.6651765725108709</v>
      </c>
      <c r="BB260">
        <f t="shared" si="201"/>
        <v>11.281898038587588</v>
      </c>
      <c r="BC260">
        <f t="shared" si="202"/>
        <v>-0.43580861276421823</v>
      </c>
      <c r="BD260">
        <f t="shared" si="185"/>
        <v>-204.9699942153733</v>
      </c>
      <c r="BF260">
        <f t="shared" si="186"/>
        <v>-25.134241439123244</v>
      </c>
      <c r="BG260">
        <f t="shared" si="187"/>
        <v>-202.97635290901675</v>
      </c>
      <c r="BH260">
        <f t="shared" si="203"/>
        <v>-22.976352909016754</v>
      </c>
      <c r="BI260">
        <f t="shared" si="204"/>
        <v>-22.976352909016754</v>
      </c>
      <c r="BJ260">
        <f t="shared" si="188"/>
        <v>0</v>
      </c>
      <c r="BK260">
        <f t="shared" si="205"/>
        <v>0</v>
      </c>
      <c r="BM260">
        <f t="shared" si="206"/>
        <v>-36.416139477710828</v>
      </c>
      <c r="BN260">
        <f t="shared" si="189"/>
        <v>-178.00635869364345</v>
      </c>
      <c r="BQ260" s="56">
        <f t="shared" si="207"/>
        <v>28.183858838872723</v>
      </c>
      <c r="BR260" s="59"/>
      <c r="BS260" s="59"/>
      <c r="BT260" s="59">
        <v>31622.776999999998</v>
      </c>
      <c r="BU260" s="59">
        <v>-2.1282199999999998</v>
      </c>
      <c r="BV260" s="59">
        <v>-152.041</v>
      </c>
      <c r="BY260" s="59"/>
      <c r="BZ260" s="59"/>
      <c r="CA260" s="59"/>
      <c r="CC260" s="59"/>
    </row>
    <row r="261" spans="1:81" x14ac:dyDescent="0.2">
      <c r="A261">
        <f t="shared" si="211"/>
        <v>235000</v>
      </c>
      <c r="B261">
        <f t="shared" si="191"/>
        <v>235</v>
      </c>
      <c r="C261">
        <f t="shared" si="159"/>
        <v>1.0004186843239529</v>
      </c>
      <c r="D261">
        <f t="shared" si="160"/>
        <v>2.8932275944206394E-2</v>
      </c>
      <c r="F261">
        <f t="shared" si="161"/>
        <v>9.6433856984293892E-4</v>
      </c>
      <c r="G261">
        <f t="shared" si="162"/>
        <v>6.3404694493047805E-3</v>
      </c>
      <c r="H261">
        <f t="shared" si="163"/>
        <v>-3.1352521805506952</v>
      </c>
      <c r="J261">
        <f t="shared" si="164"/>
        <v>15</v>
      </c>
      <c r="M261">
        <f t="shared" si="165"/>
        <v>5.3223239482008801E-3</v>
      </c>
      <c r="N261">
        <f t="shared" si="166"/>
        <v>-1.5707963250000001</v>
      </c>
      <c r="O261">
        <f t="shared" si="167"/>
        <v>46.160357865880293</v>
      </c>
      <c r="P261">
        <f t="shared" si="168"/>
        <v>1.5491310217273473</v>
      </c>
      <c r="Q261">
        <f t="shared" si="169"/>
        <v>40.127333153992979</v>
      </c>
      <c r="R261">
        <f t="shared" si="170"/>
        <v>1.5458730773049296</v>
      </c>
      <c r="S261">
        <f t="shared" si="171"/>
        <v>0.66140637333277308</v>
      </c>
      <c r="T261">
        <f t="shared" si="172"/>
        <v>-0.8481040174504193</v>
      </c>
      <c r="U261">
        <f t="shared" si="173"/>
        <v>0.65651971354365779</v>
      </c>
      <c r="V261">
        <f t="shared" si="174"/>
        <v>-0.85460075838463712</v>
      </c>
      <c r="X261">
        <f t="shared" si="192"/>
        <v>-24.159409863223171</v>
      </c>
      <c r="Y261">
        <f t="shared" si="175"/>
        <v>-188.2061454255275</v>
      </c>
      <c r="Z261">
        <f t="shared" si="193"/>
        <v>-8.2061454255274953</v>
      </c>
      <c r="AC261">
        <v>1</v>
      </c>
      <c r="AD261">
        <f t="shared" si="176"/>
        <v>46.149524789602502</v>
      </c>
      <c r="AE261">
        <f t="shared" si="177"/>
        <v>-8.1770416444324513E-3</v>
      </c>
      <c r="AF261">
        <f t="shared" si="178"/>
        <v>7.1169639893099998E-3</v>
      </c>
      <c r="AG261">
        <f t="shared" si="194"/>
        <v>2725.328308623908</v>
      </c>
      <c r="AH261">
        <f t="shared" si="195"/>
        <v>-3271.7775598336107</v>
      </c>
      <c r="AJ261">
        <f t="shared" si="179"/>
        <v>26400</v>
      </c>
      <c r="AK261">
        <f t="shared" si="180"/>
        <v>29937.317069721605</v>
      </c>
      <c r="AL261">
        <v>1</v>
      </c>
      <c r="AM261">
        <f t="shared" si="181"/>
        <v>40.114870884144004</v>
      </c>
      <c r="AN261">
        <f t="shared" si="196"/>
        <v>762.22172668165786</v>
      </c>
      <c r="AO261">
        <f t="shared" si="197"/>
        <v>-639.10908120240401</v>
      </c>
      <c r="AQ261">
        <f t="shared" si="182"/>
        <v>4.526914771775592E-2</v>
      </c>
      <c r="AR261">
        <f t="shared" si="183"/>
        <v>-21.276499427345282</v>
      </c>
      <c r="AT261">
        <f t="shared" si="209"/>
        <v>-69488.600088418476</v>
      </c>
      <c r="AU261">
        <f t="shared" si="210"/>
        <v>-58133.556779420214</v>
      </c>
      <c r="AV261">
        <f t="shared" si="198"/>
        <v>-2.4449347338831982</v>
      </c>
      <c r="AW261">
        <f t="shared" si="199"/>
        <v>-10084.522775088582</v>
      </c>
      <c r="AX261">
        <f t="shared" si="200"/>
        <v>-22804.479953364527</v>
      </c>
      <c r="AY261">
        <f t="shared" si="208"/>
        <v>-1.9871588709341079</v>
      </c>
      <c r="BA261">
        <f t="shared" si="184"/>
        <v>3.6334422271210221</v>
      </c>
      <c r="BB261">
        <f t="shared" si="201"/>
        <v>11.206365183294999</v>
      </c>
      <c r="BC261">
        <f t="shared" si="202"/>
        <v>-0.45777586294909023</v>
      </c>
      <c r="BD261">
        <f t="shared" si="185"/>
        <v>-206.22862493991263</v>
      </c>
      <c r="BF261">
        <f t="shared" si="186"/>
        <v>-25.583583006414386</v>
      </c>
      <c r="BG261">
        <f t="shared" si="187"/>
        <v>-204.20764549471559</v>
      </c>
      <c r="BH261">
        <f t="shared" si="203"/>
        <v>-24.207645494715592</v>
      </c>
      <c r="BI261">
        <f t="shared" si="204"/>
        <v>-24.207645494715592</v>
      </c>
      <c r="BJ261">
        <f t="shared" si="188"/>
        <v>0</v>
      </c>
      <c r="BK261">
        <f t="shared" si="205"/>
        <v>0</v>
      </c>
      <c r="BM261">
        <f t="shared" si="206"/>
        <v>-36.789948189709385</v>
      </c>
      <c r="BN261">
        <f t="shared" si="189"/>
        <v>-177.97902055480296</v>
      </c>
      <c r="BQ261" s="56">
        <f t="shared" si="207"/>
        <v>28.108325983580137</v>
      </c>
      <c r="BR261" s="59"/>
      <c r="BS261" s="59"/>
      <c r="BT261" s="59">
        <v>32359.366000000002</v>
      </c>
      <c r="BU261" s="59">
        <v>-2.03586</v>
      </c>
      <c r="BV261" s="59">
        <v>-151.05000000000001</v>
      </c>
      <c r="BY261" s="59"/>
      <c r="BZ261" s="59"/>
      <c r="CA261" s="59"/>
      <c r="CC261" s="59"/>
    </row>
    <row r="262" spans="1:81" x14ac:dyDescent="0.2">
      <c r="A262">
        <f t="shared" si="211"/>
        <v>240000</v>
      </c>
      <c r="B262">
        <f t="shared" si="191"/>
        <v>240</v>
      </c>
      <c r="C262">
        <f t="shared" si="159"/>
        <v>1.000436686284065</v>
      </c>
      <c r="D262">
        <f t="shared" si="160"/>
        <v>2.954750178386583E-2</v>
      </c>
      <c r="F262">
        <f t="shared" si="161"/>
        <v>9.2454033021380103E-4</v>
      </c>
      <c r="G262">
        <f t="shared" si="162"/>
        <v>6.2081327786833321E-3</v>
      </c>
      <c r="H262">
        <f t="shared" si="163"/>
        <v>-3.1353845172213171</v>
      </c>
      <c r="J262">
        <f t="shared" si="164"/>
        <v>15</v>
      </c>
      <c r="M262">
        <f t="shared" si="165"/>
        <v>5.2114421992800275E-3</v>
      </c>
      <c r="N262">
        <f t="shared" si="166"/>
        <v>-1.5707963250000001</v>
      </c>
      <c r="O262">
        <f t="shared" si="167"/>
        <v>47.142037010871</v>
      </c>
      <c r="P262">
        <f t="shared" si="168"/>
        <v>1.5495822454026151</v>
      </c>
      <c r="Q262">
        <f t="shared" si="169"/>
        <v>40.980581492654835</v>
      </c>
      <c r="R262">
        <f t="shared" si="170"/>
        <v>1.5463921033434311</v>
      </c>
      <c r="S262">
        <f t="shared" si="171"/>
        <v>0.65354810344878411</v>
      </c>
      <c r="T262">
        <f t="shared" si="172"/>
        <v>-0.85853355134499298</v>
      </c>
      <c r="U262">
        <f t="shared" si="173"/>
        <v>0.64863180508941953</v>
      </c>
      <c r="V262">
        <f t="shared" si="174"/>
        <v>-0.86501091920931628</v>
      </c>
      <c r="X262">
        <f t="shared" si="192"/>
        <v>-24.551461722061081</v>
      </c>
      <c r="Y262">
        <f t="shared" si="175"/>
        <v>-189.31691325551981</v>
      </c>
      <c r="Z262">
        <f t="shared" si="193"/>
        <v>-9.3169132555198075</v>
      </c>
      <c r="AC262">
        <v>1</v>
      </c>
      <c r="AD262">
        <f t="shared" si="176"/>
        <v>47.131429572360005</v>
      </c>
      <c r="AE262">
        <f t="shared" si="177"/>
        <v>-8.5287025571626832E-3</v>
      </c>
      <c r="AF262">
        <f t="shared" si="178"/>
        <v>7.2683887550399999E-3</v>
      </c>
      <c r="AG262">
        <f t="shared" si="194"/>
        <v>2660.2335412453267</v>
      </c>
      <c r="AH262">
        <f t="shared" si="195"/>
        <v>-3259.0910316186842</v>
      </c>
      <c r="AJ262">
        <f t="shared" si="179"/>
        <v>26400</v>
      </c>
      <c r="AK262">
        <f t="shared" si="180"/>
        <v>30574.2812626944</v>
      </c>
      <c r="AL262">
        <v>1</v>
      </c>
      <c r="AM262">
        <f t="shared" si="181"/>
        <v>40.96837877529601</v>
      </c>
      <c r="AN262">
        <f t="shared" si="196"/>
        <v>761.56520050967538</v>
      </c>
      <c r="AO262">
        <f t="shared" si="197"/>
        <v>-625.81033387023695</v>
      </c>
      <c r="AQ262">
        <f t="shared" si="182"/>
        <v>4.3402589398483515E-2</v>
      </c>
      <c r="AR262">
        <f t="shared" si="183"/>
        <v>-20.833242911272087</v>
      </c>
      <c r="AT262">
        <f t="shared" si="209"/>
        <v>-67781.974107565635</v>
      </c>
      <c r="AU262">
        <f t="shared" si="210"/>
        <v>-55562.744555335077</v>
      </c>
      <c r="AV262">
        <f t="shared" si="198"/>
        <v>-2.4549379970772347</v>
      </c>
      <c r="AW262">
        <f t="shared" si="199"/>
        <v>-9591.3257811811127</v>
      </c>
      <c r="AX262">
        <f t="shared" si="200"/>
        <v>-22369.693441686861</v>
      </c>
      <c r="AY262">
        <f t="shared" si="208"/>
        <v>-1.9758510384390258</v>
      </c>
      <c r="BA262">
        <f t="shared" si="184"/>
        <v>3.6009735896916863</v>
      </c>
      <c r="BB262">
        <f t="shared" si="201"/>
        <v>11.128398723492205</v>
      </c>
      <c r="BC262">
        <f t="shared" si="202"/>
        <v>-0.47908695863820894</v>
      </c>
      <c r="BD262">
        <f t="shared" si="185"/>
        <v>-207.44966078109383</v>
      </c>
      <c r="BF262">
        <f t="shared" si="186"/>
        <v>-26.027466701208549</v>
      </c>
      <c r="BG262">
        <f t="shared" si="187"/>
        <v>-205.40101382450672</v>
      </c>
      <c r="BH262">
        <f t="shared" si="203"/>
        <v>-25.40101382450672</v>
      </c>
      <c r="BI262">
        <f t="shared" si="204"/>
        <v>-25.40101382450672</v>
      </c>
      <c r="BJ262">
        <f t="shared" si="188"/>
        <v>0</v>
      </c>
      <c r="BK262">
        <f t="shared" si="205"/>
        <v>0</v>
      </c>
      <c r="BM262">
        <f t="shared" si="206"/>
        <v>-37.155865424700757</v>
      </c>
      <c r="BN262">
        <f t="shared" si="189"/>
        <v>-177.95135304341292</v>
      </c>
      <c r="BQ262" s="56">
        <f t="shared" si="207"/>
        <v>28.030359523777339</v>
      </c>
      <c r="BR262" s="59"/>
      <c r="BS262" s="59"/>
      <c r="BT262" s="59">
        <v>33113.112000000001</v>
      </c>
      <c r="BU262" s="59">
        <v>-1.91717</v>
      </c>
      <c r="BV262" s="59">
        <v>-150.17400000000001</v>
      </c>
      <c r="BY262" s="59"/>
      <c r="BZ262" s="59"/>
      <c r="CA262" s="59"/>
      <c r="CC262" s="59"/>
    </row>
    <row r="263" spans="1:81" x14ac:dyDescent="0.2">
      <c r="A263">
        <f t="shared" si="211"/>
        <v>245000</v>
      </c>
      <c r="B263">
        <f t="shared" si="191"/>
        <v>245</v>
      </c>
      <c r="C263">
        <f t="shared" si="159"/>
        <v>1.0004550668985868</v>
      </c>
      <c r="D263">
        <f t="shared" si="160"/>
        <v>3.0162705250203776E-2</v>
      </c>
      <c r="F263">
        <f t="shared" si="161"/>
        <v>8.8715659099865458E-4</v>
      </c>
      <c r="G263">
        <f t="shared" si="162"/>
        <v>6.0812120793945837E-3</v>
      </c>
      <c r="H263">
        <f t="shared" si="163"/>
        <v>-3.1355114379206057</v>
      </c>
      <c r="J263">
        <f t="shared" si="164"/>
        <v>15</v>
      </c>
      <c r="M263">
        <f t="shared" si="165"/>
        <v>5.1050862360294148E-3</v>
      </c>
      <c r="N263">
        <f t="shared" si="166"/>
        <v>-1.5707963250000001</v>
      </c>
      <c r="O263">
        <f t="shared" si="167"/>
        <v>48.12372536252083</v>
      </c>
      <c r="P263">
        <f t="shared" si="168"/>
        <v>1.5500150599055351</v>
      </c>
      <c r="Q263">
        <f t="shared" si="169"/>
        <v>41.833840420659698</v>
      </c>
      <c r="R263">
        <f t="shared" si="170"/>
        <v>1.5468899570063603</v>
      </c>
      <c r="S263">
        <f t="shared" si="171"/>
        <v>0.64580658319245099</v>
      </c>
      <c r="T263">
        <f t="shared" si="172"/>
        <v>-0.86871708786346902</v>
      </c>
      <c r="U263">
        <f t="shared" si="173"/>
        <v>0.64086419533312566</v>
      </c>
      <c r="V263">
        <f t="shared" si="174"/>
        <v>-0.87517282832478427</v>
      </c>
      <c r="X263">
        <f t="shared" si="192"/>
        <v>-24.939046707970292</v>
      </c>
      <c r="Y263">
        <f t="shared" si="175"/>
        <v>-190.40132152410553</v>
      </c>
      <c r="Z263">
        <f t="shared" si="193"/>
        <v>-10.401321524105526</v>
      </c>
      <c r="AC263">
        <v>1</v>
      </c>
      <c r="AD263">
        <f t="shared" si="176"/>
        <v>48.113334355117502</v>
      </c>
      <c r="AE263">
        <f t="shared" si="177"/>
        <v>-8.8877668575293427E-3</v>
      </c>
      <c r="AF263">
        <f t="shared" si="178"/>
        <v>7.41981352077E-3</v>
      </c>
      <c r="AG263">
        <f t="shared" si="194"/>
        <v>2596.9004505068337</v>
      </c>
      <c r="AH263">
        <f t="shared" si="195"/>
        <v>-3245.4516126193239</v>
      </c>
      <c r="AJ263">
        <f t="shared" si="179"/>
        <v>26400</v>
      </c>
      <c r="AK263">
        <f t="shared" si="180"/>
        <v>31211.245455667202</v>
      </c>
      <c r="AL263">
        <v>1</v>
      </c>
      <c r="AM263">
        <f t="shared" si="181"/>
        <v>41.821886666448009</v>
      </c>
      <c r="AN263">
        <f t="shared" si="196"/>
        <v>760.9484275900237</v>
      </c>
      <c r="AO263">
        <f t="shared" si="197"/>
        <v>-613.05344201458843</v>
      </c>
      <c r="AQ263">
        <f t="shared" si="182"/>
        <v>4.164913932053594E-2</v>
      </c>
      <c r="AR263">
        <f t="shared" si="183"/>
        <v>-20.40807826706261</v>
      </c>
      <c r="AT263">
        <f t="shared" si="209"/>
        <v>-66125.271853635</v>
      </c>
      <c r="AU263">
        <f t="shared" si="210"/>
        <v>-53132.917912085657</v>
      </c>
      <c r="AV263">
        <f t="shared" si="198"/>
        <v>-2.4647096085157911</v>
      </c>
      <c r="AW263">
        <f t="shared" si="199"/>
        <v>-9130.1558810944753</v>
      </c>
      <c r="AX263">
        <f t="shared" si="200"/>
        <v>-21952.070808553384</v>
      </c>
      <c r="AY263">
        <f t="shared" si="208"/>
        <v>-1.9649452624346559</v>
      </c>
      <c r="BA263">
        <f t="shared" si="184"/>
        <v>3.5679090411988299</v>
      </c>
      <c r="BB263">
        <f t="shared" si="201"/>
        <v>11.048275482417136</v>
      </c>
      <c r="BC263">
        <f t="shared" si="202"/>
        <v>-0.49976434608113518</v>
      </c>
      <c r="BD263">
        <f t="shared" si="185"/>
        <v>-208.63438781428405</v>
      </c>
      <c r="BF263">
        <f t="shared" si="186"/>
        <v>-26.465941906264014</v>
      </c>
      <c r="BG263">
        <f t="shared" si="187"/>
        <v>-206.55776431590411</v>
      </c>
      <c r="BH263">
        <f t="shared" si="203"/>
        <v>-26.557764315904109</v>
      </c>
      <c r="BI263">
        <f t="shared" si="204"/>
        <v>-26.557764315904109</v>
      </c>
      <c r="BJ263">
        <f t="shared" si="188"/>
        <v>0</v>
      </c>
      <c r="BK263">
        <f t="shared" si="205"/>
        <v>0</v>
      </c>
      <c r="BM263">
        <f t="shared" si="206"/>
        <v>-37.514217388681146</v>
      </c>
      <c r="BN263">
        <f t="shared" si="189"/>
        <v>-177.92337650162006</v>
      </c>
      <c r="BQ263" s="56">
        <f t="shared" si="207"/>
        <v>27.950236282702274</v>
      </c>
      <c r="BR263" s="59"/>
      <c r="BS263" s="59"/>
      <c r="BT263" s="59">
        <v>33884.415999999997</v>
      </c>
      <c r="BU263" s="59">
        <v>-1.81593</v>
      </c>
      <c r="BV263" s="59">
        <v>-149.483</v>
      </c>
      <c r="BY263" s="59"/>
      <c r="BZ263" s="59"/>
      <c r="CA263" s="59"/>
      <c r="CC263" s="59"/>
    </row>
    <row r="264" spans="1:81" x14ac:dyDescent="0.2">
      <c r="A264">
        <f t="shared" si="211"/>
        <v>250000</v>
      </c>
      <c r="B264">
        <f t="shared" si="191"/>
        <v>250</v>
      </c>
      <c r="C264">
        <f t="shared" si="159"/>
        <v>1.0004738261466486</v>
      </c>
      <c r="D264">
        <f t="shared" si="160"/>
        <v>3.0777885878787756E-2</v>
      </c>
      <c r="F264">
        <f t="shared" si="161"/>
        <v>8.5199586563128316E-4</v>
      </c>
      <c r="G264">
        <f t="shared" si="162"/>
        <v>5.9593812681949529E-3</v>
      </c>
      <c r="H264">
        <f t="shared" si="163"/>
        <v>-3.1356332687318051</v>
      </c>
      <c r="J264">
        <f t="shared" si="164"/>
        <v>15</v>
      </c>
      <c r="M264">
        <f t="shared" si="165"/>
        <v>5.0029845113088271E-3</v>
      </c>
      <c r="N264">
        <f t="shared" si="166"/>
        <v>-1.5707963250000001</v>
      </c>
      <c r="O264">
        <f t="shared" si="167"/>
        <v>49.105422368666517</v>
      </c>
      <c r="P264">
        <f t="shared" si="168"/>
        <v>1.5504305691564764</v>
      </c>
      <c r="Q264">
        <f t="shared" si="169"/>
        <v>42.687109303006636</v>
      </c>
      <c r="R264">
        <f t="shared" si="170"/>
        <v>1.5473679076774685</v>
      </c>
      <c r="S264">
        <f t="shared" si="171"/>
        <v>0.63818244587128337</v>
      </c>
      <c r="T264">
        <f t="shared" si="172"/>
        <v>-0.87866118989457753</v>
      </c>
      <c r="U264">
        <f t="shared" si="173"/>
        <v>0.63321734206798508</v>
      </c>
      <c r="V264">
        <f t="shared" si="174"/>
        <v>-0.88509323590983813</v>
      </c>
      <c r="X264">
        <f t="shared" si="192"/>
        <v>-25.322250246142858</v>
      </c>
      <c r="Y264">
        <f t="shared" si="175"/>
        <v>-191.4600157433612</v>
      </c>
      <c r="Z264">
        <f t="shared" si="193"/>
        <v>-11.460015743361197</v>
      </c>
      <c r="AC264">
        <v>1</v>
      </c>
      <c r="AD264">
        <f t="shared" si="176"/>
        <v>49.095239137875005</v>
      </c>
      <c r="AE264">
        <f t="shared" si="177"/>
        <v>-9.2542345455324283E-3</v>
      </c>
      <c r="AF264">
        <f t="shared" si="178"/>
        <v>7.5712382865E-3</v>
      </c>
      <c r="AG264">
        <f t="shared" si="194"/>
        <v>2535.2972517228791</v>
      </c>
      <c r="AH264">
        <f t="shared" si="195"/>
        <v>-3230.9424805325457</v>
      </c>
      <c r="AJ264">
        <f t="shared" si="179"/>
        <v>26400</v>
      </c>
      <c r="AK264">
        <f t="shared" si="180"/>
        <v>31848.209648640004</v>
      </c>
      <c r="AL264">
        <v>1</v>
      </c>
      <c r="AM264">
        <f t="shared" si="181"/>
        <v>42.675394557600008</v>
      </c>
      <c r="AN264">
        <f t="shared" si="196"/>
        <v>760.36826262619468</v>
      </c>
      <c r="AO264">
        <f t="shared" si="197"/>
        <v>-600.80596800967771</v>
      </c>
      <c r="AQ264">
        <f t="shared" si="182"/>
        <v>3.9999840000639997E-2</v>
      </c>
      <c r="AR264">
        <f t="shared" si="183"/>
        <v>-19.99992000032</v>
      </c>
      <c r="AT264">
        <f t="shared" si="209"/>
        <v>-64517.179651863393</v>
      </c>
      <c r="AU264">
        <f t="shared" si="210"/>
        <v>-50834.979393761314</v>
      </c>
      <c r="AV264">
        <f t="shared" si="198"/>
        <v>-2.4742553230098152</v>
      </c>
      <c r="AW264">
        <f t="shared" si="199"/>
        <v>-8698.3723965042172</v>
      </c>
      <c r="AX264">
        <f t="shared" si="200"/>
        <v>-21550.539914491077</v>
      </c>
      <c r="AY264">
        <f t="shared" si="208"/>
        <v>-1.9544252178382286</v>
      </c>
      <c r="BA264">
        <f t="shared" si="184"/>
        <v>3.5343733154603298</v>
      </c>
      <c r="BB264">
        <f t="shared" si="201"/>
        <v>10.966248392276036</v>
      </c>
      <c r="BC264">
        <f t="shared" si="202"/>
        <v>-0.51983010517158657</v>
      </c>
      <c r="BD264">
        <f t="shared" si="185"/>
        <v>-209.78407112420689</v>
      </c>
      <c r="BF264">
        <f t="shared" si="186"/>
        <v>-26.899062053167295</v>
      </c>
      <c r="BG264">
        <f t="shared" si="187"/>
        <v>-207.67918076343497</v>
      </c>
      <c r="BH264">
        <f t="shared" si="203"/>
        <v>-27.679180763434971</v>
      </c>
      <c r="BI264">
        <f t="shared" si="204"/>
        <v>-27.679180763434971</v>
      </c>
      <c r="BJ264">
        <f t="shared" si="188"/>
        <v>0</v>
      </c>
      <c r="BK264">
        <f t="shared" si="205"/>
        <v>0</v>
      </c>
      <c r="BM264">
        <f t="shared" si="206"/>
        <v>-37.865310445443335</v>
      </c>
      <c r="BN264">
        <f t="shared" si="189"/>
        <v>-177.89510963922811</v>
      </c>
      <c r="BQ264" s="56">
        <f t="shared" si="207"/>
        <v>27.868209192561174</v>
      </c>
      <c r="BR264" s="59"/>
      <c r="BS264" s="59"/>
      <c r="BT264" s="59">
        <v>34673.684999999998</v>
      </c>
      <c r="BU264" s="59">
        <v>-1.6807799999999999</v>
      </c>
      <c r="BV264" s="59">
        <v>-148.328</v>
      </c>
      <c r="BY264" s="59"/>
      <c r="BZ264" s="59"/>
      <c r="CA264" s="59"/>
      <c r="CC264" s="59"/>
    </row>
    <row r="265" spans="1:81" x14ac:dyDescent="0.2">
      <c r="A265">
        <f t="shared" si="211"/>
        <v>255000</v>
      </c>
      <c r="B265">
        <f t="shared" si="191"/>
        <v>255</v>
      </c>
      <c r="C265">
        <f t="shared" ref="C265:C328" si="212">SQRT((A265/Fesr)^2+1)</f>
        <v>1.0004929640069524</v>
      </c>
      <c r="D265">
        <f t="shared" ref="D265:D328" si="213">ATAN(A265/Fesr)</f>
        <v>3.1393043205288941E-2</v>
      </c>
      <c r="F265">
        <f t="shared" ref="F265:F328" si="214">(Ro/(Ro+Rdcr))/SQRT((A265/(Q*Fo))^2+(1-(A265^2/Fo^2))^2)</f>
        <v>8.1888528553203236E-4</v>
      </c>
      <c r="G265">
        <f t="shared" ref="G265:G328" si="215">-ATAN(A265*Fo/(Q*(Fo^2-A265^2)))</f>
        <v>5.8423399442300112E-3</v>
      </c>
      <c r="H265">
        <f t="shared" ref="H265:H328" si="216">IF(G265&gt;0,G265-Pi,G265)</f>
        <v>-3.1357503100557702</v>
      </c>
      <c r="J265">
        <f t="shared" ref="J265:J328" si="217">Vin/Vramp</f>
        <v>15</v>
      </c>
      <c r="M265">
        <f t="shared" ref="M265:M328" si="218">1/(2*Pi*_Rfb1*(Cc1ea_u+Cc2ea_u)*A265)</f>
        <v>4.904886775792967E-3</v>
      </c>
      <c r="N265">
        <f t="shared" ref="N265:N328" si="219">-Pi/2</f>
        <v>-1.5707963250000001</v>
      </c>
      <c r="O265">
        <f t="shared" ref="O265:O328" si="220">SQRT(1+(A265/Fz1_u)^2)</f>
        <v>50.087127520429249</v>
      </c>
      <c r="P265">
        <f t="shared" ref="P265:P328" si="221">ATAN2(Fz1_u,A265)</f>
        <v>1.5508297905537407</v>
      </c>
      <c r="Q265">
        <f t="shared" ref="Q265:Q328" si="222">SQRT(1+(A265/Fz2_u)^2)</f>
        <v>43.540387554464509</v>
      </c>
      <c r="R265">
        <f t="shared" ref="R265:R328" si="223">ATAN2(Fz2_u,A265)</f>
        <v>1.5478271252721802</v>
      </c>
      <c r="S265">
        <f t="shared" ref="S265:S328" si="224">1/SQRT(1+(A265/Fp1_u)^2)</f>
        <v>0.63067602812981916</v>
      </c>
      <c r="T265">
        <f t="shared" ref="T265:T328" si="225">-ATAN2(Fp1_u,A265)</f>
        <v>-0.88837230487676222</v>
      </c>
      <c r="U265">
        <f t="shared" ref="U265:U328" si="226">1/SQRT(1+(A265/Fp2_u)^2)</f>
        <v>0.62569141034280507</v>
      </c>
      <c r="V265">
        <f t="shared" ref="V265:V328" si="227">-ATAN2(Fp2_u,A265)</f>
        <v>-0.89477876537813217</v>
      </c>
      <c r="X265">
        <f t="shared" si="192"/>
        <v>-25.70115430476239</v>
      </c>
      <c r="Y265">
        <f t="shared" ref="Y265:Y328" si="228">(180/Pi)*(D265+H265+N265+P265+R265+T265+V265)</f>
        <v>-192.49363673240759</v>
      </c>
      <c r="Z265">
        <f t="shared" si="193"/>
        <v>-12.493636732407595</v>
      </c>
      <c r="AC265">
        <v>1</v>
      </c>
      <c r="AD265">
        <f t="shared" ref="AD265:AD328" si="229">Rcea1_u*Cc1ea_u*A265*2*Pi</f>
        <v>50.077143920632501</v>
      </c>
      <c r="AE265">
        <f t="shared" ref="AE265:AE328" si="230">-Rcea1_u*Cc1ea_u*Cc2ea_u*(A265*2*Pi)^2</f>
        <v>-9.6281056211719365E-3</v>
      </c>
      <c r="AF265">
        <f t="shared" ref="AF265:AF328" si="231">(Cc2ea_u+Cc1ea_u)*A265*2*Pi</f>
        <v>7.7226630522300001E-3</v>
      </c>
      <c r="AG265">
        <f t="shared" si="194"/>
        <v>2475.3902186117589</v>
      </c>
      <c r="AH265">
        <f t="shared" si="195"/>
        <v>-3215.6418466605273</v>
      </c>
      <c r="AJ265">
        <f t="shared" ref="AJ265:AJ328" si="232">_Rfb1</f>
        <v>26400</v>
      </c>
      <c r="AK265">
        <f t="shared" ref="AK265:AK328" si="233">_Rfb1*Rcea2_u*Cc3ea_u*A265*2*Pi</f>
        <v>32485.173841612803</v>
      </c>
      <c r="AL265">
        <v>1</v>
      </c>
      <c r="AM265">
        <f t="shared" ref="AM265:AM328" si="234">(_Rfb1+Rcea2_u)*Cc3ea_u*A265*2*Pi</f>
        <v>43.528902448752007</v>
      </c>
      <c r="AN265">
        <f t="shared" si="196"/>
        <v>759.82186529750197</v>
      </c>
      <c r="AO265">
        <f t="shared" si="197"/>
        <v>-589.03801135095273</v>
      </c>
      <c r="AQ265">
        <f t="shared" ref="AQ265:AQ328" si="235">Eadcg/(1+(Eadcg*A265/GBP)^2)</f>
        <v>3.8446603434819551E-2</v>
      </c>
      <c r="AR265">
        <f t="shared" ref="AR265:AR328" si="236">-(A265*Eadcg*Eadcg/GBP)/(1+(Eadcg*A265/GBP)^2)</f>
        <v>-19.607767751757972</v>
      </c>
      <c r="AT265">
        <f t="shared" si="209"/>
        <v>-62956.388156072346</v>
      </c>
      <c r="AU265">
        <f t="shared" si="210"/>
        <v>-48660.507008379733</v>
      </c>
      <c r="AV265">
        <f t="shared" si="198"/>
        <v>-2.4835808466133127</v>
      </c>
      <c r="AW265">
        <f t="shared" si="199"/>
        <v>-8293.59566051205</v>
      </c>
      <c r="AX265">
        <f t="shared" si="200"/>
        <v>-21164.120734894732</v>
      </c>
      <c r="AY265">
        <f t="shared" si="208"/>
        <v>-1.9442749733227629</v>
      </c>
      <c r="BA265">
        <f t="shared" ref="BA265:BA328" si="237">SQRT(AT265^2+AU265^2)/SQRT(AW265^2+AX265^2)</f>
        <v>3.5004785484053573</v>
      </c>
      <c r="BB265">
        <f t="shared" si="201"/>
        <v>10.882548411147795</v>
      </c>
      <c r="BC265">
        <f t="shared" si="202"/>
        <v>-0.5393058732905498</v>
      </c>
      <c r="BD265">
        <f t="shared" ref="BD265:BD328" si="238">BC265*180/Pi-180</f>
        <v>-210.899950441474</v>
      </c>
      <c r="BF265">
        <f t="shared" ref="BF265:BF328" si="239">20*LOG(BA265*J265*F265*C265)</f>
        <v>-27.326884284036772</v>
      </c>
      <c r="BG265">
        <f t="shared" ref="BG265:BG328" si="240">(180/Pi)*(D265+H265+BC265)</f>
        <v>-208.7665201360162</v>
      </c>
      <c r="BH265">
        <f t="shared" si="203"/>
        <v>-28.766520136016197</v>
      </c>
      <c r="BI265">
        <f t="shared" si="204"/>
        <v>-28.766520136016197</v>
      </c>
      <c r="BJ265">
        <f t="shared" ref="BJ265:BJ328" si="241">SUM((BF266&lt;0)*(BF265&gt;0))*A265</f>
        <v>0</v>
      </c>
      <c r="BK265">
        <f t="shared" si="205"/>
        <v>0</v>
      </c>
      <c r="BM265">
        <f t="shared" si="206"/>
        <v>-38.209432695184574</v>
      </c>
      <c r="BN265">
        <f t="shared" ref="BN265:BN328" si="242">(H265+D265)*180/Pi</f>
        <v>-177.86656969454222</v>
      </c>
      <c r="BQ265" s="56">
        <f t="shared" si="207"/>
        <v>27.78450921143293</v>
      </c>
      <c r="BR265" s="59"/>
      <c r="BS265" s="59"/>
      <c r="BT265" s="59">
        <v>35481.339</v>
      </c>
      <c r="BU265" s="59">
        <v>-1.5620799999999999</v>
      </c>
      <c r="BV265" s="59">
        <v>-147.47</v>
      </c>
      <c r="BY265" s="59"/>
      <c r="BZ265" s="59"/>
      <c r="CA265" s="59"/>
      <c r="CC265" s="59"/>
    </row>
    <row r="266" spans="1:81" x14ac:dyDescent="0.2">
      <c r="A266">
        <f t="shared" si="211"/>
        <v>260000</v>
      </c>
      <c r="B266">
        <f t="shared" ref="B266:B329" si="243">A266/1000</f>
        <v>260</v>
      </c>
      <c r="C266">
        <f t="shared" si="212"/>
        <v>1.0005124804577716</v>
      </c>
      <c r="D266">
        <f t="shared" si="213"/>
        <v>3.2008176765484203E-2</v>
      </c>
      <c r="F266">
        <f t="shared" si="214"/>
        <v>7.8766846883010304E-4</v>
      </c>
      <c r="G266">
        <f t="shared" si="215"/>
        <v>5.729810907534833E-3</v>
      </c>
      <c r="H266">
        <f t="shared" si="216"/>
        <v>-3.1358628390924652</v>
      </c>
      <c r="J266">
        <f t="shared" si="217"/>
        <v>15</v>
      </c>
      <c r="M266">
        <f t="shared" si="218"/>
        <v>4.810562030104641E-3</v>
      </c>
      <c r="N266">
        <f t="shared" si="219"/>
        <v>-1.5707963250000001</v>
      </c>
      <c r="O266">
        <f t="shared" si="220"/>
        <v>51.068840348055218</v>
      </c>
      <c r="P266">
        <f t="shared" si="221"/>
        <v>1.5512136632862796</v>
      </c>
      <c r="Q266">
        <f t="shared" si="222"/>
        <v>44.393674634790237</v>
      </c>
      <c r="R266">
        <f t="shared" si="223"/>
        <v>1.5482686897916449</v>
      </c>
      <c r="S266">
        <f t="shared" si="224"/>
        <v>0.62328739878864836</v>
      </c>
      <c r="T266">
        <f t="shared" si="225"/>
        <v>-0.89785675755405803</v>
      </c>
      <c r="U266">
        <f t="shared" si="226"/>
        <v>0.61828630182541111</v>
      </c>
      <c r="V266">
        <f t="shared" si="227"/>
        <v>-0.90423590660717668</v>
      </c>
      <c r="X266">
        <f t="shared" ref="X266:X329" si="244">20*LOG(C266*J266*O266*Q266*F266*M266*S266*U266)</f>
        <v>-26.075837770067366</v>
      </c>
      <c r="Y266">
        <f t="shared" si="228"/>
        <v>-193.50281893289136</v>
      </c>
      <c r="Z266">
        <f t="shared" ref="Z266:Z329" si="245">Y266+180</f>
        <v>-13.502818932891358</v>
      </c>
      <c r="AC266">
        <v>1</v>
      </c>
      <c r="AD266">
        <f t="shared" si="229"/>
        <v>51.059048703389998</v>
      </c>
      <c r="AE266">
        <f t="shared" si="230"/>
        <v>-1.0009380084447874E-2</v>
      </c>
      <c r="AF266">
        <f t="shared" si="231"/>
        <v>7.8740878179600002E-3</v>
      </c>
      <c r="AG266">
        <f t="shared" ref="AG266:AG329" si="246">AC266*AE266/(AE266^2+AF266^2)+AD266*AF266/(AE266^2+AF266^2)</f>
        <v>2417.1440569479537</v>
      </c>
      <c r="AH266">
        <f t="shared" ref="AH266:AH329" si="247">AD266*AE266/(AE266^2+AF266^2)-AC266*AF266/(AE266^2+AF266^2)</f>
        <v>-3199.6231395071759</v>
      </c>
      <c r="AJ266">
        <f t="shared" si="232"/>
        <v>26400</v>
      </c>
      <c r="AK266">
        <f t="shared" si="233"/>
        <v>33122.138034585601</v>
      </c>
      <c r="AL266">
        <v>1</v>
      </c>
      <c r="AM266">
        <f t="shared" si="234"/>
        <v>44.382410339904006</v>
      </c>
      <c r="AN266">
        <f t="shared" ref="AN266:AN329" si="248">AJ266*AL266/(AL266^2+AM266^2)+AK266*AM266/(AL266^2+AM266^2)</f>
        <v>759.30666545551549</v>
      </c>
      <c r="AO266">
        <f t="shared" ref="AO266:AO329" si="249">AK266*AL266/(AL266^2+AM266^2)-AJ266*AM266/(AL266^2+AM266^2)</f>
        <v>-577.72196548530098</v>
      </c>
      <c r="AQ266">
        <f t="shared" si="235"/>
        <v>3.6982111752545295E-2</v>
      </c>
      <c r="AR266">
        <f t="shared" si="236"/>
        <v>-19.230698111323552</v>
      </c>
      <c r="AT266">
        <f t="shared" si="209"/>
        <v>-61441.595574231731</v>
      </c>
      <c r="AU266">
        <f t="shared" si="210"/>
        <v>-46601.696471257244</v>
      </c>
      <c r="AV266">
        <f t="shared" ref="AV266:AV329" si="250">ATAN2(AT266,AU266)</f>
        <v>-2.4926918223582648</v>
      </c>
      <c r="AW266">
        <f t="shared" ref="AW266:AW329" si="251">AG266-AH266*AO266/_Rfb2+AG266*AN266/_Rfb2+AN266-AO266*AR266+AQ266*AN266</f>
        <v>-7913.6770836444903</v>
      </c>
      <c r="AX266">
        <f t="shared" ref="AX266:AX329" si="252">AH266+AH266*AN266/_Rfb2+AG266*AO266/_Rfb2+AO266+AO266*AQ266+AN266*AR266</f>
        <v>-20791.915485706835</v>
      </c>
      <c r="AY266">
        <f t="shared" si="208"/>
        <v>-1.9344790372932541</v>
      </c>
      <c r="BA266">
        <f t="shared" si="237"/>
        <v>3.4663252874910366</v>
      </c>
      <c r="BB266">
        <f t="shared" ref="BB266:BB329" si="253">20*LOG(BA266)</f>
        <v>10.797386308548234</v>
      </c>
      <c r="BC266">
        <f t="shared" ref="BC266:BC329" si="254">AV266-AY266</f>
        <v>-0.55821278506501071</v>
      </c>
      <c r="BD266">
        <f t="shared" si="238"/>
        <v>-211.98323669101464</v>
      </c>
      <c r="BF266">
        <f t="shared" si="239"/>
        <v>-27.749469090515802</v>
      </c>
      <c r="BG266">
        <f t="shared" si="240"/>
        <v>-209.82100926756317</v>
      </c>
      <c r="BH266">
        <f t="shared" ref="BH266:BH329" si="255">IF(BG266&gt;180,BG266-180,BG266+180)</f>
        <v>-29.82100926756317</v>
      </c>
      <c r="BI266">
        <f t="shared" ref="BI266:BI329" si="256">IF(BH266&gt;180,BH266-360,BH266)</f>
        <v>-29.82100926756317</v>
      </c>
      <c r="BJ266">
        <f t="shared" si="241"/>
        <v>0</v>
      </c>
      <c r="BK266">
        <f t="shared" ref="BK266:BK329" si="257">IF(BJ266&gt;0,BI266,0)</f>
        <v>0</v>
      </c>
      <c r="BM266">
        <f t="shared" ref="BM266:BM329" si="258">20*LOG(J266*F266*C266)</f>
        <v>-38.546855399064043</v>
      </c>
      <c r="BN266">
        <f t="shared" si="242"/>
        <v>-177.83777257654856</v>
      </c>
      <c r="BQ266" s="56">
        <f t="shared" ref="BQ266:BQ329" si="259">20*LOG(BA266*7)</f>
        <v>27.699347108833372</v>
      </c>
      <c r="BR266" s="59"/>
      <c r="BS266" s="59"/>
      <c r="BT266" s="59">
        <v>36307.805</v>
      </c>
      <c r="BU266" s="59">
        <v>-1.4274800000000001</v>
      </c>
      <c r="BV266" s="59">
        <v>-146.52500000000001</v>
      </c>
      <c r="BY266" s="59"/>
      <c r="BZ266" s="59"/>
      <c r="CA266" s="59"/>
      <c r="CC266" s="59"/>
    </row>
    <row r="267" spans="1:81" x14ac:dyDescent="0.2">
      <c r="A267">
        <f t="shared" si="211"/>
        <v>265000</v>
      </c>
      <c r="B267">
        <f t="shared" si="243"/>
        <v>265</v>
      </c>
      <c r="C267">
        <f t="shared" si="212"/>
        <v>1.000532375476952</v>
      </c>
      <c r="D267">
        <f t="shared" si="213"/>
        <v>3.2623286095258247E-2</v>
      </c>
      <c r="F267">
        <f t="shared" si="214"/>
        <v>7.5820366845492297E-4</v>
      </c>
      <c r="G267">
        <f t="shared" si="215"/>
        <v>5.6215379600071304E-3</v>
      </c>
      <c r="H267">
        <f t="shared" si="216"/>
        <v>-3.1359711120399929</v>
      </c>
      <c r="J267">
        <f t="shared" si="217"/>
        <v>15</v>
      </c>
      <c r="M267">
        <f t="shared" si="218"/>
        <v>4.7197967087819126E-3</v>
      </c>
      <c r="N267">
        <f t="shared" si="219"/>
        <v>-1.5707963250000001</v>
      </c>
      <c r="O267">
        <f t="shared" si="220"/>
        <v>52.05056041722672</v>
      </c>
      <c r="P267">
        <f t="shared" si="221"/>
        <v>1.5515830557062118</v>
      </c>
      <c r="Q267">
        <f t="shared" si="222"/>
        <v>45.246970044487895</v>
      </c>
      <c r="R267">
        <f t="shared" si="223"/>
        <v>1.5486935997965057</v>
      </c>
      <c r="S267">
        <f t="shared" si="224"/>
        <v>0.6160163856469163</v>
      </c>
      <c r="T267">
        <f t="shared" si="225"/>
        <v>-0.90712074409000076</v>
      </c>
      <c r="U267">
        <f t="shared" si="226"/>
        <v>0.61100168201957994</v>
      </c>
      <c r="V267">
        <f t="shared" si="227"/>
        <v>-0.91347101053455149</v>
      </c>
      <c r="X267">
        <f t="shared" si="244"/>
        <v>-26.446376766102514</v>
      </c>
      <c r="Y267">
        <f t="shared" si="228"/>
        <v>-194.48818898019209</v>
      </c>
      <c r="Z267">
        <f t="shared" si="245"/>
        <v>-14.488188980192092</v>
      </c>
      <c r="AC267">
        <v>1</v>
      </c>
      <c r="AD267">
        <f t="shared" si="229"/>
        <v>52.040953486147501</v>
      </c>
      <c r="AE267">
        <f t="shared" si="230"/>
        <v>-1.0398057935360236E-2</v>
      </c>
      <c r="AF267">
        <f t="shared" si="231"/>
        <v>8.0255125836899994E-3</v>
      </c>
      <c r="AG267">
        <f t="shared" si="246"/>
        <v>2360.5222386922951</v>
      </c>
      <c r="AH267">
        <f t="shared" si="247"/>
        <v>-3182.9551980944784</v>
      </c>
      <c r="AJ267">
        <f t="shared" si="232"/>
        <v>26400</v>
      </c>
      <c r="AK267">
        <f t="shared" si="233"/>
        <v>33759.102227558404</v>
      </c>
      <c r="AL267">
        <v>1</v>
      </c>
      <c r="AM267">
        <f t="shared" si="234"/>
        <v>45.235918231056004</v>
      </c>
      <c r="AN267">
        <f t="shared" si="248"/>
        <v>758.82033286685646</v>
      </c>
      <c r="AO267">
        <f t="shared" si="249"/>
        <v>-566.83230206941175</v>
      </c>
      <c r="AQ267">
        <f t="shared" si="235"/>
        <v>3.559973086603465E-2</v>
      </c>
      <c r="AR267">
        <f t="shared" si="236"/>
        <v>-18.867857358998364</v>
      </c>
      <c r="AT267">
        <f t="shared" si="209"/>
        <v>-59971.510701328261</v>
      </c>
      <c r="AU267">
        <f t="shared" si="210"/>
        <v>-44651.309240800518</v>
      </c>
      <c r="AV267">
        <f t="shared" si="250"/>
        <v>-2.5015938182042827</v>
      </c>
      <c r="AW267">
        <f t="shared" si="251"/>
        <v>-7556.673120368192</v>
      </c>
      <c r="AX267">
        <f t="shared" si="252"/>
        <v>-20433.099990179704</v>
      </c>
      <c r="AY267">
        <f t="shared" ref="AY267:AY330" si="260">ATAN2(AW267,AX267)</f>
        <v>-1.925022392315195</v>
      </c>
      <c r="BA267">
        <f t="shared" si="237"/>
        <v>3.4320034535910238</v>
      </c>
      <c r="BB267">
        <f t="shared" si="253"/>
        <v>10.710954324062318</v>
      </c>
      <c r="BC267">
        <f t="shared" si="254"/>
        <v>-0.57657142588908772</v>
      </c>
      <c r="BD267">
        <f t="shared" si="238"/>
        <v>-213.03510932903276</v>
      </c>
      <c r="BF267">
        <f t="shared" si="239"/>
        <v>-28.166879943355369</v>
      </c>
      <c r="BG267">
        <f t="shared" si="240"/>
        <v>-210.84384231994173</v>
      </c>
      <c r="BH267">
        <f t="shared" si="255"/>
        <v>-30.843842319941729</v>
      </c>
      <c r="BI267">
        <f t="shared" si="256"/>
        <v>-30.843842319941729</v>
      </c>
      <c r="BJ267">
        <f t="shared" si="241"/>
        <v>0</v>
      </c>
      <c r="BK267">
        <f t="shared" si="257"/>
        <v>0</v>
      </c>
      <c r="BM267">
        <f t="shared" si="258"/>
        <v>-38.87783426741769</v>
      </c>
      <c r="BN267">
        <f t="shared" si="242"/>
        <v>-177.80873299090899</v>
      </c>
      <c r="BQ267" s="56">
        <f t="shared" si="259"/>
        <v>27.612915124347456</v>
      </c>
      <c r="BR267" s="59"/>
      <c r="BS267" s="59"/>
      <c r="BT267" s="59">
        <v>37153.523000000001</v>
      </c>
      <c r="BU267" s="59">
        <v>-1.30297</v>
      </c>
      <c r="BV267" s="59">
        <v>-145.744</v>
      </c>
      <c r="BY267" s="59"/>
      <c r="BZ267" s="59"/>
      <c r="CA267" s="59"/>
      <c r="CC267" s="59"/>
    </row>
    <row r="268" spans="1:81" x14ac:dyDescent="0.2">
      <c r="A268">
        <f t="shared" si="211"/>
        <v>270000</v>
      </c>
      <c r="B268">
        <f t="shared" si="243"/>
        <v>270</v>
      </c>
      <c r="C268">
        <f t="shared" si="212"/>
        <v>1.000552649041911</v>
      </c>
      <c r="D268">
        <f t="shared" si="213"/>
        <v>3.3238370730605642E-2</v>
      </c>
      <c r="F268">
        <f t="shared" si="214"/>
        <v>7.3036215850626077E-4</v>
      </c>
      <c r="G268">
        <f t="shared" si="215"/>
        <v>5.517283952012837E-3</v>
      </c>
      <c r="H268">
        <f t="shared" si="216"/>
        <v>-3.1360753660479874</v>
      </c>
      <c r="J268">
        <f t="shared" si="217"/>
        <v>15</v>
      </c>
      <c r="M268">
        <f t="shared" si="218"/>
        <v>4.6323930660266913E-3</v>
      </c>
      <c r="N268">
        <f t="shared" si="219"/>
        <v>-1.5707963250000001</v>
      </c>
      <c r="O268">
        <f t="shared" si="220"/>
        <v>53.032287325782846</v>
      </c>
      <c r="P268">
        <f t="shared" si="221"/>
        <v>1.5519387718828916</v>
      </c>
      <c r="Q268">
        <f t="shared" si="222"/>
        <v>46.100273321038671</v>
      </c>
      <c r="R268">
        <f t="shared" si="223"/>
        <v>1.5491027799402384</v>
      </c>
      <c r="S268">
        <f t="shared" si="224"/>
        <v>0.60886260032905593</v>
      </c>
      <c r="T268">
        <f t="shared" si="225"/>
        <v>-0.91617032739845061</v>
      </c>
      <c r="U268">
        <f t="shared" si="226"/>
        <v>0.60383700542957075</v>
      </c>
      <c r="V268">
        <f t="shared" si="227"/>
        <v>-0.92249028497441676</v>
      </c>
      <c r="X268">
        <f t="shared" si="244"/>
        <v>-26.812844927417725</v>
      </c>
      <c r="Y268">
        <f t="shared" si="228"/>
        <v>-195.45036450097419</v>
      </c>
      <c r="Z268">
        <f t="shared" si="245"/>
        <v>-15.450364500974189</v>
      </c>
      <c r="AC268">
        <v>1</v>
      </c>
      <c r="AD268">
        <f t="shared" si="229"/>
        <v>53.022858268904997</v>
      </c>
      <c r="AE268">
        <f t="shared" si="230"/>
        <v>-1.0794139173909024E-2</v>
      </c>
      <c r="AF268">
        <f t="shared" si="231"/>
        <v>8.1769373494200003E-3</v>
      </c>
      <c r="AG268">
        <f t="shared" si="246"/>
        <v>2305.4872996306003</v>
      </c>
      <c r="AH268">
        <f t="shared" si="247"/>
        <v>-3165.7024714428694</v>
      </c>
      <c r="AJ268">
        <f t="shared" si="232"/>
        <v>26400</v>
      </c>
      <c r="AK268">
        <f t="shared" si="233"/>
        <v>34396.066420531206</v>
      </c>
      <c r="AL268">
        <v>1</v>
      </c>
      <c r="AM268">
        <f t="shared" si="234"/>
        <v>46.089426122208003</v>
      </c>
      <c r="AN268">
        <f t="shared" si="248"/>
        <v>758.360750836183</v>
      </c>
      <c r="AO268">
        <f t="shared" si="249"/>
        <v>-556.34537911524342</v>
      </c>
      <c r="AQ268">
        <f t="shared" si="235"/>
        <v>3.4293435207698189E-2</v>
      </c>
      <c r="AR268">
        <f t="shared" si="236"/>
        <v>-18.518455012157023</v>
      </c>
      <c r="AT268">
        <f t="shared" si="209"/>
        <v>-58544.855719957028</v>
      </c>
      <c r="AU268">
        <f t="shared" si="210"/>
        <v>-42802.625651899929</v>
      </c>
      <c r="AV268">
        <f t="shared" si="250"/>
        <v>-2.5102923169463485</v>
      </c>
      <c r="AW268">
        <f t="shared" si="251"/>
        <v>-7220.8225674085588</v>
      </c>
      <c r="AX268">
        <f t="shared" si="252"/>
        <v>-20086.916110193968</v>
      </c>
      <c r="AY268">
        <f t="shared" si="260"/>
        <v>-1.9158905196785301</v>
      </c>
      <c r="BA268">
        <f t="shared" si="237"/>
        <v>3.3975932503384136</v>
      </c>
      <c r="BB268">
        <f t="shared" si="253"/>
        <v>10.623427704273997</v>
      </c>
      <c r="BC268">
        <f t="shared" si="254"/>
        <v>-0.59440179726781839</v>
      </c>
      <c r="BD268">
        <f t="shared" si="238"/>
        <v>-214.05671435735223</v>
      </c>
      <c r="BF268">
        <f t="shared" si="239"/>
        <v>-28.579182922732848</v>
      </c>
      <c r="BG268">
        <f t="shared" si="240"/>
        <v>-211.83617890923443</v>
      </c>
      <c r="BH268">
        <f t="shared" si="255"/>
        <v>-31.836178909234434</v>
      </c>
      <c r="BI268">
        <f t="shared" si="256"/>
        <v>-31.836178909234434</v>
      </c>
      <c r="BJ268">
        <f t="shared" si="241"/>
        <v>0</v>
      </c>
      <c r="BK268">
        <f t="shared" si="257"/>
        <v>0</v>
      </c>
      <c r="BM268">
        <f t="shared" si="258"/>
        <v>-39.202610627006841</v>
      </c>
      <c r="BN268">
        <f t="shared" si="242"/>
        <v>-177.77946455188223</v>
      </c>
      <c r="BQ268" s="56">
        <f t="shared" si="259"/>
        <v>27.525388504559132</v>
      </c>
      <c r="BR268" s="59"/>
      <c r="BS268" s="59"/>
      <c r="BT268" s="59">
        <v>38018.94</v>
      </c>
      <c r="BU268" s="59">
        <v>-1.18652</v>
      </c>
      <c r="BV268" s="59">
        <v>-144.86799999999999</v>
      </c>
      <c r="BY268" s="59"/>
      <c r="BZ268" s="59"/>
      <c r="CA268" s="59"/>
      <c r="CC268" s="59"/>
    </row>
    <row r="269" spans="1:81" x14ac:dyDescent="0.2">
      <c r="A269">
        <f t="shared" si="211"/>
        <v>275000</v>
      </c>
      <c r="B269">
        <f t="shared" si="243"/>
        <v>275</v>
      </c>
      <c r="C269">
        <f t="shared" si="212"/>
        <v>1.0005733011296385</v>
      </c>
      <c r="D269">
        <f t="shared" si="213"/>
        <v>3.3853430207633012E-2</v>
      </c>
      <c r="F269">
        <f t="shared" si="214"/>
        <v>7.0402682449043172E-4</v>
      </c>
      <c r="G269">
        <f t="shared" si="215"/>
        <v>5.4168290431780303E-3</v>
      </c>
      <c r="H269">
        <f t="shared" si="216"/>
        <v>-3.1361758209568222</v>
      </c>
      <c r="J269">
        <f t="shared" si="217"/>
        <v>15</v>
      </c>
      <c r="M269">
        <f t="shared" si="218"/>
        <v>4.5481677375534789E-3</v>
      </c>
      <c r="N269">
        <f t="shared" si="219"/>
        <v>-1.5707963250000001</v>
      </c>
      <c r="O269">
        <f t="shared" si="220"/>
        <v>54.014020700797786</v>
      </c>
      <c r="P269">
        <f t="shared" si="221"/>
        <v>1.5522815574425957</v>
      </c>
      <c r="Q269">
        <f t="shared" si="222"/>
        <v>46.953584035541645</v>
      </c>
      <c r="R269">
        <f t="shared" si="223"/>
        <v>1.5494970876815894</v>
      </c>
      <c r="S269">
        <f t="shared" si="224"/>
        <v>0.60182546126372072</v>
      </c>
      <c r="T269">
        <f t="shared" si="225"/>
        <v>-0.92501143356080262</v>
      </c>
      <c r="U269">
        <f t="shared" si="226"/>
        <v>0.5967915387724686</v>
      </c>
      <c r="V269">
        <f t="shared" si="227"/>
        <v>-0.93129979151895526</v>
      </c>
      <c r="X269">
        <f t="shared" si="244"/>
        <v>-27.175313631749116</v>
      </c>
      <c r="Y269">
        <f t="shared" si="228"/>
        <v>-196.3899531108392</v>
      </c>
      <c r="Z269">
        <f t="shared" si="245"/>
        <v>-16.389953110839201</v>
      </c>
      <c r="AC269">
        <v>1</v>
      </c>
      <c r="AD269">
        <f t="shared" si="229"/>
        <v>54.004763051662501</v>
      </c>
      <c r="AE269">
        <f t="shared" si="230"/>
        <v>-1.1197623800094236E-2</v>
      </c>
      <c r="AF269">
        <f t="shared" si="231"/>
        <v>8.3283621151499995E-3</v>
      </c>
      <c r="AG269">
        <f t="shared" si="246"/>
        <v>2252.0011034600057</v>
      </c>
      <c r="AH269">
        <f t="shared" si="247"/>
        <v>-3147.9252212450242</v>
      </c>
      <c r="AJ269">
        <f t="shared" si="232"/>
        <v>26400</v>
      </c>
      <c r="AK269">
        <f t="shared" si="233"/>
        <v>35033.030613504001</v>
      </c>
      <c r="AL269">
        <v>1</v>
      </c>
      <c r="AM269">
        <f t="shared" si="234"/>
        <v>46.942934013360009</v>
      </c>
      <c r="AN269">
        <f t="shared" si="248"/>
        <v>757.92599315101222</v>
      </c>
      <c r="AO269">
        <f t="shared" si="249"/>
        <v>-546.2392699943133</v>
      </c>
      <c r="AQ269">
        <f t="shared" si="235"/>
        <v>3.3057741957877827E-2</v>
      </c>
      <c r="AR269">
        <f t="shared" si="236"/>
        <v>-18.181758076832804</v>
      </c>
      <c r="AT269">
        <f t="shared" si="209"/>
        <v>-57160.368745270374</v>
      </c>
      <c r="AU269">
        <f t="shared" si="210"/>
        <v>-41049.40255153695</v>
      </c>
      <c r="AV269">
        <f t="shared" si="250"/>
        <v>-2.5187927078514734</v>
      </c>
      <c r="AW269">
        <f t="shared" si="251"/>
        <v>-6904.5267167943812</v>
      </c>
      <c r="AX269">
        <f t="shared" si="252"/>
        <v>-19752.665093475032</v>
      </c>
      <c r="AY269">
        <f t="shared" si="260"/>
        <v>-1.9070694156013834</v>
      </c>
      <c r="BA269">
        <f t="shared" si="237"/>
        <v>3.3631660180406486</v>
      </c>
      <c r="BB269">
        <f t="shared" si="253"/>
        <v>10.534966123808886</v>
      </c>
      <c r="BC269">
        <f t="shared" si="254"/>
        <v>-0.61172329225008992</v>
      </c>
      <c r="BD269">
        <f t="shared" si="238"/>
        <v>-215.04916291582748</v>
      </c>
      <c r="BF269">
        <f t="shared" si="239"/>
        <v>-28.986446356880666</v>
      </c>
      <c r="BG269">
        <f t="shared" si="240"/>
        <v>-212.79914279780039</v>
      </c>
      <c r="BH269">
        <f t="shared" si="255"/>
        <v>-32.799142797800386</v>
      </c>
      <c r="BI269">
        <f t="shared" si="256"/>
        <v>-32.799142797800386</v>
      </c>
      <c r="BJ269">
        <f t="shared" si="241"/>
        <v>0</v>
      </c>
      <c r="BK269">
        <f t="shared" si="257"/>
        <v>0</v>
      </c>
      <c r="BM269">
        <f t="shared" si="258"/>
        <v>-39.521412480689555</v>
      </c>
      <c r="BN269">
        <f t="shared" si="242"/>
        <v>-177.74997988197293</v>
      </c>
      <c r="BQ269" s="56">
        <f t="shared" si="259"/>
        <v>27.436926924094021</v>
      </c>
      <c r="BR269" s="59"/>
      <c r="BS269" s="59"/>
      <c r="BT269" s="59">
        <v>38904.514000000003</v>
      </c>
      <c r="BU269" s="59">
        <v>-1.0515600000000001</v>
      </c>
      <c r="BV269" s="59">
        <v>-144.06</v>
      </c>
      <c r="BY269" s="59"/>
      <c r="BZ269" s="59"/>
      <c r="CA269" s="59"/>
      <c r="CC269" s="59"/>
    </row>
    <row r="270" spans="1:81" x14ac:dyDescent="0.2">
      <c r="A270">
        <f t="shared" si="211"/>
        <v>280000</v>
      </c>
      <c r="B270">
        <f t="shared" si="243"/>
        <v>280</v>
      </c>
      <c r="C270">
        <f t="shared" si="212"/>
        <v>1.0005943317166968</v>
      </c>
      <c r="D270">
        <f t="shared" si="213"/>
        <v>3.4468464062561009E-2</v>
      </c>
      <c r="F270">
        <f t="shared" si="214"/>
        <v>6.7909092850302482E-4</v>
      </c>
      <c r="G270">
        <f t="shared" si="215"/>
        <v>5.3199691504422176E-3</v>
      </c>
      <c r="H270">
        <f t="shared" si="216"/>
        <v>-3.136272680849558</v>
      </c>
      <c r="J270">
        <f t="shared" si="217"/>
        <v>15</v>
      </c>
      <c r="M270">
        <f t="shared" si="218"/>
        <v>4.4669504565257381E-3</v>
      </c>
      <c r="N270">
        <f t="shared" si="219"/>
        <v>-1.5707963250000001</v>
      </c>
      <c r="O270">
        <f t="shared" si="220"/>
        <v>54.99576019597184</v>
      </c>
      <c r="P270">
        <f t="shared" si="221"/>
        <v>1.5526121047830379</v>
      </c>
      <c r="Q270">
        <f t="shared" si="222"/>
        <v>47.806901789714324</v>
      </c>
      <c r="R270">
        <f t="shared" si="223"/>
        <v>1.5498773192786048</v>
      </c>
      <c r="S270">
        <f t="shared" si="224"/>
        <v>0.59490421488764222</v>
      </c>
      <c r="T270">
        <f t="shared" si="225"/>
        <v>-0.93364984920934602</v>
      </c>
      <c r="U270">
        <f t="shared" si="226"/>
        <v>0.58986438234220706</v>
      </c>
      <c r="V270">
        <f t="shared" si="227"/>
        <v>-0.93990544340052185</v>
      </c>
      <c r="X270">
        <f t="shared" si="244"/>
        <v>-27.533852198676033</v>
      </c>
      <c r="Y270">
        <f t="shared" si="228"/>
        <v>-197.30755158863124</v>
      </c>
      <c r="Z270">
        <f t="shared" si="245"/>
        <v>-17.307551588631242</v>
      </c>
      <c r="AC270">
        <v>1</v>
      </c>
      <c r="AD270">
        <f t="shared" si="229"/>
        <v>54.986667834420004</v>
      </c>
      <c r="AE270">
        <f t="shared" si="230"/>
        <v>-1.1608511813915876E-2</v>
      </c>
      <c r="AF270">
        <f t="shared" si="231"/>
        <v>8.4797868808799987E-3</v>
      </c>
      <c r="AG270">
        <f t="shared" si="246"/>
        <v>2200.0250751444196</v>
      </c>
      <c r="AH270">
        <f t="shared" si="247"/>
        <v>-3129.6797252728884</v>
      </c>
      <c r="AJ270">
        <f t="shared" si="232"/>
        <v>26400</v>
      </c>
      <c r="AK270">
        <f t="shared" si="233"/>
        <v>35669.994806476803</v>
      </c>
      <c r="AL270">
        <v>1</v>
      </c>
      <c r="AM270">
        <f t="shared" si="234"/>
        <v>47.796441904512008</v>
      </c>
      <c r="AN270">
        <f t="shared" si="248"/>
        <v>757.51430387880339</v>
      </c>
      <c r="AO270">
        <f t="shared" si="249"/>
        <v>-536.49361070327984</v>
      </c>
      <c r="AQ270">
        <f t="shared" si="235"/>
        <v>3.1887653419472514E-2</v>
      </c>
      <c r="AR270">
        <f t="shared" si="236"/>
        <v>-17.857085914904609</v>
      </c>
      <c r="AT270">
        <f t="shared" si="209"/>
        <v>-55816.806103222661</v>
      </c>
      <c r="AU270">
        <f t="shared" si="210"/>
        <v>-39385.834924191826</v>
      </c>
      <c r="AV270">
        <f t="shared" si="250"/>
        <v>-2.5271002798196398</v>
      </c>
      <c r="AW270">
        <f t="shared" si="251"/>
        <v>-6606.3319620468537</v>
      </c>
      <c r="AX270">
        <f t="shared" si="252"/>
        <v>-19429.701711088786</v>
      </c>
      <c r="AY270">
        <f t="shared" si="260"/>
        <v>-1.8985456004070809</v>
      </c>
      <c r="BA270">
        <f t="shared" si="237"/>
        <v>3.3287850309696911</v>
      </c>
      <c r="BB270">
        <f t="shared" si="253"/>
        <v>10.445714996686286</v>
      </c>
      <c r="BC270">
        <f t="shared" si="254"/>
        <v>-0.62855467941255894</v>
      </c>
      <c r="BD270">
        <f t="shared" si="238"/>
        <v>-216.01353036468959</v>
      </c>
      <c r="BF270">
        <f t="shared" si="239"/>
        <v>-29.388740474518634</v>
      </c>
      <c r="BG270">
        <f t="shared" si="240"/>
        <v>-213.73382106554138</v>
      </c>
      <c r="BH270">
        <f t="shared" si="255"/>
        <v>-33.733821065541377</v>
      </c>
      <c r="BI270">
        <f t="shared" si="256"/>
        <v>-33.733821065541377</v>
      </c>
      <c r="BJ270">
        <f t="shared" si="241"/>
        <v>0</v>
      </c>
      <c r="BK270">
        <f t="shared" si="257"/>
        <v>0</v>
      </c>
      <c r="BM270">
        <f t="shared" si="258"/>
        <v>-39.834455471204919</v>
      </c>
      <c r="BN270">
        <f t="shared" si="242"/>
        <v>-177.72029070085182</v>
      </c>
      <c r="BQ270" s="56">
        <f t="shared" si="259"/>
        <v>27.347675796971419</v>
      </c>
      <c r="BR270" s="59"/>
      <c r="BS270" s="59"/>
      <c r="BT270" s="59">
        <v>39810.716999999997</v>
      </c>
      <c r="BU270" s="59">
        <v>-0.92721699999999996</v>
      </c>
      <c r="BV270" s="59">
        <v>-143.22999999999999</v>
      </c>
      <c r="BY270" s="59"/>
      <c r="BZ270" s="59"/>
      <c r="CA270" s="59"/>
      <c r="CC270" s="59"/>
    </row>
    <row r="271" spans="1:81" x14ac:dyDescent="0.2">
      <c r="A271">
        <f t="shared" si="211"/>
        <v>285000</v>
      </c>
      <c r="B271">
        <f t="shared" si="243"/>
        <v>285</v>
      </c>
      <c r="C271">
        <f t="shared" si="212"/>
        <v>1.0006157407792198</v>
      </c>
      <c r="D271">
        <f t="shared" si="213"/>
        <v>3.5083471831726505E-2</v>
      </c>
      <c r="F271">
        <f t="shared" si="214"/>
        <v>6.5545702497420144E-4</v>
      </c>
      <c r="G271">
        <f t="shared" si="215"/>
        <v>5.2265145602503355E-3</v>
      </c>
      <c r="H271">
        <f t="shared" si="216"/>
        <v>-3.1363661354397498</v>
      </c>
      <c r="J271">
        <f t="shared" si="217"/>
        <v>15</v>
      </c>
      <c r="M271">
        <f t="shared" si="218"/>
        <v>4.3885829046568653E-3</v>
      </c>
      <c r="N271">
        <f t="shared" si="219"/>
        <v>-1.5707963250000001</v>
      </c>
      <c r="O271">
        <f t="shared" si="220"/>
        <v>55.977505489296966</v>
      </c>
      <c r="P271">
        <f t="shared" si="221"/>
        <v>1.5529310577394224</v>
      </c>
      <c r="Q271">
        <f t="shared" si="222"/>
        <v>48.660226213208539</v>
      </c>
      <c r="R271">
        <f t="shared" si="223"/>
        <v>1.5502442151523634</v>
      </c>
      <c r="S271">
        <f t="shared" si="224"/>
        <v>0.588097955169816</v>
      </c>
      <c r="T271">
        <f t="shared" si="225"/>
        <v>-0.94209121976644516</v>
      </c>
      <c r="U271">
        <f t="shared" si="226"/>
        <v>0.58305448963077877</v>
      </c>
      <c r="V271">
        <f t="shared" si="227"/>
        <v>-0.94831300420092746</v>
      </c>
      <c r="X271">
        <f t="shared" si="244"/>
        <v>-27.888528059362425</v>
      </c>
      <c r="Y271">
        <f t="shared" si="228"/>
        <v>-198.20374520644802</v>
      </c>
      <c r="Z271">
        <f t="shared" si="245"/>
        <v>-18.203745206448019</v>
      </c>
      <c r="AC271">
        <v>1</v>
      </c>
      <c r="AD271">
        <f t="shared" si="229"/>
        <v>55.9685726171775</v>
      </c>
      <c r="AE271">
        <f t="shared" si="230"/>
        <v>-1.2026803215373943E-2</v>
      </c>
      <c r="AF271">
        <f t="shared" si="231"/>
        <v>8.6312116466099997E-3</v>
      </c>
      <c r="AG271">
        <f t="shared" si="246"/>
        <v>2149.520406224095</v>
      </c>
      <c r="AH271">
        <f t="shared" si="247"/>
        <v>-3111.0184795009868</v>
      </c>
      <c r="AJ271">
        <f t="shared" si="232"/>
        <v>26400</v>
      </c>
      <c r="AK271">
        <f t="shared" si="233"/>
        <v>36306.958999449598</v>
      </c>
      <c r="AL271">
        <v>1</v>
      </c>
      <c r="AM271">
        <f t="shared" si="234"/>
        <v>48.649949795664007</v>
      </c>
      <c r="AN271">
        <f t="shared" si="248"/>
        <v>757.12407962009502</v>
      </c>
      <c r="AO271">
        <f t="shared" si="249"/>
        <v>-527.08946315634967</v>
      </c>
      <c r="AQ271">
        <f t="shared" si="235"/>
        <v>3.0778606406259137E-2</v>
      </c>
      <c r="AR271">
        <f t="shared" si="236"/>
        <v>-17.543805651567709</v>
      </c>
      <c r="AT271">
        <f t="shared" si="209"/>
        <v>-54512.944340255599</v>
      </c>
      <c r="AU271">
        <f t="shared" si="210"/>
        <v>-37806.521064177556</v>
      </c>
      <c r="AV271">
        <f t="shared" si="250"/>
        <v>-2.5352202158863069</v>
      </c>
      <c r="AW271">
        <f t="shared" si="251"/>
        <v>-6324.9145183642804</v>
      </c>
      <c r="AX271">
        <f t="shared" si="252"/>
        <v>-19117.429078720215</v>
      </c>
      <c r="AY271">
        <f t="shared" si="260"/>
        <v>-1.8903061218477279</v>
      </c>
      <c r="BA271">
        <f t="shared" si="237"/>
        <v>3.2945062381352552</v>
      </c>
      <c r="BB271">
        <f t="shared" si="253"/>
        <v>10.355806684386259</v>
      </c>
      <c r="BC271">
        <f t="shared" si="254"/>
        <v>-0.64491409403857891</v>
      </c>
      <c r="BD271">
        <f t="shared" si="238"/>
        <v>-216.95085577913616</v>
      </c>
      <c r="BF271">
        <f t="shared" si="239"/>
        <v>-29.786137074917825</v>
      </c>
      <c r="BG271">
        <f t="shared" si="240"/>
        <v>-214.64126368400701</v>
      </c>
      <c r="BH271">
        <f t="shared" si="255"/>
        <v>-34.641263684007015</v>
      </c>
      <c r="BI271">
        <f t="shared" si="256"/>
        <v>-34.641263684007015</v>
      </c>
      <c r="BJ271">
        <f t="shared" si="241"/>
        <v>0</v>
      </c>
      <c r="BK271">
        <f t="shared" si="257"/>
        <v>0</v>
      </c>
      <c r="BM271">
        <f t="shared" si="258"/>
        <v>-40.141943759304084</v>
      </c>
      <c r="BN271">
        <f t="shared" si="242"/>
        <v>-177.69040790487088</v>
      </c>
      <c r="BQ271" s="56">
        <f t="shared" si="259"/>
        <v>27.257767484671398</v>
      </c>
      <c r="BR271" s="59"/>
      <c r="BS271" s="59"/>
      <c r="BT271" s="59">
        <v>40738.027999999998</v>
      </c>
      <c r="BU271" s="59">
        <v>-0.80365399999999998</v>
      </c>
      <c r="BV271" s="59">
        <v>-142.31399999999999</v>
      </c>
      <c r="BY271" s="59"/>
      <c r="BZ271" s="59"/>
      <c r="CA271" s="59"/>
      <c r="CC271" s="59"/>
    </row>
    <row r="272" spans="1:81" x14ac:dyDescent="0.2">
      <c r="A272">
        <f t="shared" si="211"/>
        <v>290000</v>
      </c>
      <c r="B272">
        <f t="shared" si="243"/>
        <v>290</v>
      </c>
      <c r="C272">
        <f t="shared" si="212"/>
        <v>1.0006375282929152</v>
      </c>
      <c r="D272">
        <f t="shared" si="213"/>
        <v>3.5698453051584617E-2</v>
      </c>
      <c r="F272">
        <f t="shared" si="214"/>
        <v>6.3303600635125591E-4</v>
      </c>
      <c r="G272">
        <f t="shared" si="215"/>
        <v>5.1362886849691354E-3</v>
      </c>
      <c r="H272">
        <f t="shared" si="216"/>
        <v>-3.1364563613150311</v>
      </c>
      <c r="J272">
        <f t="shared" si="217"/>
        <v>15</v>
      </c>
      <c r="M272">
        <f t="shared" si="218"/>
        <v>4.3129176821627814E-3</v>
      </c>
      <c r="N272">
        <f t="shared" si="219"/>
        <v>-1.5707963250000001</v>
      </c>
      <c r="O272">
        <f t="shared" si="220"/>
        <v>56.95925628096375</v>
      </c>
      <c r="P272">
        <f t="shared" si="221"/>
        <v>1.5532390157681657</v>
      </c>
      <c r="Q272">
        <f t="shared" si="222"/>
        <v>49.513556961203896</v>
      </c>
      <c r="R272">
        <f t="shared" si="223"/>
        <v>1.5505984646964006</v>
      </c>
      <c r="S272">
        <f t="shared" si="224"/>
        <v>0.58140564155242369</v>
      </c>
      <c r="T272">
        <f t="shared" si="225"/>
        <v>-0.95034104843865186</v>
      </c>
      <c r="U272">
        <f t="shared" si="226"/>
        <v>0.57636068531212525</v>
      </c>
      <c r="V272">
        <f t="shared" si="227"/>
        <v>-0.95652808730437888</v>
      </c>
      <c r="X272">
        <f t="shared" si="244"/>
        <v>-28.239406901736896</v>
      </c>
      <c r="Y272">
        <f t="shared" si="228"/>
        <v>-199.07910719664557</v>
      </c>
      <c r="Z272">
        <f t="shared" si="245"/>
        <v>-19.079107196645566</v>
      </c>
      <c r="AC272">
        <v>1</v>
      </c>
      <c r="AD272">
        <f t="shared" si="229"/>
        <v>56.950477399935004</v>
      </c>
      <c r="AE272">
        <f t="shared" si="230"/>
        <v>-1.2452498004468434E-2</v>
      </c>
      <c r="AF272">
        <f t="shared" si="231"/>
        <v>8.7826364123399989E-3</v>
      </c>
      <c r="AG272">
        <f t="shared" si="246"/>
        <v>2100.4482346155501</v>
      </c>
      <c r="AH272">
        <f t="shared" si="247"/>
        <v>-3091.9903973121582</v>
      </c>
      <c r="AJ272">
        <f t="shared" si="232"/>
        <v>26400</v>
      </c>
      <c r="AK272">
        <f t="shared" si="233"/>
        <v>36943.9231924224</v>
      </c>
      <c r="AL272">
        <v>1</v>
      </c>
      <c r="AM272">
        <f t="shared" si="234"/>
        <v>49.503457686816006</v>
      </c>
      <c r="AN272">
        <f t="shared" si="248"/>
        <v>756.75385388234099</v>
      </c>
      <c r="AO272">
        <f t="shared" si="249"/>
        <v>-518.00919257700832</v>
      </c>
      <c r="AQ272">
        <f t="shared" si="235"/>
        <v>2.9726427686005689E-2</v>
      </c>
      <c r="AR272">
        <f t="shared" si="236"/>
        <v>-17.241328057883301</v>
      </c>
      <c r="AT272">
        <f t="shared" si="209"/>
        <v>-53247.581969329352</v>
      </c>
      <c r="AU272">
        <f t="shared" si="210"/>
        <v>-36306.430910560055</v>
      </c>
      <c r="AV272">
        <f t="shared" si="250"/>
        <v>-2.5431575889033891</v>
      </c>
      <c r="AW272">
        <f t="shared" si="251"/>
        <v>-6059.0669694716789</v>
      </c>
      <c r="AX272">
        <f t="shared" si="252"/>
        <v>-18815.294071168522</v>
      </c>
      <c r="AY272">
        <f t="shared" si="260"/>
        <v>-1.8823385535995545</v>
      </c>
      <c r="BA272">
        <f t="shared" si="237"/>
        <v>3.2603789486352568</v>
      </c>
      <c r="BB272">
        <f t="shared" si="253"/>
        <v>10.265361607105309</v>
      </c>
      <c r="BC272">
        <f t="shared" si="254"/>
        <v>-0.66081903530383457</v>
      </c>
      <c r="BD272">
        <f t="shared" si="238"/>
        <v>-217.86214178808007</v>
      </c>
      <c r="BF272">
        <f t="shared" si="239"/>
        <v>-30.178709218103265</v>
      </c>
      <c r="BG272">
        <f t="shared" si="240"/>
        <v>-215.52248342639535</v>
      </c>
      <c r="BH272">
        <f t="shared" si="255"/>
        <v>-35.522483426395354</v>
      </c>
      <c r="BI272">
        <f t="shared" si="256"/>
        <v>-35.522483426395354</v>
      </c>
      <c r="BJ272">
        <f t="shared" si="241"/>
        <v>0</v>
      </c>
      <c r="BK272">
        <f t="shared" si="257"/>
        <v>0</v>
      </c>
      <c r="BM272">
        <f t="shared" si="258"/>
        <v>-40.44407082520857</v>
      </c>
      <c r="BN272">
        <f t="shared" si="242"/>
        <v>-177.66034163831532</v>
      </c>
      <c r="BQ272" s="56">
        <f t="shared" si="259"/>
        <v>27.167322407390447</v>
      </c>
      <c r="BR272" s="59"/>
      <c r="BS272" s="59"/>
      <c r="BT272" s="59">
        <v>41686.938000000002</v>
      </c>
      <c r="BU272" s="59">
        <v>-0.666377</v>
      </c>
      <c r="BV272" s="59">
        <v>-141.465</v>
      </c>
      <c r="BY272" s="59"/>
      <c r="BZ272" s="59"/>
      <c r="CA272" s="59"/>
      <c r="CC272" s="59"/>
    </row>
    <row r="273" spans="1:81" x14ac:dyDescent="0.2">
      <c r="A273">
        <f t="shared" si="211"/>
        <v>295000</v>
      </c>
      <c r="B273">
        <f t="shared" si="243"/>
        <v>295</v>
      </c>
      <c r="C273">
        <f t="shared" si="212"/>
        <v>1.0006596942330623</v>
      </c>
      <c r="D273">
        <f t="shared" si="213"/>
        <v>3.6313407258710788E-2</v>
      </c>
      <c r="F273">
        <f t="shared" si="214"/>
        <v>6.1174626121875348E-4</v>
      </c>
      <c r="G273">
        <f t="shared" si="215"/>
        <v>5.0491269463294949E-3</v>
      </c>
      <c r="H273">
        <f t="shared" si="216"/>
        <v>-3.1365435230536707</v>
      </c>
      <c r="J273">
        <f t="shared" si="217"/>
        <v>15</v>
      </c>
      <c r="M273">
        <f t="shared" si="218"/>
        <v>4.2398173824651072E-3</v>
      </c>
      <c r="N273">
        <f t="shared" si="219"/>
        <v>-1.5707963250000001</v>
      </c>
      <c r="O273">
        <f t="shared" si="220"/>
        <v>57.941012291480966</v>
      </c>
      <c r="P273">
        <f t="shared" si="221"/>
        <v>1.5535365377054693</v>
      </c>
      <c r="Q273">
        <f t="shared" si="222"/>
        <v>50.366893712245691</v>
      </c>
      <c r="R273">
        <f t="shared" si="223"/>
        <v>1.5509407105975124</v>
      </c>
      <c r="S273">
        <f t="shared" si="224"/>
        <v>0.57482611540451478</v>
      </c>
      <c r="T273">
        <f t="shared" si="225"/>
        <v>-0.95840469587381061</v>
      </c>
      <c r="U273">
        <f t="shared" si="226"/>
        <v>0.5697816816928738</v>
      </c>
      <c r="V273">
        <f t="shared" si="227"/>
        <v>-0.96455615600010214</v>
      </c>
      <c r="X273">
        <f t="shared" si="244"/>
        <v>-28.586552794823376</v>
      </c>
      <c r="Y273">
        <f t="shared" si="228"/>
        <v>-199.93419833913234</v>
      </c>
      <c r="Z273">
        <f t="shared" si="245"/>
        <v>-19.934198339132337</v>
      </c>
      <c r="AC273">
        <v>1</v>
      </c>
      <c r="AD273">
        <f t="shared" si="229"/>
        <v>57.9323821826925</v>
      </c>
      <c r="AE273">
        <f t="shared" si="230"/>
        <v>-1.288559618119935E-2</v>
      </c>
      <c r="AF273">
        <f t="shared" si="231"/>
        <v>8.9340611780699998E-3</v>
      </c>
      <c r="AG273">
        <f t="shared" si="246"/>
        <v>2052.7698012822252</v>
      </c>
      <c r="AH273">
        <f t="shared" si="247"/>
        <v>-3072.6410044814347</v>
      </c>
      <c r="AJ273">
        <f t="shared" si="232"/>
        <v>26400</v>
      </c>
      <c r="AK273">
        <f t="shared" si="233"/>
        <v>37580.887385395203</v>
      </c>
      <c r="AL273">
        <v>1</v>
      </c>
      <c r="AM273">
        <f t="shared" si="234"/>
        <v>50.356965577968012</v>
      </c>
      <c r="AN273">
        <f t="shared" si="248"/>
        <v>756.40228328972591</v>
      </c>
      <c r="AO273">
        <f t="shared" si="249"/>
        <v>-509.23635732193054</v>
      </c>
      <c r="AQ273">
        <f t="shared" si="235"/>
        <v>2.8727294664479562E-2</v>
      </c>
      <c r="AR273">
        <f t="shared" si="236"/>
        <v>-16.949103852042942</v>
      </c>
      <c r="AT273">
        <f t="shared" si="209"/>
        <v>-52019.540962041596</v>
      </c>
      <c r="AU273">
        <f t="shared" si="210"/>
        <v>-34880.877209803883</v>
      </c>
      <c r="AV273">
        <f t="shared" si="250"/>
        <v>-2.5509173582532014</v>
      </c>
      <c r="AW273">
        <f t="shared" si="251"/>
        <v>-5807.6863969628312</v>
      </c>
      <c r="AX273">
        <f t="shared" si="252"/>
        <v>-18522.783252809499</v>
      </c>
      <c r="AY273">
        <f t="shared" si="260"/>
        <v>-1.8746309898201474</v>
      </c>
      <c r="BA273">
        <f t="shared" si="237"/>
        <v>3.2264464634016599</v>
      </c>
      <c r="BB273">
        <f t="shared" si="253"/>
        <v>10.174489264628335</v>
      </c>
      <c r="BC273">
        <f t="shared" si="254"/>
        <v>-0.67628636843305401</v>
      </c>
      <c r="BD273">
        <f t="shared" si="238"/>
        <v>-218.74835469771986</v>
      </c>
      <c r="BF273">
        <f t="shared" si="239"/>
        <v>-30.566530936668297</v>
      </c>
      <c r="BG273">
        <f t="shared" si="240"/>
        <v>-216.37845605509756</v>
      </c>
      <c r="BH273">
        <f t="shared" si="255"/>
        <v>-36.378456055097558</v>
      </c>
      <c r="BI273">
        <f t="shared" si="256"/>
        <v>-36.378456055097558</v>
      </c>
      <c r="BJ273">
        <f t="shared" si="241"/>
        <v>0</v>
      </c>
      <c r="BK273">
        <f t="shared" si="257"/>
        <v>0</v>
      </c>
      <c r="BM273">
        <f t="shared" si="258"/>
        <v>-40.741020201296635</v>
      </c>
      <c r="BN273">
        <f t="shared" si="242"/>
        <v>-177.6301013573777</v>
      </c>
      <c r="BQ273" s="56">
        <f t="shared" si="259"/>
        <v>27.07645006491347</v>
      </c>
      <c r="BR273" s="59"/>
      <c r="BS273" s="59"/>
      <c r="BT273" s="59">
        <v>42657.951999999997</v>
      </c>
      <c r="BU273" s="59">
        <v>-0.55182299999999995</v>
      </c>
      <c r="BV273" s="59">
        <v>-140.39099999999999</v>
      </c>
      <c r="BY273" s="59"/>
      <c r="BZ273" s="59"/>
      <c r="CA273" s="59"/>
      <c r="CC273" s="59"/>
    </row>
    <row r="274" spans="1:81" x14ac:dyDescent="0.2">
      <c r="A274">
        <f t="shared" si="211"/>
        <v>300000</v>
      </c>
      <c r="B274">
        <f t="shared" si="243"/>
        <v>300</v>
      </c>
      <c r="C274">
        <f t="shared" si="212"/>
        <v>1.000682238574514</v>
      </c>
      <c r="D274">
        <f t="shared" si="213"/>
        <v>3.6928333989802949E-2</v>
      </c>
      <c r="F274">
        <f t="shared" si="214"/>
        <v>5.9151292996452074E-4</v>
      </c>
      <c r="G274">
        <f t="shared" si="215"/>
        <v>4.9648757710020388E-3</v>
      </c>
      <c r="H274">
        <f t="shared" si="216"/>
        <v>-3.1366277742289981</v>
      </c>
      <c r="J274">
        <f t="shared" si="217"/>
        <v>15</v>
      </c>
      <c r="M274">
        <f t="shared" si="218"/>
        <v>4.169153759424022E-3</v>
      </c>
      <c r="N274">
        <f t="shared" si="219"/>
        <v>-1.5707963250000001</v>
      </c>
      <c r="O274">
        <f t="shared" si="220"/>
        <v>58.922773259983217</v>
      </c>
      <c r="P274">
        <f t="shared" si="221"/>
        <v>1.553824145150301</v>
      </c>
      <c r="Q274">
        <f t="shared" si="222"/>
        <v>51.220236166298996</v>
      </c>
      <c r="R274">
        <f t="shared" si="223"/>
        <v>1.5512715527248846</v>
      </c>
      <c r="S274">
        <f t="shared" si="224"/>
        <v>0.56835811508300493</v>
      </c>
      <c r="T274">
        <f t="shared" si="225"/>
        <v>-0.96628738039762418</v>
      </c>
      <c r="U274">
        <f t="shared" si="226"/>
        <v>0.56331609373173142</v>
      </c>
      <c r="V274">
        <f t="shared" si="227"/>
        <v>-0.97240252414957451</v>
      </c>
      <c r="X274">
        <f t="shared" si="244"/>
        <v>-28.930028295385842</v>
      </c>
      <c r="Y274">
        <f t="shared" si="228"/>
        <v>-200.76956665404009</v>
      </c>
      <c r="Z274">
        <f t="shared" si="245"/>
        <v>-20.769566654040091</v>
      </c>
      <c r="AC274">
        <v>1</v>
      </c>
      <c r="AD274">
        <f t="shared" si="229"/>
        <v>58.914286965450003</v>
      </c>
      <c r="AE274">
        <f t="shared" si="230"/>
        <v>-1.3326097745566695E-2</v>
      </c>
      <c r="AF274">
        <f t="shared" si="231"/>
        <v>9.085485943799999E-3</v>
      </c>
      <c r="AG274">
        <f t="shared" si="246"/>
        <v>2006.4465859974475</v>
      </c>
      <c r="AH274">
        <f t="shared" si="247"/>
        <v>-3053.0126289160407</v>
      </c>
      <c r="AJ274">
        <f t="shared" si="232"/>
        <v>26400</v>
      </c>
      <c r="AK274">
        <f t="shared" si="233"/>
        <v>38217.851578368005</v>
      </c>
      <c r="AL274">
        <v>1</v>
      </c>
      <c r="AM274">
        <f t="shared" si="234"/>
        <v>51.210473469120011</v>
      </c>
      <c r="AN274">
        <f t="shared" si="248"/>
        <v>756.06813538653887</v>
      </c>
      <c r="AO274">
        <f t="shared" si="249"/>
        <v>-500.75560969138058</v>
      </c>
      <c r="AQ274">
        <f t="shared" si="235"/>
        <v>2.7777700617498284E-2</v>
      </c>
      <c r="AR274">
        <f t="shared" si="236"/>
        <v>-16.666620370498972</v>
      </c>
      <c r="AT274">
        <f t="shared" si="209"/>
        <v>-50827.667999911864</v>
      </c>
      <c r="AU274">
        <f t="shared" si="210"/>
        <v>-33525.489213290646</v>
      </c>
      <c r="AV274">
        <f t="shared" si="250"/>
        <v>-2.5585043674656074</v>
      </c>
      <c r="AW274">
        <f t="shared" si="251"/>
        <v>-5569.7638840291611</v>
      </c>
      <c r="AX274">
        <f t="shared" si="252"/>
        <v>-18239.419257947204</v>
      </c>
      <c r="AY274">
        <f t="shared" si="260"/>
        <v>-1.8671720365357054</v>
      </c>
      <c r="BA274">
        <f t="shared" si="237"/>
        <v>3.1927466556707591</v>
      </c>
      <c r="BB274">
        <f t="shared" si="253"/>
        <v>10.083289173110373</v>
      </c>
      <c r="BC274">
        <f t="shared" si="254"/>
        <v>-0.69133233092990198</v>
      </c>
      <c r="BD274">
        <f t="shared" si="238"/>
        <v>-219.61042484848645</v>
      </c>
      <c r="BF274">
        <f t="shared" si="239"/>
        <v>-30.949676969873188</v>
      </c>
      <c r="BG274">
        <f t="shared" si="240"/>
        <v>-217.21012073619326</v>
      </c>
      <c r="BH274">
        <f t="shared" si="255"/>
        <v>-37.210120736193261</v>
      </c>
      <c r="BI274">
        <f t="shared" si="256"/>
        <v>-37.210120736193261</v>
      </c>
      <c r="BJ274">
        <f t="shared" si="241"/>
        <v>0</v>
      </c>
      <c r="BK274">
        <f t="shared" si="257"/>
        <v>0</v>
      </c>
      <c r="BM274">
        <f t="shared" si="258"/>
        <v>-41.032966142983568</v>
      </c>
      <c r="BN274">
        <f t="shared" si="242"/>
        <v>-177.59969588770684</v>
      </c>
      <c r="BQ274" s="56">
        <f t="shared" si="259"/>
        <v>26.985249973395508</v>
      </c>
      <c r="BR274" s="59"/>
      <c r="BS274" s="59"/>
      <c r="BT274" s="59">
        <v>43651.582999999999</v>
      </c>
      <c r="BU274" s="59">
        <v>-0.43071199999999998</v>
      </c>
      <c r="BV274" s="59">
        <v>-139.065</v>
      </c>
      <c r="BY274" s="59"/>
      <c r="BZ274" s="59"/>
      <c r="CA274" s="59"/>
      <c r="CC274" s="59"/>
    </row>
    <row r="275" spans="1:81" x14ac:dyDescent="0.2">
      <c r="A275">
        <f t="shared" si="211"/>
        <v>305000</v>
      </c>
      <c r="B275">
        <f t="shared" si="243"/>
        <v>305</v>
      </c>
      <c r="C275">
        <f t="shared" si="212"/>
        <v>1.000705161291696</v>
      </c>
      <c r="D275">
        <f t="shared" si="213"/>
        <v>3.7543232781683485E-2</v>
      </c>
      <c r="F275">
        <f t="shared" si="214"/>
        <v>5.7226724528284026E-4</v>
      </c>
      <c r="G275">
        <f t="shared" si="215"/>
        <v>4.8833916853771257E-3</v>
      </c>
      <c r="H275">
        <f t="shared" si="216"/>
        <v>-3.1367092583146232</v>
      </c>
      <c r="J275">
        <f t="shared" si="217"/>
        <v>15</v>
      </c>
      <c r="M275">
        <f t="shared" si="218"/>
        <v>4.100806976482645E-3</v>
      </c>
      <c r="N275">
        <f t="shared" si="219"/>
        <v>-1.5707963250000001</v>
      </c>
      <c r="O275">
        <f t="shared" si="220"/>
        <v>59.904538942704846</v>
      </c>
      <c r="P275">
        <f t="shared" si="221"/>
        <v>1.5541023255148512</v>
      </c>
      <c r="Q275">
        <f t="shared" si="222"/>
        <v>52.073584042993915</v>
      </c>
      <c r="R275">
        <f t="shared" si="223"/>
        <v>1.5515915516370302</v>
      </c>
      <c r="S275">
        <f t="shared" si="224"/>
        <v>0.56200028969321714</v>
      </c>
      <c r="T275">
        <f t="shared" si="225"/>
        <v>-0.97399417875401872</v>
      </c>
      <c r="U275">
        <f t="shared" si="226"/>
        <v>0.55696245272619049</v>
      </c>
      <c r="V275">
        <f t="shared" si="227"/>
        <v>-0.98007235734157028</v>
      </c>
      <c r="X275">
        <f t="shared" si="244"/>
        <v>-29.269894539583305</v>
      </c>
      <c r="Y275">
        <f t="shared" si="228"/>
        <v>-201.58574718647768</v>
      </c>
      <c r="Z275">
        <f t="shared" si="245"/>
        <v>-21.585747186477676</v>
      </c>
      <c r="AC275">
        <v>1</v>
      </c>
      <c r="AD275">
        <f t="shared" si="229"/>
        <v>59.896191748207499</v>
      </c>
      <c r="AE275">
        <f t="shared" si="230"/>
        <v>-1.3774002697570464E-2</v>
      </c>
      <c r="AF275">
        <f t="shared" si="231"/>
        <v>9.2369107095299999E-3</v>
      </c>
      <c r="AG275">
        <f t="shared" si="246"/>
        <v>1961.4404242626879</v>
      </c>
      <c r="AH275">
        <f t="shared" si="247"/>
        <v>-3033.144584369767</v>
      </c>
      <c r="AJ275">
        <f t="shared" si="232"/>
        <v>26400</v>
      </c>
      <c r="AK275">
        <f t="shared" si="233"/>
        <v>38854.8157713408</v>
      </c>
      <c r="AL275">
        <v>1</v>
      </c>
      <c r="AM275">
        <f t="shared" si="234"/>
        <v>52.06398136027201</v>
      </c>
      <c r="AN275">
        <f t="shared" si="248"/>
        <v>755.75027782709242</v>
      </c>
      <c r="AO275">
        <f t="shared" si="249"/>
        <v>-492.55260646933607</v>
      </c>
      <c r="AQ275">
        <f t="shared" si="235"/>
        <v>2.6874423879538083E-2</v>
      </c>
      <c r="AR275">
        <f t="shared" si="236"/>
        <v>-16.393398566518229</v>
      </c>
      <c r="AT275">
        <f t="shared" si="209"/>
        <v>-49670.835500073772</v>
      </c>
      <c r="AU275">
        <f t="shared" si="210"/>
        <v>-32236.188652667133</v>
      </c>
      <c r="AV275">
        <f t="shared" si="250"/>
        <v>-2.5659233426227663</v>
      </c>
      <c r="AW275">
        <f t="shared" si="251"/>
        <v>-5344.3752157084618</v>
      </c>
      <c r="AX275">
        <f t="shared" si="252"/>
        <v>-17964.757564377302</v>
      </c>
      <c r="AY275">
        <f t="shared" si="260"/>
        <v>-1.8599508005173029</v>
      </c>
      <c r="BA275">
        <f t="shared" si="237"/>
        <v>3.1593125028464586</v>
      </c>
      <c r="BB275">
        <f t="shared" si="253"/>
        <v>9.9918517238598685</v>
      </c>
      <c r="BC275">
        <f t="shared" si="254"/>
        <v>-0.70597254210546345</v>
      </c>
      <c r="BD275">
        <f t="shared" si="238"/>
        <v>-220.44924716098487</v>
      </c>
      <c r="BF275">
        <f t="shared" si="239"/>
        <v>-31.328222520092485</v>
      </c>
      <c r="BG275">
        <f t="shared" si="240"/>
        <v>-218.01838063725813</v>
      </c>
      <c r="BH275">
        <f t="shared" si="255"/>
        <v>-38.018380637258133</v>
      </c>
      <c r="BI275">
        <f t="shared" si="256"/>
        <v>-38.018380637258133</v>
      </c>
      <c r="BJ275">
        <f t="shared" si="241"/>
        <v>0</v>
      </c>
      <c r="BK275">
        <f t="shared" si="257"/>
        <v>0</v>
      </c>
      <c r="BM275">
        <f t="shared" si="258"/>
        <v>-41.320074243952348</v>
      </c>
      <c r="BN275">
        <f t="shared" si="242"/>
        <v>-177.56913347627327</v>
      </c>
      <c r="BQ275" s="56">
        <f t="shared" si="259"/>
        <v>26.893812524145005</v>
      </c>
      <c r="BR275" s="59"/>
      <c r="BS275" s="59"/>
      <c r="BT275" s="59">
        <v>44668.358999999997</v>
      </c>
      <c r="BU275" s="59">
        <v>-0.21105299999999999</v>
      </c>
      <c r="BV275" s="59">
        <v>-136.58699999999999</v>
      </c>
      <c r="BY275" s="59"/>
      <c r="BZ275" s="59"/>
      <c r="CA275" s="59"/>
      <c r="CC275" s="59"/>
    </row>
    <row r="276" spans="1:81" x14ac:dyDescent="0.2">
      <c r="A276">
        <f t="shared" si="211"/>
        <v>310000</v>
      </c>
      <c r="B276">
        <f t="shared" si="243"/>
        <v>310</v>
      </c>
      <c r="C276">
        <f t="shared" si="212"/>
        <v>1.0007284623586068</v>
      </c>
      <c r="D276">
        <f t="shared" si="213"/>
        <v>3.815810317130143E-2</v>
      </c>
      <c r="F276">
        <f t="shared" si="214"/>
        <v>5.5394594663933574E-4</v>
      </c>
      <c r="G276">
        <f t="shared" si="215"/>
        <v>4.8045404982971843E-3</v>
      </c>
      <c r="H276">
        <f t="shared" si="216"/>
        <v>-3.1367881095017029</v>
      </c>
      <c r="J276">
        <f t="shared" si="217"/>
        <v>15</v>
      </c>
      <c r="M276">
        <f t="shared" si="218"/>
        <v>4.0346649284748598E-3</v>
      </c>
      <c r="N276">
        <f t="shared" si="219"/>
        <v>-1.5707963250000001</v>
      </c>
      <c r="O276">
        <f t="shared" si="220"/>
        <v>60.886309111601548</v>
      </c>
      <c r="P276">
        <f t="shared" si="221"/>
        <v>1.5543715347799805</v>
      </c>
      <c r="Q276">
        <f t="shared" si="222"/>
        <v>52.926937080040581</v>
      </c>
      <c r="R276">
        <f t="shared" si="223"/>
        <v>1.5519012317496452</v>
      </c>
      <c r="S276">
        <f t="shared" si="224"/>
        <v>0.55575121163820396</v>
      </c>
      <c r="T276">
        <f t="shared" si="225"/>
        <v>-0.9815300272809685</v>
      </c>
      <c r="U276">
        <f t="shared" si="226"/>
        <v>0.55071921876146335</v>
      </c>
      <c r="V276">
        <f t="shared" si="227"/>
        <v>-0.98757067446590019</v>
      </c>
      <c r="X276">
        <f t="shared" si="244"/>
        <v>-29.606211321931788</v>
      </c>
      <c r="Y276">
        <f t="shared" si="228"/>
        <v>-202.38326187151475</v>
      </c>
      <c r="Z276">
        <f t="shared" si="245"/>
        <v>-22.383261871514748</v>
      </c>
      <c r="AC276">
        <v>1</v>
      </c>
      <c r="AD276">
        <f t="shared" si="229"/>
        <v>60.878096530965003</v>
      </c>
      <c r="AE276">
        <f t="shared" si="230"/>
        <v>-1.4229311037210661E-2</v>
      </c>
      <c r="AF276">
        <f t="shared" si="231"/>
        <v>9.3883354752599991E-3</v>
      </c>
      <c r="AG276">
        <f t="shared" si="246"/>
        <v>1917.7136072884234</v>
      </c>
      <c r="AH276">
        <f t="shared" si="247"/>
        <v>-3013.0733475536395</v>
      </c>
      <c r="AJ276">
        <f t="shared" si="232"/>
        <v>26400</v>
      </c>
      <c r="AK276">
        <f t="shared" si="233"/>
        <v>39491.779964313602</v>
      </c>
      <c r="AL276">
        <v>1</v>
      </c>
      <c r="AM276">
        <f t="shared" si="234"/>
        <v>52.917489251424009</v>
      </c>
      <c r="AN276">
        <f t="shared" si="248"/>
        <v>755.44766877495056</v>
      </c>
      <c r="AO276">
        <f t="shared" si="249"/>
        <v>-484.61392809816573</v>
      </c>
      <c r="AQ276">
        <f t="shared" si="235"/>
        <v>2.6014500482568984E-2</v>
      </c>
      <c r="AR276">
        <f t="shared" si="236"/>
        <v>-16.128990299192768</v>
      </c>
      <c r="AT276">
        <f t="shared" si="209"/>
        <v>-48547.942431886695</v>
      </c>
      <c r="AU276">
        <f t="shared" si="210"/>
        <v>-31009.167766638904</v>
      </c>
      <c r="AV276">
        <f t="shared" si="250"/>
        <v>-2.5731788914485372</v>
      </c>
      <c r="AW276">
        <f t="shared" si="251"/>
        <v>-5130.6726232178771</v>
      </c>
      <c r="AX276">
        <f t="shared" si="252"/>
        <v>-17698.383611420068</v>
      </c>
      <c r="AY276">
        <f t="shared" si="260"/>
        <v>-1.852956876208242</v>
      </c>
      <c r="BA276">
        <f t="shared" si="237"/>
        <v>3.1261725726293141</v>
      </c>
      <c r="BB276">
        <f t="shared" si="253"/>
        <v>9.9002589699650851</v>
      </c>
      <c r="BC276">
        <f t="shared" si="254"/>
        <v>-0.72022201524029517</v>
      </c>
      <c r="BD276">
        <f t="shared" si="238"/>
        <v>-221.26568183282868</v>
      </c>
      <c r="BF276">
        <f t="shared" si="239"/>
        <v>-31.702243031221485</v>
      </c>
      <c r="BG276">
        <f t="shared" si="240"/>
        <v>-218.80410367102348</v>
      </c>
      <c r="BH276">
        <f t="shared" si="255"/>
        <v>-38.804103671023483</v>
      </c>
      <c r="BI276">
        <f t="shared" si="256"/>
        <v>-38.804103671023483</v>
      </c>
      <c r="BJ276">
        <f t="shared" si="241"/>
        <v>0</v>
      </c>
      <c r="BK276">
        <f t="shared" si="257"/>
        <v>0</v>
      </c>
      <c r="BM276">
        <f t="shared" si="258"/>
        <v>-41.602502001186572</v>
      </c>
      <c r="BN276">
        <f t="shared" si="242"/>
        <v>-177.53842183819481</v>
      </c>
      <c r="BQ276" s="56">
        <f t="shared" si="259"/>
        <v>26.802219770250222</v>
      </c>
      <c r="BR276" s="59"/>
      <c r="BS276" s="59"/>
      <c r="BT276" s="59">
        <v>45708.819000000003</v>
      </c>
      <c r="BU276" s="59">
        <v>0.52166999999999997</v>
      </c>
      <c r="BV276" s="59">
        <v>-135.751</v>
      </c>
      <c r="BY276" s="59"/>
      <c r="BZ276" s="59"/>
      <c r="CA276" s="59"/>
      <c r="CC276" s="59"/>
    </row>
    <row r="277" spans="1:81" x14ac:dyDescent="0.2">
      <c r="A277">
        <f t="shared" si="211"/>
        <v>315000</v>
      </c>
      <c r="B277">
        <f t="shared" si="243"/>
        <v>315</v>
      </c>
      <c r="C277">
        <f t="shared" si="212"/>
        <v>1.0007521417488183</v>
      </c>
      <c r="D277">
        <f t="shared" si="213"/>
        <v>3.8772944695734474E-2</v>
      </c>
      <c r="F277">
        <f t="shared" si="214"/>
        <v>5.3649075936596121E-4</v>
      </c>
      <c r="G277">
        <f t="shared" si="215"/>
        <v>4.7281965619254008E-3</v>
      </c>
      <c r="H277">
        <f t="shared" si="216"/>
        <v>-3.1368644534380747</v>
      </c>
      <c r="J277">
        <f t="shared" si="217"/>
        <v>15</v>
      </c>
      <c r="M277">
        <f t="shared" si="218"/>
        <v>3.9706226280228785E-3</v>
      </c>
      <c r="N277">
        <f t="shared" si="219"/>
        <v>-1.5707963250000001</v>
      </c>
      <c r="O277">
        <f t="shared" si="220"/>
        <v>61.868083553103133</v>
      </c>
      <c r="P277">
        <f t="shared" si="221"/>
        <v>1.5546321999884098</v>
      </c>
      <c r="Q277">
        <f t="shared" si="222"/>
        <v>53.780295031795021</v>
      </c>
      <c r="R277">
        <f t="shared" si="223"/>
        <v>1.5522010842020177</v>
      </c>
      <c r="S277">
        <f t="shared" si="224"/>
        <v>0.54960938804262494</v>
      </c>
      <c r="T277">
        <f t="shared" si="225"/>
        <v>-0.9888997234602247</v>
      </c>
      <c r="U277">
        <f t="shared" si="226"/>
        <v>0.54458479201240084</v>
      </c>
      <c r="V277">
        <f t="shared" si="227"/>
        <v>-0.99490234964380619</v>
      </c>
      <c r="X277">
        <f t="shared" si="244"/>
        <v>-29.939037163528912</v>
      </c>
      <c r="Y277">
        <f t="shared" si="228"/>
        <v>-203.16261946884484</v>
      </c>
      <c r="Z277">
        <f t="shared" si="245"/>
        <v>-23.162619468844838</v>
      </c>
      <c r="AC277">
        <v>1</v>
      </c>
      <c r="AD277">
        <f t="shared" si="229"/>
        <v>61.860001313722499</v>
      </c>
      <c r="AE277">
        <f t="shared" si="230"/>
        <v>-1.469202276448728E-2</v>
      </c>
      <c r="AF277">
        <f t="shared" si="231"/>
        <v>9.5397602409899983E-3</v>
      </c>
      <c r="AG277">
        <f t="shared" si="246"/>
        <v>1875.2289667938853</v>
      </c>
      <c r="AH277">
        <f t="shared" si="247"/>
        <v>-2992.8327282362416</v>
      </c>
      <c r="AJ277">
        <f t="shared" si="232"/>
        <v>26400</v>
      </c>
      <c r="AK277">
        <f t="shared" si="233"/>
        <v>40128.744157286405</v>
      </c>
      <c r="AL277">
        <v>1</v>
      </c>
      <c r="AM277">
        <f t="shared" si="234"/>
        <v>53.770997142576007</v>
      </c>
      <c r="AN277">
        <f t="shared" si="248"/>
        <v>755.15934835930398</v>
      </c>
      <c r="AO277">
        <f t="shared" si="249"/>
        <v>-476.92700553129686</v>
      </c>
      <c r="AQ277">
        <f t="shared" si="235"/>
        <v>2.5195199810532098E-2</v>
      </c>
      <c r="AR277">
        <f t="shared" si="236"/>
        <v>-15.872975880635222</v>
      </c>
      <c r="AT277">
        <f t="shared" si="209"/>
        <v>-47457.914941560703</v>
      </c>
      <c r="AU277">
        <f t="shared" si="210"/>
        <v>-29840.869179175261</v>
      </c>
      <c r="AV277">
        <f t="shared" si="250"/>
        <v>-2.5802755029909688</v>
      </c>
      <c r="AW277">
        <f t="shared" si="251"/>
        <v>-4927.8774413887195</v>
      </c>
      <c r="AX277">
        <f t="shared" si="252"/>
        <v>-17439.910220399026</v>
      </c>
      <c r="AY277">
        <f t="shared" si="260"/>
        <v>-1.846180331179115</v>
      </c>
      <c r="BA277">
        <f t="shared" si="237"/>
        <v>3.0933514663826158</v>
      </c>
      <c r="BB277">
        <f t="shared" si="253"/>
        <v>9.8085853463212462</v>
      </c>
      <c r="BC277">
        <f t="shared" si="254"/>
        <v>-0.7340951718118538</v>
      </c>
      <c r="BD277">
        <f t="shared" si="238"/>
        <v>-222.06055515381146</v>
      </c>
      <c r="BF277">
        <f t="shared" si="239"/>
        <v>-32.071813988322873</v>
      </c>
      <c r="BG277">
        <f t="shared" si="240"/>
        <v>-219.56812335289712</v>
      </c>
      <c r="BH277">
        <f t="shared" si="255"/>
        <v>-39.568123352897118</v>
      </c>
      <c r="BI277">
        <f t="shared" si="256"/>
        <v>-39.568123352897118</v>
      </c>
      <c r="BJ277">
        <f t="shared" si="241"/>
        <v>0</v>
      </c>
      <c r="BK277">
        <f t="shared" si="257"/>
        <v>0</v>
      </c>
      <c r="BM277">
        <f t="shared" si="258"/>
        <v>-41.880399334644125</v>
      </c>
      <c r="BN277">
        <f t="shared" si="242"/>
        <v>-177.50756819908565</v>
      </c>
      <c r="BQ277" s="56">
        <f t="shared" si="259"/>
        <v>26.710546146606383</v>
      </c>
      <c r="BR277" s="59"/>
      <c r="BS277" s="59"/>
      <c r="BT277" s="59">
        <v>46773.514000000003</v>
      </c>
      <c r="BU277" s="59">
        <v>0.78233600000000003</v>
      </c>
      <c r="BV277" s="59">
        <v>-137.57599999999999</v>
      </c>
      <c r="BY277" s="59"/>
      <c r="BZ277" s="59"/>
      <c r="CA277" s="59"/>
      <c r="CC277" s="59"/>
    </row>
    <row r="278" spans="1:81" x14ac:dyDescent="0.2">
      <c r="A278">
        <f t="shared" si="211"/>
        <v>320000</v>
      </c>
      <c r="B278">
        <f t="shared" si="243"/>
        <v>320</v>
      </c>
      <c r="C278">
        <f t="shared" si="212"/>
        <v>1.0007761994354765</v>
      </c>
      <c r="D278">
        <f t="shared" si="213"/>
        <v>3.938775689219106E-2</v>
      </c>
      <c r="F278">
        <f t="shared" si="214"/>
        <v>5.1984793035864715E-4</v>
      </c>
      <c r="G278">
        <f t="shared" si="215"/>
        <v>4.6542421021677632E-3</v>
      </c>
      <c r="H278">
        <f t="shared" si="216"/>
        <v>-3.1369384078978326</v>
      </c>
      <c r="J278">
        <f t="shared" si="217"/>
        <v>15</v>
      </c>
      <c r="M278">
        <f t="shared" si="218"/>
        <v>3.9085816494600209E-3</v>
      </c>
      <c r="N278">
        <f t="shared" si="219"/>
        <v>-1.5707963250000001</v>
      </c>
      <c r="O278">
        <f t="shared" si="220"/>
        <v>62.849862066983185</v>
      </c>
      <c r="P278">
        <f t="shared" si="221"/>
        <v>1.5548847215043218</v>
      </c>
      <c r="Q278">
        <f t="shared" si="222"/>
        <v>54.633657667959376</v>
      </c>
      <c r="R278">
        <f t="shared" si="223"/>
        <v>1.5524915694549335</v>
      </c>
      <c r="S278">
        <f t="shared" si="224"/>
        <v>0.54357327113313625</v>
      </c>
      <c r="T278">
        <f t="shared" si="225"/>
        <v>-0.99610792778565427</v>
      </c>
      <c r="U278">
        <f t="shared" si="226"/>
        <v>0.5385575229847096</v>
      </c>
      <c r="V278">
        <f t="shared" si="227"/>
        <v>-1.0020721144594764</v>
      </c>
      <c r="X278">
        <f t="shared" si="244"/>
        <v>-30.268429371205965</v>
      </c>
      <c r="Y278">
        <f t="shared" si="228"/>
        <v>-203.92431555773882</v>
      </c>
      <c r="Z278">
        <f t="shared" si="245"/>
        <v>-23.924315557738822</v>
      </c>
      <c r="AC278">
        <v>1</v>
      </c>
      <c r="AD278">
        <f t="shared" si="229"/>
        <v>62.841906096480002</v>
      </c>
      <c r="AE278">
        <f t="shared" si="230"/>
        <v>-1.5162137879400328E-2</v>
      </c>
      <c r="AF278">
        <f t="shared" si="231"/>
        <v>9.6911850067199993E-3</v>
      </c>
      <c r="AG278">
        <f t="shared" si="246"/>
        <v>1833.9499462371059</v>
      </c>
      <c r="AH278">
        <f t="shared" si="247"/>
        <v>-2972.4540320704773</v>
      </c>
      <c r="AJ278">
        <f t="shared" si="232"/>
        <v>26400</v>
      </c>
      <c r="AK278">
        <f t="shared" si="233"/>
        <v>40765.708350259207</v>
      </c>
      <c r="AL278">
        <v>1</v>
      </c>
      <c r="AM278">
        <f t="shared" si="234"/>
        <v>54.624505033728013</v>
      </c>
      <c r="AN278">
        <f t="shared" si="248"/>
        <v>754.88443105754368</v>
      </c>
      <c r="AO278">
        <f t="shared" si="249"/>
        <v>-469.48005392649009</v>
      </c>
      <c r="AQ278">
        <f t="shared" si="235"/>
        <v>2.4414002895500744E-2</v>
      </c>
      <c r="AR278">
        <f t="shared" si="236"/>
        <v>-15.624961853120476</v>
      </c>
      <c r="AT278">
        <f t="shared" ref="AT278:AT341" si="261">-AR278*AH278+AG278*AQ278</f>
        <v>-46399.70680195772</v>
      </c>
      <c r="AU278">
        <f t="shared" ref="AU278:AU341" si="262">AQ278*AH278+AG278*AR278</f>
        <v>-28727.967451832839</v>
      </c>
      <c r="AV278">
        <f t="shared" si="250"/>
        <v>-2.5872175478165116</v>
      </c>
      <c r="AW278">
        <f t="shared" si="251"/>
        <v>-4735.2735663703761</v>
      </c>
      <c r="AX278">
        <f t="shared" si="252"/>
        <v>-17188.975281245395</v>
      </c>
      <c r="AY278">
        <f t="shared" si="260"/>
        <v>-1.8396116905123161</v>
      </c>
      <c r="BA278">
        <f t="shared" si="237"/>
        <v>3.0608702227244304</v>
      </c>
      <c r="BB278">
        <f t="shared" si="253"/>
        <v>9.7168983283108155</v>
      </c>
      <c r="BC278">
        <f t="shared" si="254"/>
        <v>-0.74760585730419549</v>
      </c>
      <c r="BD278">
        <f t="shared" si="238"/>
        <v>-222.8346604117358</v>
      </c>
      <c r="BF278">
        <f t="shared" si="239"/>
        <v>-32.437010737563853</v>
      </c>
      <c r="BG278">
        <f t="shared" si="240"/>
        <v>-220.3112397451562</v>
      </c>
      <c r="BH278">
        <f t="shared" si="255"/>
        <v>-40.3112397451562</v>
      </c>
      <c r="BI278">
        <f t="shared" si="256"/>
        <v>-40.3112397451562</v>
      </c>
      <c r="BJ278">
        <f t="shared" si="241"/>
        <v>0</v>
      </c>
      <c r="BK278">
        <f t="shared" si="257"/>
        <v>0</v>
      </c>
      <c r="BM278">
        <f t="shared" si="258"/>
        <v>-42.153909065874672</v>
      </c>
      <c r="BN278">
        <f t="shared" si="242"/>
        <v>-177.4765793334204</v>
      </c>
      <c r="BQ278" s="56">
        <f t="shared" si="259"/>
        <v>26.618859128595954</v>
      </c>
      <c r="BR278" s="59"/>
      <c r="BS278" s="59"/>
      <c r="BT278" s="59">
        <v>47863.008999999998</v>
      </c>
      <c r="BU278" s="59">
        <v>0.81724300000000005</v>
      </c>
      <c r="BV278" s="59">
        <v>-138.25</v>
      </c>
      <c r="BY278" s="59"/>
      <c r="BZ278" s="59"/>
      <c r="CA278" s="59"/>
      <c r="CC278" s="59"/>
    </row>
    <row r="279" spans="1:81" x14ac:dyDescent="0.2">
      <c r="A279">
        <f t="shared" si="211"/>
        <v>325000</v>
      </c>
      <c r="B279">
        <f t="shared" si="243"/>
        <v>325</v>
      </c>
      <c r="C279">
        <f t="shared" si="212"/>
        <v>1.0008006353912997</v>
      </c>
      <c r="D279">
        <f t="shared" si="213"/>
        <v>4.0002539298012479E-2</v>
      </c>
      <c r="F279">
        <f t="shared" si="214"/>
        <v>5.0396781345485341E-4</v>
      </c>
      <c r="G279">
        <f t="shared" si="215"/>
        <v>4.5825666111268008E-3</v>
      </c>
      <c r="H279">
        <f t="shared" si="216"/>
        <v>-3.1370100833888732</v>
      </c>
      <c r="J279">
        <f t="shared" si="217"/>
        <v>15</v>
      </c>
      <c r="M279">
        <f t="shared" si="218"/>
        <v>3.848449624083713E-3</v>
      </c>
      <c r="N279">
        <f t="shared" si="219"/>
        <v>-1.5707963250000001</v>
      </c>
      <c r="O279">
        <f t="shared" si="220"/>
        <v>63.831644465332992</v>
      </c>
      <c r="P279">
        <f t="shared" si="221"/>
        <v>1.5551294750645068</v>
      </c>
      <c r="Q279">
        <f t="shared" si="222"/>
        <v>55.487024772402002</v>
      </c>
      <c r="R279">
        <f t="shared" si="223"/>
        <v>1.5527731196489647</v>
      </c>
      <c r="S279">
        <f t="shared" si="224"/>
        <v>0.53764126765321307</v>
      </c>
      <c r="T279">
        <f t="shared" si="225"/>
        <v>-1.0031591659006509</v>
      </c>
      <c r="U279">
        <f t="shared" si="226"/>
        <v>0.53263572177718099</v>
      </c>
      <c r="V279">
        <f t="shared" si="227"/>
        <v>-1.009084560443112</v>
      </c>
      <c r="X279">
        <f t="shared" si="244"/>
        <v>-30.594444089023067</v>
      </c>
      <c r="Y279">
        <f t="shared" si="228"/>
        <v>-204.66883258394665</v>
      </c>
      <c r="Z279">
        <f t="shared" si="245"/>
        <v>-24.668832583946653</v>
      </c>
      <c r="AC279">
        <v>1</v>
      </c>
      <c r="AD279">
        <f t="shared" si="229"/>
        <v>63.823810879237499</v>
      </c>
      <c r="AE279">
        <f t="shared" si="230"/>
        <v>-1.56396563819498E-2</v>
      </c>
      <c r="AF279">
        <f t="shared" si="231"/>
        <v>9.8426097724499985E-3</v>
      </c>
      <c r="AG279">
        <f t="shared" si="246"/>
        <v>1793.8406599488649</v>
      </c>
      <c r="AH279">
        <f t="shared" si="247"/>
        <v>-2951.9662160026883</v>
      </c>
      <c r="AJ279">
        <f t="shared" si="232"/>
        <v>26400</v>
      </c>
      <c r="AK279">
        <f t="shared" si="233"/>
        <v>41402.672543232002</v>
      </c>
      <c r="AL279">
        <v>1</v>
      </c>
      <c r="AM279">
        <f t="shared" si="234"/>
        <v>55.478012924880012</v>
      </c>
      <c r="AN279">
        <f t="shared" si="248"/>
        <v>754.62209889103781</v>
      </c>
      <c r="AO279">
        <f t="shared" si="249"/>
        <v>-462.26201244507587</v>
      </c>
      <c r="AQ279">
        <f t="shared" si="235"/>
        <v>2.3668583032939568E-2</v>
      </c>
      <c r="AR279">
        <f t="shared" si="236"/>
        <v>-15.384578971410718</v>
      </c>
      <c r="AT279">
        <f t="shared" si="261"/>
        <v>-45372.299704421966</v>
      </c>
      <c r="AU279">
        <f t="shared" si="262"/>
        <v>-27667.352152604726</v>
      </c>
      <c r="AV279">
        <f t="shared" si="250"/>
        <v>-2.5940092786437114</v>
      </c>
      <c r="AW279">
        <f t="shared" si="251"/>
        <v>-4552.2016161688807</v>
      </c>
      <c r="AX279">
        <f t="shared" si="252"/>
        <v>-16945.239673763892</v>
      </c>
      <c r="AY279">
        <f t="shared" si="260"/>
        <v>-1.8332419204524955</v>
      </c>
      <c r="BA279">
        <f t="shared" si="237"/>
        <v>3.0287466842916082</v>
      </c>
      <c r="BB279">
        <f t="shared" si="253"/>
        <v>9.6252590340733075</v>
      </c>
      <c r="BC279">
        <f t="shared" si="254"/>
        <v>-0.76076735819121599</v>
      </c>
      <c r="BD279">
        <f t="shared" si="238"/>
        <v>-223.58875886548145</v>
      </c>
      <c r="BF279">
        <f t="shared" si="239"/>
        <v>-32.797908325341169</v>
      </c>
      <c r="BG279">
        <f t="shared" si="240"/>
        <v>-221.03422046482498</v>
      </c>
      <c r="BH279">
        <f t="shared" si="255"/>
        <v>-41.034220464824983</v>
      </c>
      <c r="BI279">
        <f t="shared" si="256"/>
        <v>-41.034220464824983</v>
      </c>
      <c r="BJ279">
        <f t="shared" si="241"/>
        <v>0</v>
      </c>
      <c r="BK279">
        <f t="shared" si="257"/>
        <v>0</v>
      </c>
      <c r="BM279">
        <f t="shared" si="258"/>
        <v>-42.423167359414478</v>
      </c>
      <c r="BN279">
        <f t="shared" si="242"/>
        <v>-177.44546159934353</v>
      </c>
      <c r="BQ279" s="56">
        <f t="shared" si="259"/>
        <v>26.527219834358444</v>
      </c>
      <c r="BR279" s="59"/>
      <c r="BS279" s="59"/>
      <c r="BT279" s="59">
        <v>48977.881999999998</v>
      </c>
      <c r="BU279" s="59">
        <v>0.86195100000000002</v>
      </c>
      <c r="BV279" s="59">
        <v>-138.07900000000001</v>
      </c>
      <c r="BY279" s="59"/>
      <c r="BZ279" s="59"/>
      <c r="CA279" s="59"/>
      <c r="CC279" s="59"/>
    </row>
    <row r="280" spans="1:81" x14ac:dyDescent="0.2">
      <c r="A280">
        <f>A279+5000</f>
        <v>330000</v>
      </c>
      <c r="B280">
        <f t="shared" si="243"/>
        <v>330</v>
      </c>
      <c r="C280">
        <f t="shared" si="212"/>
        <v>1.0008254495885813</v>
      </c>
      <c r="D280">
        <f t="shared" si="213"/>
        <v>4.0617291450674928E-2</v>
      </c>
      <c r="F280">
        <f t="shared" si="214"/>
        <v>4.8880449850658065E-4</v>
      </c>
      <c r="G280">
        <f t="shared" si="215"/>
        <v>4.5130662949812743E-3</v>
      </c>
      <c r="H280">
        <f t="shared" si="216"/>
        <v>-3.1370795837050189</v>
      </c>
      <c r="J280">
        <f t="shared" si="217"/>
        <v>15</v>
      </c>
      <c r="M280">
        <f t="shared" si="218"/>
        <v>3.790139781294566E-3</v>
      </c>
      <c r="N280">
        <f t="shared" si="219"/>
        <v>-1.5707963250000001</v>
      </c>
      <c r="O280">
        <f t="shared" si="220"/>
        <v>64.813430571628786</v>
      </c>
      <c r="P280">
        <f t="shared" si="221"/>
        <v>1.55536681364315</v>
      </c>
      <c r="Q280">
        <f t="shared" si="222"/>
        <v>56.340396142084828</v>
      </c>
      <c r="R280">
        <f t="shared" si="223"/>
        <v>1.5530461407485348</v>
      </c>
      <c r="S280">
        <f t="shared" si="224"/>
        <v>0.5318117473861661</v>
      </c>
      <c r="T280">
        <f t="shared" si="225"/>
        <v>-1.0100578309603554</v>
      </c>
      <c r="U280">
        <f t="shared" si="226"/>
        <v>0.5268176664419727</v>
      </c>
      <c r="V280">
        <f t="shared" si="227"/>
        <v>-1.0159441417614175</v>
      </c>
      <c r="X280">
        <f t="shared" si="244"/>
        <v>-30.917136343310858</v>
      </c>
      <c r="Y280">
        <f t="shared" si="228"/>
        <v>-205.39663995113997</v>
      </c>
      <c r="Z280">
        <f t="shared" si="245"/>
        <v>-25.396639951139974</v>
      </c>
      <c r="AC280">
        <v>1</v>
      </c>
      <c r="AD280">
        <f t="shared" si="229"/>
        <v>64.805715661995009</v>
      </c>
      <c r="AE280">
        <f t="shared" si="230"/>
        <v>-1.61245782721357E-2</v>
      </c>
      <c r="AF280">
        <f t="shared" si="231"/>
        <v>9.9940345381799994E-3</v>
      </c>
      <c r="AG280">
        <f t="shared" si="246"/>
        <v>1754.8659415140362</v>
      </c>
      <c r="AH280">
        <f t="shared" si="247"/>
        <v>-2931.3960362181547</v>
      </c>
      <c r="AJ280">
        <f t="shared" si="232"/>
        <v>26400</v>
      </c>
      <c r="AK280">
        <f t="shared" si="233"/>
        <v>42039.636736204804</v>
      </c>
      <c r="AL280">
        <v>1</v>
      </c>
      <c r="AM280">
        <f t="shared" si="234"/>
        <v>56.331520816032011</v>
      </c>
      <c r="AN280">
        <f t="shared" si="248"/>
        <v>754.37159533640715</v>
      </c>
      <c r="AO280">
        <f t="shared" si="249"/>
        <v>-455.26248951128662</v>
      </c>
      <c r="AQ280">
        <f t="shared" si="235"/>
        <v>2.29567884371248E-2</v>
      </c>
      <c r="AR280">
        <f t="shared" si="236"/>
        <v>-15.151480368502368</v>
      </c>
      <c r="AT280">
        <f t="shared" si="261"/>
        <v>-44374.703408910173</v>
      </c>
      <c r="AU280">
        <f t="shared" si="262"/>
        <v>-26656.112300832232</v>
      </c>
      <c r="AV280">
        <f t="shared" si="250"/>
        <v>-2.6006548313523439</v>
      </c>
      <c r="AW280">
        <f t="shared" si="251"/>
        <v>-4378.0537096849202</v>
      </c>
      <c r="AX280">
        <f t="shared" si="252"/>
        <v>-16708.385396240494</v>
      </c>
      <c r="AY280">
        <f t="shared" si="260"/>
        <v>-1.8270624116028609</v>
      </c>
      <c r="BA280">
        <f t="shared" si="237"/>
        <v>2.9969958305344662</v>
      </c>
      <c r="BB280">
        <f t="shared" si="253"/>
        <v>9.5337227749814062</v>
      </c>
      <c r="BC280">
        <f t="shared" si="254"/>
        <v>-0.77359241974948301</v>
      </c>
      <c r="BD280">
        <f t="shared" si="238"/>
        <v>-224.32358076560527</v>
      </c>
      <c r="BF280">
        <f t="shared" si="239"/>
        <v>-33.154581355399493</v>
      </c>
      <c r="BG280">
        <f t="shared" si="240"/>
        <v>-221.73780173590896</v>
      </c>
      <c r="BH280">
        <f t="shared" si="255"/>
        <v>-41.73780173590896</v>
      </c>
      <c r="BI280">
        <f t="shared" si="256"/>
        <v>-41.73780173590896</v>
      </c>
      <c r="BJ280">
        <f t="shared" si="241"/>
        <v>0</v>
      </c>
      <c r="BK280">
        <f t="shared" si="257"/>
        <v>0</v>
      </c>
      <c r="BM280">
        <f t="shared" si="258"/>
        <v>-42.688304130380892</v>
      </c>
      <c r="BN280">
        <f t="shared" si="242"/>
        <v>-177.41422097030366</v>
      </c>
      <c r="BQ280" s="56">
        <f t="shared" si="259"/>
        <v>26.435683575266541</v>
      </c>
      <c r="BR280" s="59"/>
      <c r="BS280" s="59"/>
      <c r="BT280" s="59">
        <v>50118.722999999998</v>
      </c>
      <c r="BU280" s="59">
        <v>0.950021</v>
      </c>
      <c r="BV280" s="59">
        <v>-137.59100000000001</v>
      </c>
      <c r="BY280" s="59"/>
      <c r="BZ280" s="59"/>
      <c r="CA280" s="59"/>
      <c r="CC280" s="59"/>
    </row>
    <row r="281" spans="1:81" x14ac:dyDescent="0.2">
      <c r="A281">
        <f t="shared" si="211"/>
        <v>335000</v>
      </c>
      <c r="B281">
        <f t="shared" si="243"/>
        <v>335</v>
      </c>
      <c r="C281">
        <f t="shared" si="212"/>
        <v>1.0008506419991876</v>
      </c>
      <c r="D281">
        <f t="shared" si="213"/>
        <v>4.1232012887791589E-2</v>
      </c>
      <c r="F281">
        <f t="shared" si="214"/>
        <v>4.7431547896346942E-4</v>
      </c>
      <c r="G281">
        <f t="shared" si="215"/>
        <v>4.4456435714783204E-3</v>
      </c>
      <c r="H281">
        <f t="shared" si="216"/>
        <v>-3.1371470064285218</v>
      </c>
      <c r="J281">
        <f t="shared" si="217"/>
        <v>15</v>
      </c>
      <c r="M281">
        <f t="shared" si="218"/>
        <v>3.733570530827483E-3</v>
      </c>
      <c r="N281">
        <f t="shared" si="219"/>
        <v>-1.5707963250000001</v>
      </c>
      <c r="O281">
        <f t="shared" si="220"/>
        <v>65.795220219882367</v>
      </c>
      <c r="P281">
        <f t="shared" si="221"/>
        <v>1.5555970691497181</v>
      </c>
      <c r="Q281">
        <f t="shared" si="222"/>
        <v>57.193771586086704</v>
      </c>
      <c r="R281">
        <f t="shared" si="223"/>
        <v>1.5533110144941202</v>
      </c>
      <c r="S281">
        <f t="shared" si="224"/>
        <v>0.52608305085589657</v>
      </c>
      <c r="T281">
        <f t="shared" si="225"/>
        <v>-1.0168081861792444</v>
      </c>
      <c r="U281">
        <f t="shared" si="226"/>
        <v>0.52110161051531412</v>
      </c>
      <c r="V281">
        <f t="shared" si="227"/>
        <v>-1.0226551780763407</v>
      </c>
      <c r="X281">
        <f t="shared" si="244"/>
        <v>-31.236560082280491</v>
      </c>
      <c r="Y281">
        <f t="shared" si="228"/>
        <v>-206.10819415032873</v>
      </c>
      <c r="Z281">
        <f t="shared" si="245"/>
        <v>-26.108194150328728</v>
      </c>
      <c r="AC281">
        <v>1</v>
      </c>
      <c r="AD281">
        <f t="shared" si="229"/>
        <v>65.787620444752491</v>
      </c>
      <c r="AE281">
        <f t="shared" si="230"/>
        <v>-1.6616903549958029E-2</v>
      </c>
      <c r="AF281">
        <f t="shared" si="231"/>
        <v>1.0145459303909999E-2</v>
      </c>
      <c r="AG281">
        <f t="shared" si="246"/>
        <v>1716.9913826217803</v>
      </c>
      <c r="AH281">
        <f t="shared" si="247"/>
        <v>-2910.7681886569799</v>
      </c>
      <c r="AJ281">
        <f t="shared" si="232"/>
        <v>26400</v>
      </c>
      <c r="AK281">
        <f t="shared" si="233"/>
        <v>42676.600929177606</v>
      </c>
      <c r="AL281">
        <v>1</v>
      </c>
      <c r="AM281">
        <f t="shared" si="234"/>
        <v>57.18502870718401</v>
      </c>
      <c r="AN281">
        <f t="shared" si="248"/>
        <v>754.13221986758606</v>
      </c>
      <c r="AO281">
        <f t="shared" si="249"/>
        <v>-448.47171296270744</v>
      </c>
      <c r="AQ281">
        <f t="shared" si="235"/>
        <v>2.2276626694972834E-2</v>
      </c>
      <c r="AR281">
        <f t="shared" si="236"/>
        <v>-14.925339885631798</v>
      </c>
      <c r="AT281">
        <f t="shared" si="261"/>
        <v>-43405.955767921092</v>
      </c>
      <c r="AU281">
        <f t="shared" si="262"/>
        <v>-25691.522062665259</v>
      </c>
      <c r="AV281">
        <f t="shared" si="250"/>
        <v>-2.6071582263112738</v>
      </c>
      <c r="AW281">
        <f t="shared" si="251"/>
        <v>-4212.2687910888262</v>
      </c>
      <c r="AX281">
        <f t="shared" si="252"/>
        <v>-16478.113877618867</v>
      </c>
      <c r="AY281">
        <f t="shared" si="260"/>
        <v>-1.8210649618984365</v>
      </c>
      <c r="BA281">
        <f t="shared" si="237"/>
        <v>2.9656300792825059</v>
      </c>
      <c r="BB281">
        <f t="shared" si="253"/>
        <v>9.442339558623857</v>
      </c>
      <c r="BC281">
        <f t="shared" si="254"/>
        <v>-0.78609326441283733</v>
      </c>
      <c r="BD281">
        <f t="shared" si="238"/>
        <v>-225.03982640598255</v>
      </c>
      <c r="BF281">
        <f t="shared" si="239"/>
        <v>-33.507103862703339</v>
      </c>
      <c r="BG281">
        <f t="shared" si="240"/>
        <v>-222.42268946982739</v>
      </c>
      <c r="BH281">
        <f t="shared" si="255"/>
        <v>-42.42268946982739</v>
      </c>
      <c r="BI281">
        <f t="shared" si="256"/>
        <v>-42.42268946982739</v>
      </c>
      <c r="BJ281">
        <f t="shared" si="241"/>
        <v>0</v>
      </c>
      <c r="BK281">
        <f t="shared" si="257"/>
        <v>0</v>
      </c>
      <c r="BM281">
        <f t="shared" si="258"/>
        <v>-42.949443421327196</v>
      </c>
      <c r="BN281">
        <f t="shared" si="242"/>
        <v>-177.38286306384484</v>
      </c>
      <c r="BQ281" s="56">
        <f t="shared" si="259"/>
        <v>26.344300358908995</v>
      </c>
      <c r="BR281" s="59"/>
      <c r="BS281" s="59"/>
      <c r="BT281" s="59">
        <v>51286.137999999999</v>
      </c>
      <c r="BU281" s="59">
        <v>1.0492999999999999</v>
      </c>
      <c r="BV281" s="59">
        <v>-137.08699999999999</v>
      </c>
      <c r="BY281" s="59"/>
      <c r="BZ281" s="59"/>
      <c r="CA281" s="59"/>
      <c r="CC281" s="59"/>
    </row>
    <row r="282" spans="1:81" x14ac:dyDescent="0.2">
      <c r="A282">
        <f t="shared" si="211"/>
        <v>340000</v>
      </c>
      <c r="B282">
        <f t="shared" si="243"/>
        <v>340</v>
      </c>
      <c r="C282">
        <f t="shared" si="212"/>
        <v>1.0008762125945594</v>
      </c>
      <c r="D282">
        <f t="shared" si="213"/>
        <v>4.1846703147114708E-2</v>
      </c>
      <c r="F282">
        <f t="shared" si="214"/>
        <v>4.6046135346285177E-4</v>
      </c>
      <c r="G282">
        <f t="shared" si="215"/>
        <v>4.3802066119114141E-3</v>
      </c>
      <c r="H282">
        <f t="shared" si="216"/>
        <v>-3.1372124433880888</v>
      </c>
      <c r="J282">
        <f t="shared" si="217"/>
        <v>15</v>
      </c>
      <c r="M282">
        <f t="shared" si="218"/>
        <v>3.6786650818447257E-3</v>
      </c>
      <c r="N282">
        <f t="shared" si="219"/>
        <v>-1.5707963250000001</v>
      </c>
      <c r="O282">
        <f t="shared" si="220"/>
        <v>66.777013253866755</v>
      </c>
      <c r="P282">
        <f t="shared" si="221"/>
        <v>1.5558205539771139</v>
      </c>
      <c r="Q282">
        <f t="shared" si="222"/>
        <v>58.047150924712817</v>
      </c>
      <c r="R282">
        <f t="shared" si="223"/>
        <v>1.5535681001823252</v>
      </c>
      <c r="S282">
        <f t="shared" si="224"/>
        <v>0.52045349627074045</v>
      </c>
      <c r="T282">
        <f t="shared" si="225"/>
        <v>-1.023414367529035</v>
      </c>
      <c r="U282">
        <f t="shared" si="226"/>
        <v>0.51548578978640802</v>
      </c>
      <c r="V282">
        <f t="shared" si="227"/>
        <v>-1.0292218575373933</v>
      </c>
      <c r="X282">
        <f t="shared" si="244"/>
        <v>-31.552768211068742</v>
      </c>
      <c r="Y282">
        <f t="shared" si="228"/>
        <v>-206.80393892143636</v>
      </c>
      <c r="Z282">
        <f t="shared" si="245"/>
        <v>-26.803938921436355</v>
      </c>
      <c r="AC282">
        <v>1</v>
      </c>
      <c r="AD282">
        <f t="shared" si="229"/>
        <v>66.769525227510002</v>
      </c>
      <c r="AE282">
        <f t="shared" si="230"/>
        <v>-1.7116632215416781E-2</v>
      </c>
      <c r="AF282">
        <f t="shared" si="231"/>
        <v>1.029688406964E-2</v>
      </c>
      <c r="AG282">
        <f t="shared" si="246"/>
        <v>1680.1833634921904</v>
      </c>
      <c r="AH282">
        <f t="shared" si="247"/>
        <v>-2890.1054421989029</v>
      </c>
      <c r="AJ282">
        <f t="shared" si="232"/>
        <v>26400</v>
      </c>
      <c r="AK282">
        <f t="shared" si="233"/>
        <v>43313.565122150401</v>
      </c>
      <c r="AL282">
        <v>1</v>
      </c>
      <c r="AM282">
        <f t="shared" si="234"/>
        <v>58.038536598336009</v>
      </c>
      <c r="AN282">
        <f t="shared" si="248"/>
        <v>753.90332305509071</v>
      </c>
      <c r="AO282">
        <f t="shared" si="249"/>
        <v>-441.88048458961651</v>
      </c>
      <c r="AQ282">
        <f t="shared" si="235"/>
        <v>2.1626250808281122E-2</v>
      </c>
      <c r="AR282">
        <f t="shared" si="236"/>
        <v>-14.705850549631164</v>
      </c>
      <c r="AT282">
        <f t="shared" si="261"/>
        <v>-42465.122638829969</v>
      </c>
      <c r="AU282">
        <f t="shared" si="262"/>
        <v>-24771.027584648138</v>
      </c>
      <c r="AV282">
        <f t="shared" si="250"/>
        <v>-2.6135233699748897</v>
      </c>
      <c r="AW282">
        <f t="shared" si="251"/>
        <v>-4054.32843592369</v>
      </c>
      <c r="AX282">
        <f t="shared" si="252"/>
        <v>-16254.144452514443</v>
      </c>
      <c r="AY282">
        <f t="shared" si="260"/>
        <v>-1.8152417595454606</v>
      </c>
      <c r="BA282">
        <f t="shared" si="237"/>
        <v>2.9346595596823777</v>
      </c>
      <c r="BB282">
        <f t="shared" si="253"/>
        <v>9.3511545482865905</v>
      </c>
      <c r="BC282">
        <f t="shared" si="254"/>
        <v>-0.79828161042942902</v>
      </c>
      <c r="BD282">
        <f t="shared" si="238"/>
        <v>-225.7381671927763</v>
      </c>
      <c r="BF282">
        <f t="shared" si="239"/>
        <v>-33.855549202812988</v>
      </c>
      <c r="BG282">
        <f t="shared" si="240"/>
        <v>-223.08956036062551</v>
      </c>
      <c r="BH282">
        <f t="shared" si="255"/>
        <v>-43.089560360625512</v>
      </c>
      <c r="BI282">
        <f t="shared" si="256"/>
        <v>-43.089560360625512</v>
      </c>
      <c r="BJ282">
        <f t="shared" si="241"/>
        <v>0</v>
      </c>
      <c r="BK282">
        <f t="shared" si="257"/>
        <v>0</v>
      </c>
      <c r="BM282">
        <f t="shared" si="258"/>
        <v>-43.206703751099582</v>
      </c>
      <c r="BN282">
        <f t="shared" si="242"/>
        <v>-177.35139316784921</v>
      </c>
      <c r="BQ282" s="56">
        <f t="shared" si="259"/>
        <v>26.253115348571725</v>
      </c>
      <c r="BR282" s="59"/>
      <c r="BS282" s="59"/>
      <c r="BT282" s="59">
        <v>52480.745999999999</v>
      </c>
      <c r="BU282" s="59">
        <v>1.1752400000000001</v>
      </c>
      <c r="BV282" s="59">
        <v>-136.553</v>
      </c>
      <c r="BY282" s="59"/>
      <c r="BZ282" s="59"/>
      <c r="CA282" s="59"/>
      <c r="CC282" s="59"/>
    </row>
    <row r="283" spans="1:81" x14ac:dyDescent="0.2">
      <c r="A283">
        <f t="shared" si="211"/>
        <v>345000</v>
      </c>
      <c r="B283">
        <f t="shared" si="243"/>
        <v>345</v>
      </c>
      <c r="C283">
        <f t="shared" si="212"/>
        <v>1.0009021613457119</v>
      </c>
      <c r="D283">
        <f t="shared" si="213"/>
        <v>4.2461361766537663E-2</v>
      </c>
      <c r="F283">
        <f t="shared" si="214"/>
        <v>4.4720555750755211E-4</v>
      </c>
      <c r="G283">
        <f t="shared" si="215"/>
        <v>4.3166689230544324E-3</v>
      </c>
      <c r="H283">
        <f t="shared" si="216"/>
        <v>-3.1372759810769457</v>
      </c>
      <c r="J283">
        <f t="shared" si="217"/>
        <v>15</v>
      </c>
      <c r="M283">
        <f t="shared" si="218"/>
        <v>3.6253510951513241E-3</v>
      </c>
      <c r="N283">
        <f t="shared" si="219"/>
        <v>-1.5707963250000001</v>
      </c>
      <c r="O283">
        <f t="shared" si="220"/>
        <v>67.758809526409024</v>
      </c>
      <c r="P283">
        <f t="shared" si="221"/>
        <v>1.55603756241528</v>
      </c>
      <c r="Q283">
        <f t="shared" si="222"/>
        <v>58.90053398868158</v>
      </c>
      <c r="R283">
        <f t="shared" si="223"/>
        <v>1.5538177362912748</v>
      </c>
      <c r="S283">
        <f t="shared" si="224"/>
        <v>0.51492138577162183</v>
      </c>
      <c r="T283">
        <f t="shared" si="225"/>
        <v>-1.0298803865558486</v>
      </c>
      <c r="U283">
        <f t="shared" si="226"/>
        <v>0.50996842836780565</v>
      </c>
      <c r="V283">
        <f t="shared" si="227"/>
        <v>-1.0356482398769506</v>
      </c>
      <c r="X283">
        <f t="shared" si="244"/>
        <v>-31.865812622952681</v>
      </c>
      <c r="Y283">
        <f t="shared" si="228"/>
        <v>-207.48430544189026</v>
      </c>
      <c r="Z283">
        <f t="shared" si="245"/>
        <v>-27.484305441890257</v>
      </c>
      <c r="AC283">
        <v>1</v>
      </c>
      <c r="AD283">
        <f t="shared" si="229"/>
        <v>67.751430010267498</v>
      </c>
      <c r="AE283">
        <f t="shared" si="230"/>
        <v>-1.7623764268511952E-2</v>
      </c>
      <c r="AF283">
        <f t="shared" si="231"/>
        <v>1.0448308835370001E-2</v>
      </c>
      <c r="AG283">
        <f t="shared" si="246"/>
        <v>1644.4090758812511</v>
      </c>
      <c r="AH283">
        <f t="shared" si="247"/>
        <v>-2869.4287646667808</v>
      </c>
      <c r="AJ283">
        <f t="shared" si="232"/>
        <v>26400</v>
      </c>
      <c r="AK283">
        <f t="shared" si="233"/>
        <v>43950.529315123204</v>
      </c>
      <c r="AL283">
        <v>1</v>
      </c>
      <c r="AM283">
        <f t="shared" si="234"/>
        <v>58.892044489488008</v>
      </c>
      <c r="AN283">
        <f t="shared" si="248"/>
        <v>753.68430215841772</v>
      </c>
      <c r="AO283">
        <f t="shared" si="249"/>
        <v>-435.48013861905144</v>
      </c>
      <c r="AQ283">
        <f t="shared" si="235"/>
        <v>2.1003946641573953E-2</v>
      </c>
      <c r="AR283">
        <f t="shared" si="236"/>
        <v>-14.492723182686026</v>
      </c>
      <c r="AT283">
        <f t="shared" si="261"/>
        <v>-41551.297698265655</v>
      </c>
      <c r="AU283">
        <f t="shared" si="262"/>
        <v>-23892.234864508369</v>
      </c>
      <c r="AV283">
        <f t="shared" si="250"/>
        <v>-2.6197540567038291</v>
      </c>
      <c r="AW283">
        <f t="shared" si="251"/>
        <v>-3903.7530835168886</v>
      </c>
      <c r="AX283">
        <f t="shared" si="252"/>
        <v>-16036.212980950171</v>
      </c>
      <c r="AY283">
        <f t="shared" si="260"/>
        <v>-1.8095853660802625</v>
      </c>
      <c r="BA283">
        <f t="shared" si="237"/>
        <v>2.9040923589574636</v>
      </c>
      <c r="BB283">
        <f t="shared" si="253"/>
        <v>9.2602084826255044</v>
      </c>
      <c r="BC283">
        <f t="shared" si="254"/>
        <v>-0.81016869062356656</v>
      </c>
      <c r="BD283">
        <f t="shared" si="238"/>
        <v>-226.4192467194122</v>
      </c>
      <c r="BF283">
        <f t="shared" si="239"/>
        <v>-34.199989955531493</v>
      </c>
      <c r="BG283">
        <f t="shared" si="240"/>
        <v>-223.73906298390258</v>
      </c>
      <c r="BH283">
        <f t="shared" si="255"/>
        <v>-43.739062983902585</v>
      </c>
      <c r="BI283">
        <f t="shared" si="256"/>
        <v>-43.739062983902585</v>
      </c>
      <c r="BJ283">
        <f t="shared" si="241"/>
        <v>0</v>
      </c>
      <c r="BK283">
        <f t="shared" si="257"/>
        <v>0</v>
      </c>
      <c r="BM283">
        <f t="shared" si="258"/>
        <v>-43.460198438156993</v>
      </c>
      <c r="BN283">
        <f t="shared" si="242"/>
        <v>-177.31981626449038</v>
      </c>
      <c r="BQ283" s="56">
        <f t="shared" si="259"/>
        <v>26.162169282910639</v>
      </c>
      <c r="BR283" s="59"/>
      <c r="BS283" s="59"/>
      <c r="BT283" s="59">
        <v>53703.18</v>
      </c>
      <c r="BU283" s="59">
        <v>1.3152900000000001</v>
      </c>
      <c r="BV283" s="59">
        <v>-136.001</v>
      </c>
      <c r="BY283" s="59"/>
      <c r="BZ283" s="59"/>
      <c r="CA283" s="59"/>
      <c r="CC283" s="59"/>
    </row>
    <row r="284" spans="1:81" x14ac:dyDescent="0.2">
      <c r="A284">
        <f t="shared" si="211"/>
        <v>350000</v>
      </c>
      <c r="B284">
        <f t="shared" si="243"/>
        <v>350</v>
      </c>
      <c r="C284">
        <f t="shared" si="212"/>
        <v>1.0009284882232337</v>
      </c>
      <c r="D284">
        <f t="shared" si="213"/>
        <v>4.3075988284097026E-2</v>
      </c>
      <c r="F284">
        <f t="shared" si="214"/>
        <v>4.3451412181321738E-4</v>
      </c>
      <c r="G284">
        <f t="shared" si="215"/>
        <v>4.2549489650418465E-3</v>
      </c>
      <c r="H284">
        <f t="shared" si="216"/>
        <v>-3.1373377010349586</v>
      </c>
      <c r="J284">
        <f t="shared" si="217"/>
        <v>15</v>
      </c>
      <c r="M284">
        <f t="shared" si="218"/>
        <v>3.5735603652205907E-3</v>
      </c>
      <c r="N284">
        <f t="shared" si="219"/>
        <v>-1.5707963250000001</v>
      </c>
      <c r="O284">
        <f t="shared" si="220"/>
        <v>68.740608898743858</v>
      </c>
      <c r="P284">
        <f t="shared" si="221"/>
        <v>1.5562483719436997</v>
      </c>
      <c r="Q284">
        <f t="shared" si="222"/>
        <v>59.753920618381173</v>
      </c>
      <c r="R284">
        <f t="shared" si="223"/>
        <v>1.5540602419667857</v>
      </c>
      <c r="S284">
        <f t="shared" si="224"/>
        <v>0.50948501104170407</v>
      </c>
      <c r="T284">
        <f t="shared" si="225"/>
        <v>-1.036210133289188</v>
      </c>
      <c r="U284">
        <f t="shared" si="226"/>
        <v>0.50454774412619052</v>
      </c>
      <c r="V284">
        <f t="shared" si="227"/>
        <v>-1.0419382595816178</v>
      </c>
      <c r="X284">
        <f t="shared" si="244"/>
        <v>-32.175744227355295</v>
      </c>
      <c r="Y284">
        <f t="shared" si="228"/>
        <v>-208.14971253768769</v>
      </c>
      <c r="Z284">
        <f t="shared" si="245"/>
        <v>-28.149712537687691</v>
      </c>
      <c r="AC284">
        <v>1</v>
      </c>
      <c r="AD284">
        <f t="shared" si="229"/>
        <v>68.733334793024994</v>
      </c>
      <c r="AE284">
        <f t="shared" si="230"/>
        <v>-1.8138299709243553E-2</v>
      </c>
      <c r="AF284">
        <f t="shared" si="231"/>
        <v>1.05997336011E-2</v>
      </c>
      <c r="AG284">
        <f t="shared" si="246"/>
        <v>1609.636539568286</v>
      </c>
      <c r="AH284">
        <f t="shared" si="247"/>
        <v>-2848.7574418385016</v>
      </c>
      <c r="AJ284">
        <f t="shared" si="232"/>
        <v>26400</v>
      </c>
      <c r="AK284">
        <f t="shared" si="233"/>
        <v>44587.493508095999</v>
      </c>
      <c r="AL284">
        <v>1</v>
      </c>
      <c r="AM284">
        <f t="shared" si="234"/>
        <v>59.745552380640007</v>
      </c>
      <c r="AN284">
        <f t="shared" si="248"/>
        <v>753.47459715567595</v>
      </c>
      <c r="AO284">
        <f t="shared" si="249"/>
        <v>-429.26250375006737</v>
      </c>
      <c r="AQ284">
        <f t="shared" si="235"/>
        <v>2.0408121616078335E-2</v>
      </c>
      <c r="AR284">
        <f t="shared" si="236"/>
        <v>-14.285685131254834</v>
      </c>
      <c r="AT284">
        <f t="shared" si="261"/>
        <v>-40663.602171166647</v>
      </c>
      <c r="AU284">
        <f t="shared" si="262"/>
        <v>-23052.898568362896</v>
      </c>
      <c r="AV284">
        <f t="shared" si="250"/>
        <v>-2.6258539707709558</v>
      </c>
      <c r="AW284">
        <f t="shared" si="251"/>
        <v>-3760.0986473164453</v>
      </c>
      <c r="AX284">
        <f t="shared" si="252"/>
        <v>-15824.070596951748</v>
      </c>
      <c r="AY284">
        <f t="shared" si="260"/>
        <v>-1.8040886996704486</v>
      </c>
      <c r="BA284">
        <f t="shared" si="237"/>
        <v>2.8739347452803035</v>
      </c>
      <c r="BB284">
        <f t="shared" si="253"/>
        <v>9.1695380589396613</v>
      </c>
      <c r="BC284">
        <f t="shared" si="254"/>
        <v>-0.82176527110050723</v>
      </c>
      <c r="BD284">
        <f t="shared" si="238"/>
        <v>-227.08368183828395</v>
      </c>
      <c r="BF284">
        <f t="shared" si="239"/>
        <v>-34.540497841626056</v>
      </c>
      <c r="BG284">
        <f t="shared" si="240"/>
        <v>-224.37181889041099</v>
      </c>
      <c r="BH284">
        <f t="shared" si="255"/>
        <v>-44.371818890410992</v>
      </c>
      <c r="BI284">
        <f t="shared" si="256"/>
        <v>-44.371818890410992</v>
      </c>
      <c r="BJ284">
        <f t="shared" si="241"/>
        <v>0</v>
      </c>
      <c r="BK284">
        <f t="shared" si="257"/>
        <v>0</v>
      </c>
      <c r="BM284">
        <f t="shared" si="258"/>
        <v>-43.710035900565714</v>
      </c>
      <c r="BN284">
        <f t="shared" si="242"/>
        <v>-177.28813705212707</v>
      </c>
      <c r="BQ284" s="56">
        <f t="shared" si="259"/>
        <v>26.0714988592248</v>
      </c>
      <c r="BR284" s="59"/>
      <c r="BS284" s="59"/>
      <c r="BT284" s="59">
        <v>54954.087</v>
      </c>
      <c r="BU284" s="59">
        <v>1.4637500000000001</v>
      </c>
      <c r="BV284" s="59">
        <v>-135.524</v>
      </c>
      <c r="BY284" s="59"/>
      <c r="BZ284" s="59"/>
      <c r="CA284" s="59"/>
      <c r="CC284" s="59"/>
    </row>
    <row r="285" spans="1:81" x14ac:dyDescent="0.2">
      <c r="A285">
        <f t="shared" si="211"/>
        <v>355000</v>
      </c>
      <c r="B285">
        <f t="shared" si="243"/>
        <v>355</v>
      </c>
      <c r="C285">
        <f t="shared" si="212"/>
        <v>1.0009551931972893</v>
      </c>
      <c r="D285">
        <f t="shared" si="213"/>
        <v>4.3690582237974625E-2</v>
      </c>
      <c r="F285">
        <f t="shared" si="214"/>
        <v>4.2235545433776589E-4</v>
      </c>
      <c r="G285">
        <f t="shared" si="215"/>
        <v>4.1949698016387101E-3</v>
      </c>
      <c r="H285">
        <f t="shared" si="216"/>
        <v>-3.1373976801983616</v>
      </c>
      <c r="J285">
        <f t="shared" si="217"/>
        <v>15</v>
      </c>
      <c r="M285">
        <f t="shared" si="218"/>
        <v>3.5232285290907228E-3</v>
      </c>
      <c r="N285">
        <f t="shared" si="219"/>
        <v>-1.5707963250000001</v>
      </c>
      <c r="O285">
        <f t="shared" si="220"/>
        <v>69.722411239921641</v>
      </c>
      <c r="P285">
        <f t="shared" si="221"/>
        <v>1.5564532444147263</v>
      </c>
      <c r="Q285">
        <f t="shared" si="222"/>
        <v>60.607310663188812</v>
      </c>
      <c r="R285">
        <f t="shared" si="223"/>
        <v>1.5542959183830265</v>
      </c>
      <c r="S285">
        <f t="shared" si="224"/>
        <v>0.50414265833083582</v>
      </c>
      <c r="T285">
        <f t="shared" si="225"/>
        <v>-1.0424073792185635</v>
      </c>
      <c r="U285">
        <f t="shared" si="226"/>
        <v>0.49922195352832632</v>
      </c>
      <c r="V285">
        <f t="shared" si="227"/>
        <v>-1.048095729116066</v>
      </c>
      <c r="X285">
        <f t="shared" si="244"/>
        <v>-32.482612975167285</v>
      </c>
      <c r="Y285">
        <f t="shared" si="228"/>
        <v>-208.80056691293427</v>
      </c>
      <c r="Z285">
        <f t="shared" si="245"/>
        <v>-28.800566912934272</v>
      </c>
      <c r="AC285">
        <v>1</v>
      </c>
      <c r="AD285">
        <f t="shared" si="229"/>
        <v>69.715239575782491</v>
      </c>
      <c r="AE285">
        <f t="shared" si="230"/>
        <v>-1.8660238537611583E-2</v>
      </c>
      <c r="AF285">
        <f t="shared" si="231"/>
        <v>1.0751158366830001E-2</v>
      </c>
      <c r="AG285">
        <f t="shared" si="246"/>
        <v>1575.8346131400565</v>
      </c>
      <c r="AH285">
        <f t="shared" si="247"/>
        <v>-2828.1091896875696</v>
      </c>
      <c r="AJ285">
        <f t="shared" si="232"/>
        <v>26400</v>
      </c>
      <c r="AK285">
        <f t="shared" si="233"/>
        <v>45224.457701068801</v>
      </c>
      <c r="AL285">
        <v>1</v>
      </c>
      <c r="AM285">
        <f t="shared" si="234"/>
        <v>60.599060271792005</v>
      </c>
      <c r="AN285">
        <f t="shared" si="248"/>
        <v>753.27368716158139</v>
      </c>
      <c r="AO285">
        <f t="shared" si="249"/>
        <v>-423.21986839087344</v>
      </c>
      <c r="AQ285">
        <f t="shared" si="235"/>
        <v>1.9837294510425488E-2</v>
      </c>
      <c r="AR285">
        <f t="shared" si="236"/>
        <v>-14.084479102402097</v>
      </c>
      <c r="AT285">
        <f t="shared" si="261"/>
        <v>-39801.184486145321</v>
      </c>
      <c r="AU285">
        <f t="shared" si="262"/>
        <v>-22250.911712516492</v>
      </c>
      <c r="AV285">
        <f t="shared" si="250"/>
        <v>-2.6318266885182364</v>
      </c>
      <c r="AW285">
        <f t="shared" si="251"/>
        <v>-3622.9534608278937</v>
      </c>
      <c r="AX285">
        <f t="shared" si="252"/>
        <v>-15617.482572086061</v>
      </c>
      <c r="AY285">
        <f t="shared" si="260"/>
        <v>-1.798745018755356</v>
      </c>
      <c r="BA285">
        <f t="shared" si="237"/>
        <v>2.8441913688892555</v>
      </c>
      <c r="BB285">
        <f t="shared" si="253"/>
        <v>9.0791762831837062</v>
      </c>
      <c r="BC285">
        <f t="shared" si="254"/>
        <v>-0.83308166976288045</v>
      </c>
      <c r="BD285">
        <f t="shared" si="238"/>
        <v>-227.73206372166629</v>
      </c>
      <c r="BF285">
        <f t="shared" si="239"/>
        <v>-34.877143651476274</v>
      </c>
      <c r="BG285">
        <f t="shared" si="240"/>
        <v>-224.9884236870073</v>
      </c>
      <c r="BH285">
        <f t="shared" si="255"/>
        <v>-44.988423687007298</v>
      </c>
      <c r="BI285">
        <f t="shared" si="256"/>
        <v>-44.988423687007298</v>
      </c>
      <c r="BJ285">
        <f t="shared" si="241"/>
        <v>0</v>
      </c>
      <c r="BK285">
        <f t="shared" si="257"/>
        <v>0</v>
      </c>
      <c r="BM285">
        <f t="shared" si="258"/>
        <v>-43.956319934659973</v>
      </c>
      <c r="BN285">
        <f t="shared" si="242"/>
        <v>-177.25635996534103</v>
      </c>
      <c r="BQ285" s="56">
        <f t="shared" si="259"/>
        <v>25.981137083468838</v>
      </c>
      <c r="BR285" s="59"/>
      <c r="BS285" s="59"/>
      <c r="BT285" s="59">
        <v>56234.133000000002</v>
      </c>
      <c r="BU285" s="59">
        <v>1.62296</v>
      </c>
      <c r="BV285" s="59">
        <v>-134.983</v>
      </c>
      <c r="BY285" s="59"/>
      <c r="BZ285" s="59"/>
      <c r="CA285" s="59"/>
      <c r="CC285" s="59"/>
    </row>
    <row r="286" spans="1:81" x14ac:dyDescent="0.2">
      <c r="A286">
        <f t="shared" si="211"/>
        <v>360000</v>
      </c>
      <c r="B286">
        <f t="shared" si="243"/>
        <v>360</v>
      </c>
      <c r="C286">
        <f t="shared" si="212"/>
        <v>1.000982276237617</v>
      </c>
      <c r="D286">
        <f t="shared" si="213"/>
        <v>4.430514316649966E-2</v>
      </c>
      <c r="F286">
        <f t="shared" si="214"/>
        <v>4.107001433768602E-4</v>
      </c>
      <c r="G286">
        <f t="shared" si="215"/>
        <v>4.1366587797407621E-3</v>
      </c>
      <c r="H286">
        <f t="shared" si="216"/>
        <v>-3.1374559912202593</v>
      </c>
      <c r="J286">
        <f t="shared" si="217"/>
        <v>15</v>
      </c>
      <c r="M286">
        <f t="shared" si="218"/>
        <v>3.4742947995200185E-3</v>
      </c>
      <c r="N286">
        <f t="shared" si="219"/>
        <v>-1.5707963250000001</v>
      </c>
      <c r="O286">
        <f t="shared" si="220"/>
        <v>70.704216426265887</v>
      </c>
      <c r="P286">
        <f t="shared" si="221"/>
        <v>1.5566524271383513</v>
      </c>
      <c r="Q286">
        <f t="shared" si="222"/>
        <v>61.460703980846809</v>
      </c>
      <c r="R286">
        <f t="shared" si="223"/>
        <v>1.5545250499898648</v>
      </c>
      <c r="S286">
        <f t="shared" si="224"/>
        <v>0.4988926129443455</v>
      </c>
      <c r="T286">
        <f t="shared" si="225"/>
        <v>-1.0484757803165465</v>
      </c>
      <c r="U286">
        <f t="shared" si="226"/>
        <v>0.4939892759529424</v>
      </c>
      <c r="V286">
        <f t="shared" si="227"/>
        <v>-1.0541243421787267</v>
      </c>
      <c r="X286">
        <f t="shared" si="244"/>
        <v>-32.786467881827953</v>
      </c>
      <c r="Y286">
        <f t="shared" si="228"/>
        <v>-209.43726339433189</v>
      </c>
      <c r="Z286">
        <f t="shared" si="245"/>
        <v>-29.437263394331893</v>
      </c>
      <c r="AC286">
        <v>1</v>
      </c>
      <c r="AD286">
        <f t="shared" si="229"/>
        <v>70.697144358540001</v>
      </c>
      <c r="AE286">
        <f t="shared" si="230"/>
        <v>-1.9189580753616042E-2</v>
      </c>
      <c r="AF286">
        <f t="shared" si="231"/>
        <v>1.090258313256E-2</v>
      </c>
      <c r="AG286">
        <f t="shared" si="246"/>
        <v>1542.9729998030559</v>
      </c>
      <c r="AH286">
        <f t="shared" si="247"/>
        <v>-2807.5002600950338</v>
      </c>
      <c r="AJ286">
        <f t="shared" si="232"/>
        <v>26400</v>
      </c>
      <c r="AK286">
        <f t="shared" si="233"/>
        <v>45861.421894041603</v>
      </c>
      <c r="AL286">
        <v>1</v>
      </c>
      <c r="AM286">
        <f t="shared" si="234"/>
        <v>61.452568162944011</v>
      </c>
      <c r="AN286">
        <f t="shared" si="248"/>
        <v>753.08108719099903</v>
      </c>
      <c r="AO286">
        <f t="shared" si="249"/>
        <v>-417.34494878725235</v>
      </c>
      <c r="AQ286">
        <f t="shared" si="235"/>
        <v>1.9290086245975606E-2</v>
      </c>
      <c r="AR286">
        <f t="shared" si="236"/>
        <v>-13.888862097102436</v>
      </c>
      <c r="AT286">
        <f t="shared" si="261"/>
        <v>-38963.219867797736</v>
      </c>
      <c r="AU286">
        <f t="shared" si="262"/>
        <v>-21484.29613596994</v>
      </c>
      <c r="AV286">
        <f t="shared" si="250"/>
        <v>-2.6376756806343398</v>
      </c>
      <c r="AW286">
        <f t="shared" si="251"/>
        <v>-3491.9355220569419</v>
      </c>
      <c r="AX286">
        <f t="shared" si="252"/>
        <v>-15416.227281710664</v>
      </c>
      <c r="AY286">
        <f t="shared" si="260"/>
        <v>-1.7935479061009194</v>
      </c>
      <c r="BA286">
        <f t="shared" si="237"/>
        <v>2.8148654434228488</v>
      </c>
      <c r="BB286">
        <f t="shared" si="253"/>
        <v>8.9891527896041445</v>
      </c>
      <c r="BC286">
        <f t="shared" si="254"/>
        <v>-0.84412777453342036</v>
      </c>
      <c r="BD286">
        <f t="shared" si="238"/>
        <v>-228.36495890580073</v>
      </c>
      <c r="BF286">
        <f t="shared" si="239"/>
        <v>-35.209997184560478</v>
      </c>
      <c r="BG286">
        <f t="shared" si="240"/>
        <v>-225.58944809910105</v>
      </c>
      <c r="BH286">
        <f t="shared" si="255"/>
        <v>-45.589448099101048</v>
      </c>
      <c r="BI286">
        <f t="shared" si="256"/>
        <v>-45.589448099101048</v>
      </c>
      <c r="BJ286">
        <f t="shared" si="241"/>
        <v>0</v>
      </c>
      <c r="BK286">
        <f t="shared" si="257"/>
        <v>0</v>
      </c>
      <c r="BM286">
        <f t="shared" si="258"/>
        <v>-44.199149974164619</v>
      </c>
      <c r="BN286">
        <f t="shared" si="242"/>
        <v>-177.22448919330031</v>
      </c>
      <c r="BQ286" s="56">
        <f t="shared" si="259"/>
        <v>25.891113589889279</v>
      </c>
      <c r="BR286" s="59"/>
      <c r="BS286" s="59"/>
      <c r="BT286" s="59">
        <v>57543.993999999999</v>
      </c>
      <c r="BU286" s="59">
        <v>1.78169</v>
      </c>
      <c r="BV286" s="59">
        <v>-134.52199999999999</v>
      </c>
      <c r="BY286" s="59"/>
      <c r="BZ286" s="59"/>
      <c r="CA286" s="59"/>
      <c r="CC286" s="59"/>
    </row>
    <row r="287" spans="1:81" x14ac:dyDescent="0.2">
      <c r="A287">
        <f t="shared" si="211"/>
        <v>365000</v>
      </c>
      <c r="B287">
        <f t="shared" si="243"/>
        <v>365</v>
      </c>
      <c r="C287">
        <f t="shared" si="212"/>
        <v>1.0010097373135303</v>
      </c>
      <c r="D287">
        <f t="shared" si="213"/>
        <v>4.4919670608150698E-2</v>
      </c>
      <c r="F287">
        <f t="shared" si="214"/>
        <v>3.995207794300331E-4</v>
      </c>
      <c r="G287">
        <f t="shared" si="215"/>
        <v>4.0799472352925133E-3</v>
      </c>
      <c r="H287">
        <f t="shared" si="216"/>
        <v>-3.1375127027647078</v>
      </c>
      <c r="J287">
        <f t="shared" si="217"/>
        <v>15</v>
      </c>
      <c r="M287">
        <f t="shared" si="218"/>
        <v>3.4267017200745389E-3</v>
      </c>
      <c r="N287">
        <f t="shared" si="219"/>
        <v>-1.5707963250000001</v>
      </c>
      <c r="O287">
        <f t="shared" si="220"/>
        <v>71.68602434087515</v>
      </c>
      <c r="P287">
        <f t="shared" si="221"/>
        <v>1.5568461538778546</v>
      </c>
      <c r="Q287">
        <f t="shared" si="222"/>
        <v>62.314100436889845</v>
      </c>
      <c r="R287">
        <f t="shared" si="223"/>
        <v>1.5547479056577551</v>
      </c>
      <c r="S287">
        <f t="shared" si="224"/>
        <v>0.4937331632421687</v>
      </c>
      <c r="T287">
        <f t="shared" si="225"/>
        <v>-1.0544188800896932</v>
      </c>
      <c r="U287">
        <f t="shared" si="226"/>
        <v>0.48884793751553984</v>
      </c>
      <c r="V287">
        <f t="shared" si="227"/>
        <v>-1.0600276769714156</v>
      </c>
      <c r="X287">
        <f t="shared" si="244"/>
        <v>-33.087357048537839</v>
      </c>
      <c r="Y287">
        <f t="shared" si="228"/>
        <v>-210.06018518752583</v>
      </c>
      <c r="Z287">
        <f t="shared" si="245"/>
        <v>-30.060185187525832</v>
      </c>
      <c r="AC287">
        <v>1</v>
      </c>
      <c r="AD287">
        <f t="shared" si="229"/>
        <v>71.679049141297497</v>
      </c>
      <c r="AE287">
        <f t="shared" si="230"/>
        <v>-1.9726326357256921E-2</v>
      </c>
      <c r="AF287">
        <f t="shared" si="231"/>
        <v>1.1054007898290001E-2</v>
      </c>
      <c r="AG287">
        <f t="shared" si="246"/>
        <v>1511.0222488799968</v>
      </c>
      <c r="AH287">
        <f t="shared" si="247"/>
        <v>-2786.9455402912081</v>
      </c>
      <c r="AJ287">
        <f t="shared" si="232"/>
        <v>26400</v>
      </c>
      <c r="AK287">
        <f t="shared" si="233"/>
        <v>46498.386087014405</v>
      </c>
      <c r="AL287">
        <v>1</v>
      </c>
      <c r="AM287">
        <f t="shared" si="234"/>
        <v>62.30607605409601</v>
      </c>
      <c r="AN287">
        <f t="shared" si="248"/>
        <v>752.89634523046084</v>
      </c>
      <c r="AO287">
        <f t="shared" si="249"/>
        <v>-411.63085976561825</v>
      </c>
      <c r="AQ287">
        <f t="shared" si="235"/>
        <v>1.8765211549612405E-2</v>
      </c>
      <c r="AR287">
        <f t="shared" si="236"/>
        <v>-13.698604431217055</v>
      </c>
      <c r="AT287">
        <f t="shared" si="261"/>
        <v>-38148.909875637342</v>
      </c>
      <c r="AU287">
        <f t="shared" si="262"/>
        <v>-20751.193696815899</v>
      </c>
      <c r="AV287">
        <f t="shared" si="250"/>
        <v>-2.6434043145265149</v>
      </c>
      <c r="AW287">
        <f t="shared" si="251"/>
        <v>-3366.6900038863241</v>
      </c>
      <c r="AX287">
        <f t="shared" si="252"/>
        <v>-15220.095263162439</v>
      </c>
      <c r="AY287">
        <f t="shared" si="260"/>
        <v>-1.7884912533257558</v>
      </c>
      <c r="BA287">
        <f t="shared" si="237"/>
        <v>2.7859589092918489</v>
      </c>
      <c r="BB287">
        <f t="shared" si="253"/>
        <v>8.8994941326461134</v>
      </c>
      <c r="BC287">
        <f t="shared" si="254"/>
        <v>-0.85491306120075916</v>
      </c>
      <c r="BD287">
        <f t="shared" si="238"/>
        <v>-228.98291031338408</v>
      </c>
      <c r="BF287">
        <f t="shared" si="239"/>
        <v>-35.53912719875531</v>
      </c>
      <c r="BG287">
        <f t="shared" si="240"/>
        <v>-226.17543900999286</v>
      </c>
      <c r="BH287">
        <f t="shared" si="255"/>
        <v>-46.175439009992857</v>
      </c>
      <c r="BI287">
        <f t="shared" si="256"/>
        <v>-46.175439009992857</v>
      </c>
      <c r="BJ287">
        <f t="shared" si="241"/>
        <v>0</v>
      </c>
      <c r="BK287">
        <f t="shared" si="257"/>
        <v>0</v>
      </c>
      <c r="BM287">
        <f t="shared" si="258"/>
        <v>-44.438621331401428</v>
      </c>
      <c r="BN287">
        <f t="shared" si="242"/>
        <v>-177.1925286966088</v>
      </c>
      <c r="BQ287" s="56">
        <f t="shared" si="259"/>
        <v>25.80145493293125</v>
      </c>
      <c r="BR287" s="59"/>
      <c r="BS287" s="59"/>
      <c r="BT287" s="59">
        <v>58884.366000000002</v>
      </c>
      <c r="BU287" s="59">
        <v>1.9421999999999999</v>
      </c>
      <c r="BV287" s="59">
        <v>-134.059</v>
      </c>
      <c r="BY287" s="59"/>
      <c r="BZ287" s="59"/>
      <c r="CA287" s="59"/>
      <c r="CC287" s="59"/>
    </row>
    <row r="288" spans="1:81" x14ac:dyDescent="0.2">
      <c r="A288">
        <f t="shared" si="211"/>
        <v>370000</v>
      </c>
      <c r="B288">
        <f t="shared" si="243"/>
        <v>370</v>
      </c>
      <c r="C288">
        <f t="shared" si="212"/>
        <v>1.0010375763939177</v>
      </c>
      <c r="D288">
        <f t="shared" si="213"/>
        <v>4.5534164101557778E-2</v>
      </c>
      <c r="F288">
        <f t="shared" si="214"/>
        <v>3.887917938197108E-4</v>
      </c>
      <c r="G288">
        <f t="shared" si="215"/>
        <v>4.0247702231163201E-3</v>
      </c>
      <c r="H288">
        <f t="shared" si="216"/>
        <v>-3.137567879776884</v>
      </c>
      <c r="J288">
        <f t="shared" si="217"/>
        <v>15</v>
      </c>
      <c r="M288">
        <f t="shared" si="218"/>
        <v>3.3803949400735317E-3</v>
      </c>
      <c r="N288">
        <f t="shared" si="219"/>
        <v>-1.5707963250000001</v>
      </c>
      <c r="O288">
        <f t="shared" si="220"/>
        <v>72.667834873165475</v>
      </c>
      <c r="P288">
        <f t="shared" si="221"/>
        <v>1.5570346457647637</v>
      </c>
      <c r="Q288">
        <f t="shared" si="222"/>
        <v>63.167499904118642</v>
      </c>
      <c r="R288">
        <f t="shared" si="223"/>
        <v>1.5549647397298554</v>
      </c>
      <c r="S288">
        <f t="shared" si="224"/>
        <v>0.4886626041908953</v>
      </c>
      <c r="T288">
        <f t="shared" si="225"/>
        <v>-1.0602401126411756</v>
      </c>
      <c r="U288">
        <f t="shared" si="226"/>
        <v>0.48379617444952255</v>
      </c>
      <c r="V288">
        <f t="shared" si="227"/>
        <v>-1.0658091994673549</v>
      </c>
      <c r="X288">
        <f t="shared" si="244"/>
        <v>-33.385327681916827</v>
      </c>
      <c r="Y288">
        <f t="shared" si="228"/>
        <v>-210.66970414259873</v>
      </c>
      <c r="Z288">
        <f t="shared" si="245"/>
        <v>-30.669704142598732</v>
      </c>
      <c r="AC288">
        <v>1</v>
      </c>
      <c r="AD288">
        <f t="shared" si="229"/>
        <v>72.660953924054994</v>
      </c>
      <c r="AE288">
        <f t="shared" si="230"/>
        <v>-2.0270475348534229E-2</v>
      </c>
      <c r="AF288">
        <f t="shared" si="231"/>
        <v>1.120543266402E-2</v>
      </c>
      <c r="AG288">
        <f t="shared" si="246"/>
        <v>1479.9537535775096</v>
      </c>
      <c r="AH288">
        <f t="shared" si="247"/>
        <v>-2766.4586462958086</v>
      </c>
      <c r="AJ288">
        <f t="shared" si="232"/>
        <v>26400</v>
      </c>
      <c r="AK288">
        <f t="shared" si="233"/>
        <v>47135.3502799872</v>
      </c>
      <c r="AL288">
        <v>1</v>
      </c>
      <c r="AM288">
        <f t="shared" si="234"/>
        <v>63.159583945248009</v>
      </c>
      <c r="AN288">
        <f t="shared" si="248"/>
        <v>752.71903958461758</v>
      </c>
      <c r="AO288">
        <f t="shared" si="249"/>
        <v>-406.07108784390635</v>
      </c>
      <c r="AQ288">
        <f t="shared" si="235"/>
        <v>1.8261471399796569E-2</v>
      </c>
      <c r="AR288">
        <f t="shared" si="236"/>
        <v>-13.51348883584946</v>
      </c>
      <c r="AT288">
        <f t="shared" si="261"/>
        <v>-37357.481898413644</v>
      </c>
      <c r="AU288">
        <f t="shared" si="262"/>
        <v>-20049.85813199123</v>
      </c>
      <c r="AV288">
        <f t="shared" si="250"/>
        <v>-2.6490158567636222</v>
      </c>
      <c r="AW288">
        <f t="shared" si="251"/>
        <v>-3246.8870017355434</v>
      </c>
      <c r="AX288">
        <f t="shared" si="252"/>
        <v>-15028.888356382364</v>
      </c>
      <c r="AY288">
        <f t="shared" si="260"/>
        <v>-1.7835692459399581</v>
      </c>
      <c r="BA288">
        <f t="shared" si="237"/>
        <v>2.7574725807618568</v>
      </c>
      <c r="BB288">
        <f t="shared" si="253"/>
        <v>8.8102240535553324</v>
      </c>
      <c r="BC288">
        <f t="shared" si="254"/>
        <v>-0.86544661082366403</v>
      </c>
      <c r="BD288">
        <f t="shared" si="238"/>
        <v>-229.58643825075779</v>
      </c>
      <c r="BF288">
        <f t="shared" si="239"/>
        <v>-35.864601368490675</v>
      </c>
      <c r="BG288">
        <f t="shared" si="240"/>
        <v>-226.7469204735433</v>
      </c>
      <c r="BH288">
        <f t="shared" si="255"/>
        <v>-46.746920473543298</v>
      </c>
      <c r="BI288">
        <f t="shared" si="256"/>
        <v>-46.746920473543298</v>
      </c>
      <c r="BJ288">
        <f t="shared" si="241"/>
        <v>0</v>
      </c>
      <c r="BK288">
        <f t="shared" si="257"/>
        <v>0</v>
      </c>
      <c r="BM288">
        <f t="shared" si="258"/>
        <v>-44.674825422046005</v>
      </c>
      <c r="BN288">
        <f t="shared" si="242"/>
        <v>-177.16048222278553</v>
      </c>
      <c r="BQ288" s="56">
        <f t="shared" si="259"/>
        <v>25.712184853840469</v>
      </c>
      <c r="BR288" s="59"/>
      <c r="BS288" s="59"/>
      <c r="BT288" s="59">
        <v>60255.959000000003</v>
      </c>
      <c r="BU288" s="59">
        <v>2.1075200000000001</v>
      </c>
      <c r="BV288" s="59">
        <v>-133.65100000000001</v>
      </c>
      <c r="BY288" s="59"/>
      <c r="BZ288" s="59"/>
      <c r="CA288" s="59"/>
      <c r="CC288" s="59"/>
    </row>
    <row r="289" spans="1:81" x14ac:dyDescent="0.2">
      <c r="A289">
        <f t="shared" si="211"/>
        <v>375000</v>
      </c>
      <c r="B289">
        <f t="shared" si="243"/>
        <v>375</v>
      </c>
      <c r="C289">
        <f t="shared" si="212"/>
        <v>1.0010657934472427</v>
      </c>
      <c r="D289">
        <f t="shared" si="213"/>
        <v>4.6148623185504473E-2</v>
      </c>
      <c r="F289">
        <f t="shared" si="214"/>
        <v>3.784893122861837E-4</v>
      </c>
      <c r="G289">
        <f t="shared" si="215"/>
        <v>3.9710662684137735E-3</v>
      </c>
      <c r="H289">
        <f t="shared" si="216"/>
        <v>-3.1376215837315864</v>
      </c>
      <c r="J289">
        <f t="shared" si="217"/>
        <v>15</v>
      </c>
      <c r="M289">
        <f t="shared" si="218"/>
        <v>3.3353230075392178E-3</v>
      </c>
      <c r="N289">
        <f t="shared" si="219"/>
        <v>-1.5707963250000001</v>
      </c>
      <c r="O289">
        <f t="shared" si="220"/>
        <v>73.649647918449347</v>
      </c>
      <c r="P289">
        <f t="shared" si="221"/>
        <v>1.5572181121406488</v>
      </c>
      <c r="Q289">
        <f t="shared" si="222"/>
        <v>64.020902262115783</v>
      </c>
      <c r="R289">
        <f t="shared" si="223"/>
        <v>1.5551757929900254</v>
      </c>
      <c r="S289">
        <f t="shared" si="224"/>
        <v>0.48367924050811772</v>
      </c>
      <c r="T289">
        <f t="shared" si="225"/>
        <v>-1.0659428057310878</v>
      </c>
      <c r="U289">
        <f t="shared" si="226"/>
        <v>0.47883223608368652</v>
      </c>
      <c r="V289">
        <f t="shared" si="227"/>
        <v>-1.0714722666642105</v>
      </c>
      <c r="X289">
        <f t="shared" si="244"/>
        <v>-33.680426112369851</v>
      </c>
      <c r="Y289">
        <f t="shared" si="228"/>
        <v>-211.26618102634251</v>
      </c>
      <c r="Z289">
        <f t="shared" si="245"/>
        <v>-31.266181026342508</v>
      </c>
      <c r="AC289">
        <v>1</v>
      </c>
      <c r="AD289">
        <f t="shared" si="229"/>
        <v>73.642858706812504</v>
      </c>
      <c r="AE289">
        <f t="shared" si="230"/>
        <v>-2.0822027727447963E-2</v>
      </c>
      <c r="AF289">
        <f t="shared" si="231"/>
        <v>1.1356857429749999E-2</v>
      </c>
      <c r="AG289">
        <f t="shared" si="246"/>
        <v>1449.7397455493197</v>
      </c>
      <c r="AH289">
        <f t="shared" si="247"/>
        <v>-2746.0520106307085</v>
      </c>
      <c r="AJ289">
        <f t="shared" si="232"/>
        <v>26400</v>
      </c>
      <c r="AK289">
        <f t="shared" si="233"/>
        <v>47772.314472960003</v>
      </c>
      <c r="AL289">
        <v>1</v>
      </c>
      <c r="AM289">
        <f t="shared" si="234"/>
        <v>64.013091836400008</v>
      </c>
      <c r="AN289">
        <f t="shared" si="248"/>
        <v>752.54877646851878</v>
      </c>
      <c r="AO289">
        <f t="shared" si="249"/>
        <v>-400.65946648975131</v>
      </c>
      <c r="AQ289">
        <f t="shared" si="235"/>
        <v>1.7777746172895691E-2</v>
      </c>
      <c r="AR289">
        <f t="shared" si="236"/>
        <v>-13.333309629671769</v>
      </c>
      <c r="AT289">
        <f t="shared" si="261"/>
        <v>-36588.188611708814</v>
      </c>
      <c r="AU289">
        <f t="shared" si="262"/>
        <v>-19378.647525473207</v>
      </c>
      <c r="AV289">
        <f t="shared" si="250"/>
        <v>-2.6545134755701443</v>
      </c>
      <c r="AW289">
        <f t="shared" si="251"/>
        <v>-3132.2194932567645</v>
      </c>
      <c r="AX289">
        <f t="shared" si="252"/>
        <v>-14842.418918577787</v>
      </c>
      <c r="AY289">
        <f t="shared" si="260"/>
        <v>-1.7787763489253565</v>
      </c>
      <c r="BA289">
        <f t="shared" si="237"/>
        <v>2.7294062782795194</v>
      </c>
      <c r="BB289">
        <f t="shared" si="253"/>
        <v>8.7213637238939832</v>
      </c>
      <c r="BC289">
        <f t="shared" si="254"/>
        <v>-0.87573712664478776</v>
      </c>
      <c r="BD289">
        <f t="shared" si="238"/>
        <v>-230.1760413769945</v>
      </c>
      <c r="BF289">
        <f t="shared" si="239"/>
        <v>-36.186486250869848</v>
      </c>
      <c r="BG289">
        <f t="shared" si="240"/>
        <v>-227.30439469749726</v>
      </c>
      <c r="BH289">
        <f t="shared" si="255"/>
        <v>-47.304394697497258</v>
      </c>
      <c r="BI289">
        <f t="shared" si="256"/>
        <v>-47.304394697497258</v>
      </c>
      <c r="BJ289">
        <f t="shared" si="241"/>
        <v>0</v>
      </c>
      <c r="BK289">
        <f t="shared" si="257"/>
        <v>0</v>
      </c>
      <c r="BM289">
        <f t="shared" si="258"/>
        <v>-44.907849974763835</v>
      </c>
      <c r="BN289">
        <f t="shared" si="242"/>
        <v>-177.12835332050281</v>
      </c>
      <c r="BQ289" s="56">
        <f t="shared" si="259"/>
        <v>25.623324524179122</v>
      </c>
      <c r="BR289" s="59"/>
      <c r="BS289" s="59"/>
      <c r="BT289" s="59">
        <v>61659.5</v>
      </c>
      <c r="BU289" s="59">
        <v>2.2781099999999999</v>
      </c>
      <c r="BV289" s="59">
        <v>-133.24799999999999</v>
      </c>
      <c r="BY289" s="59"/>
      <c r="BZ289" s="59"/>
      <c r="CA289" s="59"/>
      <c r="CC289" s="59"/>
    </row>
    <row r="290" spans="1:81" x14ac:dyDescent="0.2">
      <c r="A290">
        <f t="shared" si="211"/>
        <v>380000</v>
      </c>
      <c r="B290">
        <f t="shared" si="243"/>
        <v>380</v>
      </c>
      <c r="C290">
        <f t="shared" si="212"/>
        <v>1.0010943884415446</v>
      </c>
      <c r="D290">
        <f t="shared" si="213"/>
        <v>4.6763047398929919E-2</v>
      </c>
      <c r="F290">
        <f t="shared" si="214"/>
        <v>3.6859102199085698E-4</v>
      </c>
      <c r="G290">
        <f t="shared" si="215"/>
        <v>3.9187771379372406E-3</v>
      </c>
      <c r="H290">
        <f t="shared" si="216"/>
        <v>-3.137673872862063</v>
      </c>
      <c r="J290">
        <f t="shared" si="217"/>
        <v>15</v>
      </c>
      <c r="M290">
        <f t="shared" si="218"/>
        <v>3.2914371784926494E-3</v>
      </c>
      <c r="N290">
        <f t="shared" si="219"/>
        <v>-1.5707963250000001</v>
      </c>
      <c r="O290">
        <f t="shared" si="220"/>
        <v>74.631463377547831</v>
      </c>
      <c r="P290">
        <f t="shared" si="221"/>
        <v>1.55739675133249</v>
      </c>
      <c r="Q290">
        <f t="shared" si="222"/>
        <v>64.874307396799608</v>
      </c>
      <c r="R290">
        <f t="shared" si="223"/>
        <v>1.5553812935544453</v>
      </c>
      <c r="S290">
        <f t="shared" si="224"/>
        <v>0.47878138943543314</v>
      </c>
      <c r="T290">
        <f t="shared" si="225"/>
        <v>-1.0715301838223292</v>
      </c>
      <c r="U290">
        <f t="shared" si="226"/>
        <v>0.47395438745293234</v>
      </c>
      <c r="V290">
        <f t="shared" si="227"/>
        <v>-1.0770201298106787</v>
      </c>
      <c r="X290">
        <f t="shared" si="244"/>
        <v>-33.972697811379916</v>
      </c>
      <c r="Y290">
        <f t="shared" si="228"/>
        <v>-211.84996579924419</v>
      </c>
      <c r="Z290">
        <f t="shared" si="245"/>
        <v>-31.849965799244188</v>
      </c>
      <c r="AC290">
        <v>1</v>
      </c>
      <c r="AD290">
        <f t="shared" si="229"/>
        <v>74.62476348957</v>
      </c>
      <c r="AE290">
        <f t="shared" si="230"/>
        <v>-2.1380983493998123E-2</v>
      </c>
      <c r="AF290">
        <f t="shared" si="231"/>
        <v>1.150828219548E-2</v>
      </c>
      <c r="AG290">
        <f t="shared" si="246"/>
        <v>1420.3532867221775</v>
      </c>
      <c r="AH290">
        <f t="shared" si="247"/>
        <v>-2725.736964581316</v>
      </c>
      <c r="AJ290">
        <f t="shared" si="232"/>
        <v>26400</v>
      </c>
      <c r="AK290">
        <f t="shared" si="233"/>
        <v>48409.278665932805</v>
      </c>
      <c r="AL290">
        <v>1</v>
      </c>
      <c r="AM290">
        <f t="shared" si="234"/>
        <v>64.866599727552014</v>
      </c>
      <c r="AN290">
        <f t="shared" si="248"/>
        <v>752.385187820037</v>
      </c>
      <c r="AO290">
        <f t="shared" si="249"/>
        <v>-395.39015332857304</v>
      </c>
      <c r="AQ290">
        <f t="shared" si="235"/>
        <v>1.7312989416569571E-2</v>
      </c>
      <c r="AR290">
        <f t="shared" si="236"/>
        <v>-13.157871956592873</v>
      </c>
      <c r="AT290">
        <f t="shared" si="261"/>
        <v>-35840.307405892265</v>
      </c>
      <c r="AU290">
        <f t="shared" si="262"/>
        <v>-18736.017335036402</v>
      </c>
      <c r="AV290">
        <f t="shared" si="250"/>
        <v>-2.6599002433536398</v>
      </c>
      <c r="AW290">
        <f t="shared" si="251"/>
        <v>-3022.4014877825439</v>
      </c>
      <c r="AX290">
        <f t="shared" si="252"/>
        <v>-14660.509105486981</v>
      </c>
      <c r="AY290">
        <f t="shared" si="260"/>
        <v>-1.7741072928754849</v>
      </c>
      <c r="BA290">
        <f t="shared" si="237"/>
        <v>2.7017589474438561</v>
      </c>
      <c r="BB290">
        <f t="shared" si="253"/>
        <v>8.6329319679985694</v>
      </c>
      <c r="BC290">
        <f t="shared" si="254"/>
        <v>-0.88579295047815498</v>
      </c>
      <c r="BD290">
        <f t="shared" si="238"/>
        <v>-230.75219764283185</v>
      </c>
      <c r="BF290">
        <f t="shared" si="239"/>
        <v>-36.504847258931761</v>
      </c>
      <c r="BG290">
        <f t="shared" si="240"/>
        <v>-227.84834299552861</v>
      </c>
      <c r="BH290">
        <f t="shared" si="255"/>
        <v>-47.848342995528611</v>
      </c>
      <c r="BI290">
        <f t="shared" si="256"/>
        <v>-47.848342995528611</v>
      </c>
      <c r="BJ290">
        <f t="shared" si="241"/>
        <v>0</v>
      </c>
      <c r="BK290">
        <f t="shared" si="257"/>
        <v>0</v>
      </c>
      <c r="BM290">
        <f t="shared" si="258"/>
        <v>-45.137779226930334</v>
      </c>
      <c r="BN290">
        <f t="shared" si="242"/>
        <v>-177.09614535269679</v>
      </c>
      <c r="BQ290" s="56">
        <f t="shared" si="259"/>
        <v>25.534892768283708</v>
      </c>
      <c r="BR290" s="59"/>
      <c r="BS290" s="59"/>
      <c r="BT290" s="59">
        <v>63095.733999999997</v>
      </c>
      <c r="BU290" s="59">
        <v>2.4499300000000002</v>
      </c>
      <c r="BV290" s="59">
        <v>-132.86600000000001</v>
      </c>
      <c r="BY290" s="59"/>
      <c r="BZ290" s="59"/>
      <c r="CA290" s="59"/>
      <c r="CC290" s="59"/>
    </row>
    <row r="291" spans="1:81" x14ac:dyDescent="0.2">
      <c r="A291">
        <f t="shared" si="211"/>
        <v>385000</v>
      </c>
      <c r="B291">
        <f t="shared" si="243"/>
        <v>385</v>
      </c>
      <c r="C291">
        <f t="shared" si="212"/>
        <v>1.0011233613444381</v>
      </c>
      <c r="D291">
        <f t="shared" si="213"/>
        <v>4.7377436280930926E-2</v>
      </c>
      <c r="F291">
        <f t="shared" si="214"/>
        <v>3.5907605054236202E-4</v>
      </c>
      <c r="G291">
        <f t="shared" si="215"/>
        <v>3.8678476290380493E-3</v>
      </c>
      <c r="H291">
        <f t="shared" si="216"/>
        <v>-3.1377248023709621</v>
      </c>
      <c r="J291">
        <f t="shared" si="217"/>
        <v>15</v>
      </c>
      <c r="M291">
        <f t="shared" si="218"/>
        <v>3.2486912411096277E-3</v>
      </c>
      <c r="N291">
        <f t="shared" si="219"/>
        <v>-1.5707963250000001</v>
      </c>
      <c r="O291">
        <f t="shared" si="220"/>
        <v>75.613281156432933</v>
      </c>
      <c r="P291">
        <f t="shared" si="221"/>
        <v>1.5575707513676524</v>
      </c>
      <c r="Q291">
        <f t="shared" si="222"/>
        <v>65.727715200013122</v>
      </c>
      <c r="R291">
        <f t="shared" si="223"/>
        <v>1.5555814576938005</v>
      </c>
      <c r="S291">
        <f t="shared" si="224"/>
        <v>0.47396738317361614</v>
      </c>
      <c r="T291">
        <f t="shared" si="225"/>
        <v>-1.0770053711016692</v>
      </c>
      <c r="U291">
        <f t="shared" si="226"/>
        <v>0.4691609115761104</v>
      </c>
      <c r="V291">
        <f t="shared" si="227"/>
        <v>-1.0824559375968534</v>
      </c>
      <c r="X291">
        <f t="shared" si="244"/>
        <v>-34.262187407911227</v>
      </c>
      <c r="Y291">
        <f t="shared" si="228"/>
        <v>-212.42139789538854</v>
      </c>
      <c r="Z291">
        <f t="shared" si="245"/>
        <v>-32.421397895388537</v>
      </c>
      <c r="AC291">
        <v>1</v>
      </c>
      <c r="AD291">
        <f t="shared" si="229"/>
        <v>75.606668272327511</v>
      </c>
      <c r="AE291">
        <f t="shared" si="230"/>
        <v>-2.1947342648184699E-2</v>
      </c>
      <c r="AF291">
        <f t="shared" si="231"/>
        <v>1.1659706961209999E-2</v>
      </c>
      <c r="AG291">
        <f t="shared" si="246"/>
        <v>1391.7682588001992</v>
      </c>
      <c r="AH291">
        <f t="shared" si="247"/>
        <v>-2705.5238152813481</v>
      </c>
      <c r="AJ291">
        <f t="shared" si="232"/>
        <v>26400</v>
      </c>
      <c r="AK291">
        <f t="shared" si="233"/>
        <v>49046.242858905607</v>
      </c>
      <c r="AL291">
        <v>1</v>
      </c>
      <c r="AM291">
        <f t="shared" si="234"/>
        <v>65.720107618704006</v>
      </c>
      <c r="AN291">
        <f t="shared" si="248"/>
        <v>752.22792930972912</v>
      </c>
      <c r="AO291">
        <f t="shared" si="249"/>
        <v>-390.25760912465228</v>
      </c>
      <c r="AQ291">
        <f t="shared" si="235"/>
        <v>1.6866222185491338E-2</v>
      </c>
      <c r="AR291">
        <f t="shared" si="236"/>
        <v>-12.986991082828331</v>
      </c>
      <c r="AT291">
        <f t="shared" si="261"/>
        <v>-35113.139790754918</v>
      </c>
      <c r="AU291">
        <f t="shared" si="262"/>
        <v>-18120.513932198373</v>
      </c>
      <c r="AV291">
        <f t="shared" si="250"/>
        <v>-2.6651791392504327</v>
      </c>
      <c r="AW291">
        <f t="shared" si="251"/>
        <v>-2917.1663458237313</v>
      </c>
      <c r="AX291">
        <f t="shared" si="252"/>
        <v>-14482.990212652317</v>
      </c>
      <c r="AY291">
        <f t="shared" si="260"/>
        <v>-1.7695570607048567</v>
      </c>
      <c r="BA291">
        <f t="shared" si="237"/>
        <v>2.6745287659011763</v>
      </c>
      <c r="BB291">
        <f t="shared" si="253"/>
        <v>8.5449454662319653</v>
      </c>
      <c r="BC291">
        <f t="shared" si="254"/>
        <v>-0.89562207854557596</v>
      </c>
      <c r="BD291">
        <f t="shared" si="238"/>
        <v>-231.31536519803217</v>
      </c>
      <c r="BF291">
        <f t="shared" si="239"/>
        <v>-36.819748641297487</v>
      </c>
      <c r="BG291">
        <f t="shared" si="240"/>
        <v>-228.37922670668624</v>
      </c>
      <c r="BH291">
        <f t="shared" si="255"/>
        <v>-48.379226706686239</v>
      </c>
      <c r="BI291">
        <f t="shared" si="256"/>
        <v>-48.379226706686239</v>
      </c>
      <c r="BJ291">
        <f t="shared" si="241"/>
        <v>0</v>
      </c>
      <c r="BK291">
        <f t="shared" si="257"/>
        <v>0</v>
      </c>
      <c r="BM291">
        <f t="shared" si="258"/>
        <v>-45.364694107529445</v>
      </c>
      <c r="BN291">
        <f t="shared" si="242"/>
        <v>-177.06386150865407</v>
      </c>
      <c r="BQ291" s="56">
        <f t="shared" si="259"/>
        <v>25.446906266517104</v>
      </c>
      <c r="BR291" s="59"/>
      <c r="BS291" s="59"/>
      <c r="BT291" s="59">
        <v>64565.423000000003</v>
      </c>
      <c r="BU291" s="59">
        <v>2.6258699999999999</v>
      </c>
      <c r="BV291" s="59">
        <v>-132.49799999999999</v>
      </c>
      <c r="BY291" s="59"/>
      <c r="BZ291" s="59"/>
      <c r="CA291" s="59"/>
      <c r="CC291" s="59"/>
    </row>
    <row r="292" spans="1:81" x14ac:dyDescent="0.2">
      <c r="A292">
        <f t="shared" si="211"/>
        <v>390000</v>
      </c>
      <c r="B292">
        <f t="shared" si="243"/>
        <v>390</v>
      </c>
      <c r="C292">
        <f t="shared" si="212"/>
        <v>1.0011527121231136</v>
      </c>
      <c r="D292">
        <f t="shared" si="213"/>
        <v>4.7991789370763975E-2</v>
      </c>
      <c r="F292">
        <f t="shared" si="214"/>
        <v>3.4992485581911723E-4</v>
      </c>
      <c r="G292">
        <f t="shared" si="215"/>
        <v>3.8182253749823934E-3</v>
      </c>
      <c r="H292">
        <f t="shared" si="216"/>
        <v>-3.1377744246250177</v>
      </c>
      <c r="J292">
        <f t="shared" si="217"/>
        <v>15</v>
      </c>
      <c r="M292">
        <f t="shared" si="218"/>
        <v>3.207041353403094E-3</v>
      </c>
      <c r="N292">
        <f t="shared" si="219"/>
        <v>-1.5707963250000001</v>
      </c>
      <c r="O292">
        <f t="shared" si="220"/>
        <v>76.595101165897631</v>
      </c>
      <c r="P292">
        <f t="shared" si="221"/>
        <v>1.557740290633884</v>
      </c>
      <c r="Q292">
        <f t="shared" si="222"/>
        <v>66.581125569144135</v>
      </c>
      <c r="R292">
        <f t="shared" si="223"/>
        <v>1.5557764905922526</v>
      </c>
      <c r="S292">
        <f t="shared" si="224"/>
        <v>0.46923557101081448</v>
      </c>
      <c r="T292">
        <f t="shared" si="225"/>
        <v>-1.0823713944671318</v>
      </c>
      <c r="U292">
        <f t="shared" si="226"/>
        <v>0.46445011143213882</v>
      </c>
      <c r="V292">
        <f t="shared" si="227"/>
        <v>-1.0877827393001316</v>
      </c>
      <c r="X292">
        <f t="shared" si="244"/>
        <v>-34.548938704074288</v>
      </c>
      <c r="Y292">
        <f t="shared" si="228"/>
        <v>-212.98080650372302</v>
      </c>
      <c r="Z292">
        <f t="shared" si="245"/>
        <v>-32.980806503723016</v>
      </c>
      <c r="AC292">
        <v>1</v>
      </c>
      <c r="AD292">
        <f t="shared" si="229"/>
        <v>76.588573055084993</v>
      </c>
      <c r="AE292">
        <f t="shared" si="230"/>
        <v>-2.2521105190007714E-2</v>
      </c>
      <c r="AF292">
        <f t="shared" si="231"/>
        <v>1.181113172694E-2</v>
      </c>
      <c r="AG292">
        <f t="shared" si="246"/>
        <v>1363.9593508165749</v>
      </c>
      <c r="AH292">
        <f t="shared" si="247"/>
        <v>-2685.4219178920384</v>
      </c>
      <c r="AJ292">
        <f t="shared" si="232"/>
        <v>26400</v>
      </c>
      <c r="AK292">
        <f t="shared" si="233"/>
        <v>49683.207051878409</v>
      </c>
      <c r="AL292">
        <v>1</v>
      </c>
      <c r="AM292">
        <f t="shared" si="234"/>
        <v>66.573615509856012</v>
      </c>
      <c r="AN292">
        <f t="shared" si="248"/>
        <v>752.07667852803218</v>
      </c>
      <c r="AO292">
        <f t="shared" si="249"/>
        <v>-385.25657837638209</v>
      </c>
      <c r="AQ292">
        <f t="shared" si="235"/>
        <v>1.6436527882104073E-2</v>
      </c>
      <c r="AR292">
        <f t="shared" si="236"/>
        <v>-12.820491748041176</v>
      </c>
      <c r="AT292">
        <f t="shared" si="261"/>
        <v>-34406.010782444035</v>
      </c>
      <c r="AU292">
        <f t="shared" si="262"/>
        <v>-17530.768614036144</v>
      </c>
      <c r="AV292">
        <f t="shared" si="250"/>
        <v>-2.6703530516764058</v>
      </c>
      <c r="AW292">
        <f t="shared" si="251"/>
        <v>-2816.2652511714268</v>
      </c>
      <c r="AX292">
        <f t="shared" si="252"/>
        <v>-14309.7020708452</v>
      </c>
      <c r="AY292">
        <f t="shared" si="260"/>
        <v>-1.7651208749301261</v>
      </c>
      <c r="BA292">
        <f t="shared" si="237"/>
        <v>2.6477132393276541</v>
      </c>
      <c r="BB292">
        <f t="shared" si="253"/>
        <v>8.4574189407198581</v>
      </c>
      <c r="BC292">
        <f t="shared" si="254"/>
        <v>-0.90523217674627965</v>
      </c>
      <c r="BD292">
        <f t="shared" si="238"/>
        <v>-231.86598326626793</v>
      </c>
      <c r="BF292">
        <f t="shared" si="239"/>
        <v>-37.13125346750612</v>
      </c>
      <c r="BG292">
        <f t="shared" si="240"/>
        <v>-228.89748808143409</v>
      </c>
      <c r="BH292">
        <f t="shared" si="255"/>
        <v>-48.897488081434091</v>
      </c>
      <c r="BI292">
        <f t="shared" si="256"/>
        <v>-48.897488081434091</v>
      </c>
      <c r="BJ292">
        <f t="shared" si="241"/>
        <v>0</v>
      </c>
      <c r="BK292">
        <f t="shared" si="257"/>
        <v>0</v>
      </c>
      <c r="BM292">
        <f t="shared" si="258"/>
        <v>-45.588672408225975</v>
      </c>
      <c r="BN292">
        <f t="shared" si="242"/>
        <v>-177.03150481516619</v>
      </c>
      <c r="BQ292" s="56">
        <f t="shared" si="259"/>
        <v>25.359379741004993</v>
      </c>
      <c r="BR292" s="59"/>
      <c r="BS292" s="59"/>
      <c r="BT292" s="59">
        <v>66069.345000000001</v>
      </c>
      <c r="BU292" s="59">
        <v>2.7940900000000002</v>
      </c>
      <c r="BV292" s="59">
        <v>-132.279</v>
      </c>
      <c r="BY292" s="59"/>
      <c r="BZ292" s="59"/>
      <c r="CA292" s="59"/>
      <c r="CC292" s="59"/>
    </row>
    <row r="293" spans="1:81" x14ac:dyDescent="0.2">
      <c r="A293">
        <f t="shared" si="211"/>
        <v>395000</v>
      </c>
      <c r="B293">
        <f t="shared" si="243"/>
        <v>395</v>
      </c>
      <c r="C293">
        <f t="shared" si="212"/>
        <v>1.0011824407443379</v>
      </c>
      <c r="D293">
        <f t="shared" si="213"/>
        <v>4.8606106207847312E-2</v>
      </c>
      <c r="F293">
        <f t="shared" si="214"/>
        <v>3.411191255009051E-4</v>
      </c>
      <c r="G293">
        <f t="shared" si="215"/>
        <v>3.7698606650894829E-3</v>
      </c>
      <c r="H293">
        <f t="shared" si="216"/>
        <v>-3.1378227893349107</v>
      </c>
      <c r="J293">
        <f t="shared" si="217"/>
        <v>15</v>
      </c>
      <c r="M293">
        <f t="shared" si="218"/>
        <v>3.1664458932334346E-3</v>
      </c>
      <c r="N293">
        <f t="shared" si="219"/>
        <v>-1.5707963250000001</v>
      </c>
      <c r="O293">
        <f t="shared" si="220"/>
        <v>77.576923321250746</v>
      </c>
      <c r="P293">
        <f t="shared" si="221"/>
        <v>1.5579055384892091</v>
      </c>
      <c r="Q293">
        <f t="shared" si="222"/>
        <v>67.434538406774621</v>
      </c>
      <c r="R293">
        <f t="shared" si="223"/>
        <v>1.5559665870488002</v>
      </c>
      <c r="S293">
        <f t="shared" si="224"/>
        <v>0.46458432117213838</v>
      </c>
      <c r="T293">
        <f t="shared" si="225"/>
        <v>-1.0876311864742003</v>
      </c>
      <c r="U293">
        <f t="shared" si="226"/>
        <v>0.45982031166296883</v>
      </c>
      <c r="V293">
        <f t="shared" si="227"/>
        <v>-1.0930034878797481</v>
      </c>
      <c r="X293">
        <f t="shared" si="244"/>
        <v>-34.832994690178452</v>
      </c>
      <c r="Y293">
        <f t="shared" si="228"/>
        <v>-213.52851084934275</v>
      </c>
      <c r="Z293">
        <f t="shared" si="245"/>
        <v>-33.528510849342751</v>
      </c>
      <c r="AC293">
        <v>1</v>
      </c>
      <c r="AD293">
        <f t="shared" si="229"/>
        <v>77.570477837842503</v>
      </c>
      <c r="AE293">
        <f t="shared" si="230"/>
        <v>-2.3102271119467149E-2</v>
      </c>
      <c r="AF293">
        <f t="shared" si="231"/>
        <v>1.1962556492669999E-2</v>
      </c>
      <c r="AG293">
        <f t="shared" si="246"/>
        <v>1336.9020450595149</v>
      </c>
      <c r="AH293">
        <f t="shared" si="247"/>
        <v>-2665.4397431412485</v>
      </c>
      <c r="AJ293">
        <f t="shared" si="232"/>
        <v>26400</v>
      </c>
      <c r="AK293">
        <f t="shared" si="233"/>
        <v>50320.171244851204</v>
      </c>
      <c r="AL293">
        <v>1</v>
      </c>
      <c r="AM293">
        <f t="shared" si="234"/>
        <v>67.427123401008004</v>
      </c>
      <c r="AN293">
        <f t="shared" si="248"/>
        <v>751.93113333196402</v>
      </c>
      <c r="AO293">
        <f t="shared" si="249"/>
        <v>-380.38207138293268</v>
      </c>
      <c r="AQ293">
        <f t="shared" si="235"/>
        <v>1.6023047551598221E-2</v>
      </c>
      <c r="AR293">
        <f t="shared" si="236"/>
        <v>-12.658207565762593</v>
      </c>
      <c r="AT293">
        <f t="shared" si="261"/>
        <v>-33718.268277675037</v>
      </c>
      <c r="AU293">
        <f t="shared" si="262"/>
        <v>-16965.492049206106</v>
      </c>
      <c r="AV293">
        <f t="shared" si="250"/>
        <v>-2.6754247808716003</v>
      </c>
      <c r="AW293">
        <f t="shared" si="251"/>
        <v>-2719.465820130401</v>
      </c>
      <c r="AX293">
        <f t="shared" si="252"/>
        <v>-14140.49249043188</v>
      </c>
      <c r="AY293">
        <f t="shared" si="260"/>
        <v>-1.760794185520038</v>
      </c>
      <c r="BA293">
        <f t="shared" si="237"/>
        <v>2.6213092875578181</v>
      </c>
      <c r="BB293">
        <f t="shared" si="253"/>
        <v>8.3703653251133865</v>
      </c>
      <c r="BC293">
        <f t="shared" si="254"/>
        <v>-0.91463059535156233</v>
      </c>
      <c r="BD293">
        <f t="shared" si="238"/>
        <v>-232.40447298706317</v>
      </c>
      <c r="BF293">
        <f t="shared" si="239"/>
        <v>-37.439423618404383</v>
      </c>
      <c r="BG293">
        <f t="shared" si="240"/>
        <v>-229.40355113389779</v>
      </c>
      <c r="BH293">
        <f t="shared" si="255"/>
        <v>-49.403551133897793</v>
      </c>
      <c r="BI293">
        <f t="shared" si="256"/>
        <v>-49.403551133897793</v>
      </c>
      <c r="BJ293">
        <f t="shared" si="241"/>
        <v>0</v>
      </c>
      <c r="BK293">
        <f t="shared" si="257"/>
        <v>0</v>
      </c>
      <c r="BM293">
        <f t="shared" si="258"/>
        <v>-45.809788943517766</v>
      </c>
      <c r="BN293">
        <f t="shared" si="242"/>
        <v>-176.99907814683465</v>
      </c>
      <c r="BQ293" s="56">
        <f t="shared" si="259"/>
        <v>25.272326125398521</v>
      </c>
      <c r="BR293" s="59"/>
      <c r="BS293" s="59"/>
      <c r="BT293" s="59">
        <v>67608.297999999995</v>
      </c>
      <c r="BU293" s="59">
        <v>2.9581400000000002</v>
      </c>
      <c r="BV293" s="59">
        <v>-132.03399999999999</v>
      </c>
      <c r="BY293" s="59"/>
      <c r="BZ293" s="59"/>
      <c r="CA293" s="59"/>
      <c r="CC293" s="59"/>
    </row>
    <row r="294" spans="1:81" x14ac:dyDescent="0.2">
      <c r="A294">
        <f t="shared" si="211"/>
        <v>400000</v>
      </c>
      <c r="B294">
        <f t="shared" si="243"/>
        <v>400</v>
      </c>
      <c r="C294">
        <f t="shared" si="212"/>
        <v>1.0012125471744533</v>
      </c>
      <c r="D294">
        <f t="shared" si="213"/>
        <v>4.922038633176299E-2</v>
      </c>
      <c r="F294">
        <f t="shared" si="214"/>
        <v>3.3264168534373234E-4</v>
      </c>
      <c r="G294">
        <f t="shared" si="215"/>
        <v>3.722706278391425E-3</v>
      </c>
      <c r="H294">
        <f t="shared" si="216"/>
        <v>-3.1378699437216087</v>
      </c>
      <c r="J294">
        <f t="shared" si="217"/>
        <v>15</v>
      </c>
      <c r="M294">
        <f t="shared" si="218"/>
        <v>3.1268653195680165E-3</v>
      </c>
      <c r="N294">
        <f t="shared" si="219"/>
        <v>-1.5707963250000001</v>
      </c>
      <c r="O294">
        <f t="shared" si="220"/>
        <v>78.558747542034695</v>
      </c>
      <c r="P294">
        <f t="shared" si="221"/>
        <v>1.5580666558260972</v>
      </c>
      <c r="Q294">
        <f t="shared" si="222"/>
        <v>68.287953620356063</v>
      </c>
      <c r="R294">
        <f t="shared" si="223"/>
        <v>1.5561519321260626</v>
      </c>
      <c r="S294">
        <f t="shared" si="224"/>
        <v>0.4600120224167038</v>
      </c>
      <c r="T294">
        <f t="shared" si="225"/>
        <v>-1.0927875882345455</v>
      </c>
      <c r="U294">
        <f t="shared" si="226"/>
        <v>0.45526986002957937</v>
      </c>
      <c r="V294">
        <f t="shared" si="227"/>
        <v>-1.0981210430142279</v>
      </c>
      <c r="X294">
        <f t="shared" si="244"/>
        <v>-35.114397559275567</v>
      </c>
      <c r="Y294">
        <f t="shared" si="228"/>
        <v>-214.06482047364179</v>
      </c>
      <c r="Z294">
        <f t="shared" si="245"/>
        <v>-34.064820473641788</v>
      </c>
      <c r="AC294">
        <v>1</v>
      </c>
      <c r="AD294">
        <f t="shared" si="229"/>
        <v>78.5523826206</v>
      </c>
      <c r="AE294">
        <f t="shared" si="230"/>
        <v>-2.3690840436563013E-2</v>
      </c>
      <c r="AF294">
        <f t="shared" si="231"/>
        <v>1.21139812584E-2</v>
      </c>
      <c r="AG294">
        <f t="shared" si="246"/>
        <v>1310.5726016612816</v>
      </c>
      <c r="AH294">
        <f t="shared" si="247"/>
        <v>-2645.5849404807163</v>
      </c>
      <c r="AJ294">
        <f t="shared" si="232"/>
        <v>26400</v>
      </c>
      <c r="AK294">
        <f t="shared" si="233"/>
        <v>50957.135437823999</v>
      </c>
      <c r="AL294">
        <v>1</v>
      </c>
      <c r="AM294">
        <f t="shared" si="234"/>
        <v>68.28063129216001</v>
      </c>
      <c r="AN294">
        <f t="shared" si="248"/>
        <v>751.79101033548659</v>
      </c>
      <c r="AO294">
        <f t="shared" si="249"/>
        <v>-375.62934765381186</v>
      </c>
      <c r="AQ294">
        <f t="shared" si="235"/>
        <v>1.5624975585975647E-2</v>
      </c>
      <c r="AR294">
        <f t="shared" si="236"/>
        <v>-12.499980468780517</v>
      </c>
      <c r="AT294">
        <f t="shared" si="261"/>
        <v>-33049.28241960422</v>
      </c>
      <c r="AU294">
        <f t="shared" si="262"/>
        <v>-16423.469123790524</v>
      </c>
      <c r="AV294">
        <f t="shared" si="250"/>
        <v>-2.6803970414289648</v>
      </c>
      <c r="AW294">
        <f t="shared" si="251"/>
        <v>-2626.5508341410105</v>
      </c>
      <c r="AX294">
        <f t="shared" si="252"/>
        <v>-13975.21675003643</v>
      </c>
      <c r="AY294">
        <f t="shared" si="260"/>
        <v>-1.7565726583065548</v>
      </c>
      <c r="BA294">
        <f t="shared" si="237"/>
        <v>2.5953133218195692</v>
      </c>
      <c r="BB294">
        <f t="shared" si="253"/>
        <v>8.2837959197830706</v>
      </c>
      <c r="BC294">
        <f t="shared" si="254"/>
        <v>-0.92382438312241</v>
      </c>
      <c r="BD294">
        <f t="shared" si="238"/>
        <v>-232.93123822467365</v>
      </c>
      <c r="BF294">
        <f t="shared" si="239"/>
        <v>-37.744319781011072</v>
      </c>
      <c r="BG294">
        <f t="shared" si="240"/>
        <v>-229.89782246027534</v>
      </c>
      <c r="BH294">
        <f t="shared" si="255"/>
        <v>-49.897822460275336</v>
      </c>
      <c r="BI294">
        <f t="shared" si="256"/>
        <v>-49.897822460275336</v>
      </c>
      <c r="BJ294">
        <f t="shared" si="241"/>
        <v>0</v>
      </c>
      <c r="BK294">
        <f t="shared" si="257"/>
        <v>0</v>
      </c>
      <c r="BM294">
        <f t="shared" si="258"/>
        <v>-46.028115700794139</v>
      </c>
      <c r="BN294">
        <f t="shared" si="242"/>
        <v>-176.96658423560172</v>
      </c>
      <c r="BQ294" s="56">
        <f t="shared" si="259"/>
        <v>25.185756720068206</v>
      </c>
      <c r="BR294" s="59"/>
      <c r="BS294" s="59"/>
      <c r="BT294" s="59">
        <v>69183.096999999994</v>
      </c>
      <c r="BU294" s="59">
        <v>3.15646</v>
      </c>
      <c r="BV294" s="59">
        <v>-131.40799999999999</v>
      </c>
      <c r="BY294" s="59"/>
      <c r="BZ294" s="59"/>
      <c r="CA294" s="59"/>
      <c r="CC294" s="59"/>
    </row>
    <row r="295" spans="1:81" x14ac:dyDescent="0.2">
      <c r="A295">
        <f t="shared" si="211"/>
        <v>405000</v>
      </c>
      <c r="B295">
        <f t="shared" si="243"/>
        <v>405</v>
      </c>
      <c r="C295">
        <f t="shared" si="212"/>
        <v>1.0012430313793788</v>
      </c>
      <c r="D295">
        <f t="shared" si="213"/>
        <v>4.9834629282258909E-2</v>
      </c>
      <c r="F295">
        <f t="shared" si="214"/>
        <v>3.2447641533898822E-4</v>
      </c>
      <c r="G295">
        <f t="shared" si="215"/>
        <v>3.6767173296431981E-3</v>
      </c>
      <c r="H295">
        <f t="shared" si="216"/>
        <v>-3.137915932670357</v>
      </c>
      <c r="J295">
        <f t="shared" si="217"/>
        <v>15</v>
      </c>
      <c r="M295">
        <f t="shared" si="218"/>
        <v>3.0882620440177942E-3</v>
      </c>
      <c r="N295">
        <f t="shared" si="219"/>
        <v>-1.5707963250000001</v>
      </c>
      <c r="O295">
        <f t="shared" si="220"/>
        <v>79.540573751764398</v>
      </c>
      <c r="P295">
        <f t="shared" si="221"/>
        <v>1.5582237955938572</v>
      </c>
      <c r="Q295">
        <f t="shared" si="222"/>
        <v>69.141371121909032</v>
      </c>
      <c r="R295">
        <f t="shared" si="223"/>
        <v>1.5563327017510336</v>
      </c>
      <c r="S295">
        <f t="shared" si="224"/>
        <v>0.45551708540603136</v>
      </c>
      <c r="T295">
        <f t="shared" si="225"/>
        <v>-1.0978433522620563</v>
      </c>
      <c r="U295">
        <f t="shared" si="226"/>
        <v>0.45079712864497173</v>
      </c>
      <c r="V295">
        <f t="shared" si="227"/>
        <v>-1.1031381740770863</v>
      </c>
      <c r="X295">
        <f t="shared" si="244"/>
        <v>-35.393188721279081</v>
      </c>
      <c r="Y295">
        <f t="shared" si="228"/>
        <v>-214.59003551234528</v>
      </c>
      <c r="Z295">
        <f t="shared" si="245"/>
        <v>-34.590035512345281</v>
      </c>
      <c r="AC295">
        <v>1</v>
      </c>
      <c r="AD295">
        <f t="shared" si="229"/>
        <v>79.53428740335751</v>
      </c>
      <c r="AE295">
        <f t="shared" si="230"/>
        <v>-2.4286813141295299E-2</v>
      </c>
      <c r="AF295">
        <f t="shared" si="231"/>
        <v>1.226540602413E-2</v>
      </c>
      <c r="AG295">
        <f t="shared" si="246"/>
        <v>1284.9480421051112</v>
      </c>
      <c r="AH295">
        <f t="shared" si="247"/>
        <v>-2625.8643971115166</v>
      </c>
      <c r="AJ295">
        <f t="shared" si="232"/>
        <v>26400</v>
      </c>
      <c r="AK295">
        <f t="shared" si="233"/>
        <v>51594.099630796802</v>
      </c>
      <c r="AL295">
        <v>1</v>
      </c>
      <c r="AM295">
        <f t="shared" si="234"/>
        <v>69.134139183312001</v>
      </c>
      <c r="AN295">
        <f t="shared" si="248"/>
        <v>751.65604352944501</v>
      </c>
      <c r="AO295">
        <f t="shared" si="249"/>
        <v>-370.9939005454732</v>
      </c>
      <c r="AQ295">
        <f t="shared" si="235"/>
        <v>1.524155579704954E-2</v>
      </c>
      <c r="AR295">
        <f t="shared" si="236"/>
        <v>-12.345660195610128</v>
      </c>
      <c r="AT295">
        <f t="shared" si="261"/>
        <v>-32398.444959209381</v>
      </c>
      <c r="AU295">
        <f t="shared" si="262"/>
        <v>-15903.554155568298</v>
      </c>
      <c r="AV295">
        <f t="shared" si="250"/>
        <v>-2.6852724647990125</v>
      </c>
      <c r="AW295">
        <f t="shared" si="251"/>
        <v>-2537.3170835651003</v>
      </c>
      <c r="AX295">
        <f t="shared" si="252"/>
        <v>-13813.737125356605</v>
      </c>
      <c r="AY295">
        <f t="shared" si="260"/>
        <v>-1.7524521639459818</v>
      </c>
      <c r="BA295">
        <f t="shared" si="237"/>
        <v>2.5697213139468249</v>
      </c>
      <c r="BB295">
        <f t="shared" si="253"/>
        <v>8.1977205337248407</v>
      </c>
      <c r="BC295">
        <f t="shared" si="254"/>
        <v>-0.93282030085303069</v>
      </c>
      <c r="BD295">
        <f t="shared" si="238"/>
        <v>-233.44666634407409</v>
      </c>
      <c r="BF295">
        <f t="shared" si="239"/>
        <v>-38.046001447329722</v>
      </c>
      <c r="BG295">
        <f t="shared" si="240"/>
        <v>-230.38069202364701</v>
      </c>
      <c r="BH295">
        <f t="shared" si="255"/>
        <v>-50.380692023647015</v>
      </c>
      <c r="BI295">
        <f t="shared" si="256"/>
        <v>-50.380692023647015</v>
      </c>
      <c r="BJ295">
        <f t="shared" si="241"/>
        <v>0</v>
      </c>
      <c r="BK295">
        <f t="shared" si="257"/>
        <v>0</v>
      </c>
      <c r="BM295">
        <f t="shared" si="258"/>
        <v>-46.243721981054556</v>
      </c>
      <c r="BN295">
        <f t="shared" si="242"/>
        <v>-176.93402567957293</v>
      </c>
      <c r="BQ295" s="56">
        <f t="shared" si="259"/>
        <v>25.099681334009976</v>
      </c>
      <c r="BR295" s="59"/>
      <c r="BS295" s="59"/>
      <c r="BT295" s="59">
        <v>70794.577999999994</v>
      </c>
      <c r="BU295" s="59">
        <v>3.32565</v>
      </c>
      <c r="BV295" s="59">
        <v>-131.172</v>
      </c>
      <c r="BY295" s="59"/>
      <c r="BZ295" s="59"/>
      <c r="CA295" s="59"/>
      <c r="CC295" s="59"/>
    </row>
    <row r="296" spans="1:81" x14ac:dyDescent="0.2">
      <c r="A296">
        <f t="shared" si="211"/>
        <v>410000</v>
      </c>
      <c r="B296">
        <f t="shared" si="243"/>
        <v>410</v>
      </c>
      <c r="C296">
        <f t="shared" si="212"/>
        <v>1.0012738933246097</v>
      </c>
      <c r="D296">
        <f t="shared" si="213"/>
        <v>5.044883459925089E-2</v>
      </c>
      <c r="F296">
        <f t="shared" si="214"/>
        <v>3.1660817299171385E-4</v>
      </c>
      <c r="G296">
        <f t="shared" si="215"/>
        <v>3.6318511266256802E-3</v>
      </c>
      <c r="H296">
        <f t="shared" si="216"/>
        <v>-3.1379607988733746</v>
      </c>
      <c r="J296">
        <f t="shared" si="217"/>
        <v>15</v>
      </c>
      <c r="M296">
        <f t="shared" si="218"/>
        <v>3.0506003117736751E-3</v>
      </c>
      <c r="N296">
        <f t="shared" si="219"/>
        <v>-1.5707963250000001</v>
      </c>
      <c r="O296">
        <f t="shared" si="220"/>
        <v>80.522401877684985</v>
      </c>
      <c r="P296">
        <f t="shared" si="221"/>
        <v>1.5583771032828226</v>
      </c>
      <c r="Q296">
        <f t="shared" si="222"/>
        <v>69.99479082774468</v>
      </c>
      <c r="R296">
        <f t="shared" si="223"/>
        <v>1.5565090632718948</v>
      </c>
      <c r="S296">
        <f t="shared" si="224"/>
        <v>0.45109794386571461</v>
      </c>
      <c r="T296">
        <f t="shared" si="225"/>
        <v>-1.1028011452618962</v>
      </c>
      <c r="U296">
        <f t="shared" si="226"/>
        <v>0.44640051500608402</v>
      </c>
      <c r="V296">
        <f t="shared" si="227"/>
        <v>-1.1080575630470395</v>
      </c>
      <c r="X296">
        <f t="shared" si="244"/>
        <v>-35.669408816727767</v>
      </c>
      <c r="Y296">
        <f t="shared" si="228"/>
        <v>-215.10444697058404</v>
      </c>
      <c r="Z296">
        <f t="shared" si="245"/>
        <v>-35.104446970584036</v>
      </c>
      <c r="AC296">
        <v>1</v>
      </c>
      <c r="AD296">
        <f t="shared" si="229"/>
        <v>80.516192186114992</v>
      </c>
      <c r="AE296">
        <f t="shared" si="230"/>
        <v>-2.4890189233664019E-2</v>
      </c>
      <c r="AF296">
        <f t="shared" si="231"/>
        <v>1.2416830789860001E-2</v>
      </c>
      <c r="AG296">
        <f t="shared" si="246"/>
        <v>1260.0061318741061</v>
      </c>
      <c r="AH296">
        <f t="shared" si="247"/>
        <v>-2606.2842931185987</v>
      </c>
      <c r="AJ296">
        <f t="shared" si="232"/>
        <v>26400</v>
      </c>
      <c r="AK296">
        <f t="shared" si="233"/>
        <v>52231.063823769604</v>
      </c>
      <c r="AL296">
        <v>1</v>
      </c>
      <c r="AM296">
        <f t="shared" si="234"/>
        <v>69.987647074464007</v>
      </c>
      <c r="AN296">
        <f t="shared" si="248"/>
        <v>751.52598301852288</v>
      </c>
      <c r="AO296">
        <f t="shared" si="249"/>
        <v>-366.47144302040249</v>
      </c>
      <c r="AQ296">
        <f t="shared" si="235"/>
        <v>1.4872077822608831E-2</v>
      </c>
      <c r="AR296">
        <f t="shared" si="236"/>
        <v>-12.195103814539241</v>
      </c>
      <c r="AT296">
        <f t="shared" si="261"/>
        <v>-31765.168615534138</v>
      </c>
      <c r="AU296">
        <f t="shared" si="262"/>
        <v>-15404.666447995849</v>
      </c>
      <c r="AV296">
        <f t="shared" si="250"/>
        <v>-2.6900536017634442</v>
      </c>
      <c r="AW296">
        <f t="shared" si="251"/>
        <v>-2451.5743117465977</v>
      </c>
      <c r="AX296">
        <f t="shared" si="252"/>
        <v>-13655.922454427749</v>
      </c>
      <c r="AY296">
        <f t="shared" si="260"/>
        <v>-1.7484287674161736</v>
      </c>
      <c r="BA296">
        <f t="shared" si="237"/>
        <v>2.5445288583587318</v>
      </c>
      <c r="BB296">
        <f t="shared" si="253"/>
        <v>8.1121476143445168</v>
      </c>
      <c r="BC296">
        <f t="shared" si="254"/>
        <v>-0.94162483434727062</v>
      </c>
      <c r="BD296">
        <f t="shared" si="238"/>
        <v>-233.95112895445203</v>
      </c>
      <c r="BF296">
        <f t="shared" si="239"/>
        <v>-38.344526916632375</v>
      </c>
      <c r="BG296">
        <f t="shared" si="240"/>
        <v>-230.85253390564523</v>
      </c>
      <c r="BH296">
        <f t="shared" si="255"/>
        <v>-50.852533905645231</v>
      </c>
      <c r="BI296">
        <f t="shared" si="256"/>
        <v>-50.852533905645231</v>
      </c>
      <c r="BJ296">
        <f t="shared" si="241"/>
        <v>0</v>
      </c>
      <c r="BK296">
        <f t="shared" si="257"/>
        <v>0</v>
      </c>
      <c r="BM296">
        <f t="shared" si="258"/>
        <v>-46.456674530976898</v>
      </c>
      <c r="BN296">
        <f t="shared" si="242"/>
        <v>-176.9014049511932</v>
      </c>
      <c r="BQ296" s="56">
        <f t="shared" si="259"/>
        <v>25.014108414629654</v>
      </c>
      <c r="BR296" s="59"/>
      <c r="BS296" s="59"/>
      <c r="BT296" s="59">
        <v>72443.596000000005</v>
      </c>
      <c r="BU296" s="59">
        <v>3.4992100000000002</v>
      </c>
      <c r="BV296" s="59">
        <v>-130.929</v>
      </c>
      <c r="BY296" s="59"/>
      <c r="BZ296" s="59"/>
      <c r="CA296" s="59"/>
      <c r="CC296" s="59"/>
    </row>
    <row r="297" spans="1:81" x14ac:dyDescent="0.2">
      <c r="A297">
        <f t="shared" si="211"/>
        <v>415000</v>
      </c>
      <c r="B297">
        <f t="shared" si="243"/>
        <v>415</v>
      </c>
      <c r="C297">
        <f t="shared" si="212"/>
        <v>1.0013051329752185</v>
      </c>
      <c r="D297">
        <f t="shared" si="213"/>
        <v>5.1063001822824694E-2</v>
      </c>
      <c r="F297">
        <f t="shared" si="214"/>
        <v>3.0902272303534551E-4</v>
      </c>
      <c r="G297">
        <f t="shared" si="215"/>
        <v>3.588067037786912E-3</v>
      </c>
      <c r="H297">
        <f t="shared" si="216"/>
        <v>-3.1380045829622132</v>
      </c>
      <c r="J297">
        <f t="shared" si="217"/>
        <v>15</v>
      </c>
      <c r="M297">
        <f t="shared" si="218"/>
        <v>3.0138460911498955E-3</v>
      </c>
      <c r="N297">
        <f t="shared" si="219"/>
        <v>-1.5707963250000001</v>
      </c>
      <c r="O297">
        <f t="shared" si="220"/>
        <v>81.504231850547171</v>
      </c>
      <c r="P297">
        <f t="shared" si="221"/>
        <v>1.5585267173735482</v>
      </c>
      <c r="Q297">
        <f t="shared" si="222"/>
        <v>70.848212658206279</v>
      </c>
      <c r="R297">
        <f t="shared" si="223"/>
        <v>1.5566811759746007</v>
      </c>
      <c r="S297">
        <f t="shared" si="224"/>
        <v>0.44675305556041822</v>
      </c>
      <c r="T297">
        <f t="shared" si="225"/>
        <v>-1.1076635508591459</v>
      </c>
      <c r="U297">
        <f t="shared" si="226"/>
        <v>0.44207844284465647</v>
      </c>
      <c r="V297">
        <f t="shared" si="227"/>
        <v>-1.112881807349795</v>
      </c>
      <c r="X297">
        <f t="shared" si="244"/>
        <v>-35.943097730249619</v>
      </c>
      <c r="Y297">
        <f t="shared" si="228"/>
        <v>-215.60833699430523</v>
      </c>
      <c r="Z297">
        <f t="shared" si="245"/>
        <v>-35.608336994305233</v>
      </c>
      <c r="AC297">
        <v>1</v>
      </c>
      <c r="AD297">
        <f t="shared" si="229"/>
        <v>81.498096968872503</v>
      </c>
      <c r="AE297">
        <f t="shared" si="230"/>
        <v>-2.5500968713669161E-2</v>
      </c>
      <c r="AF297">
        <f t="shared" si="231"/>
        <v>1.2568255555590001E-2</v>
      </c>
      <c r="AG297">
        <f t="shared" si="246"/>
        <v>1235.7253624387627</v>
      </c>
      <c r="AH297">
        <f t="shared" si="247"/>
        <v>-2586.8501529456794</v>
      </c>
      <c r="AJ297">
        <f t="shared" si="232"/>
        <v>26400</v>
      </c>
      <c r="AK297">
        <f t="shared" si="233"/>
        <v>52868.028016742406</v>
      </c>
      <c r="AL297">
        <v>1</v>
      </c>
      <c r="AM297">
        <f t="shared" si="234"/>
        <v>70.841154965616013</v>
      </c>
      <c r="AN297">
        <f t="shared" si="248"/>
        <v>751.40059386401492</v>
      </c>
      <c r="AO297">
        <f t="shared" si="249"/>
        <v>-362.05789443417433</v>
      </c>
      <c r="AQ297">
        <f t="shared" si="235"/>
        <v>1.4515873833830985E-2</v>
      </c>
      <c r="AR297">
        <f t="shared" si="236"/>
        <v>-12.048175282079718</v>
      </c>
      <c r="AT297">
        <f t="shared" si="261"/>
        <v>-31148.886437709847</v>
      </c>
      <c r="AU297">
        <f t="shared" si="262"/>
        <v>-14925.786157620887</v>
      </c>
      <c r="AV297">
        <f t="shared" si="250"/>
        <v>-2.6947429248718988</v>
      </c>
      <c r="AW297">
        <f t="shared" si="251"/>
        <v>-2369.1442496335012</v>
      </c>
      <c r="AX297">
        <f t="shared" si="252"/>
        <v>-13501.647736018504</v>
      </c>
      <c r="AY297">
        <f t="shared" si="260"/>
        <v>-1.7444987180338269</v>
      </c>
      <c r="BA297">
        <f t="shared" si="237"/>
        <v>2.5197312275194785</v>
      </c>
      <c r="BB297">
        <f t="shared" si="253"/>
        <v>8.0270843661833311</v>
      </c>
      <c r="BC297">
        <f t="shared" si="254"/>
        <v>-0.95024420683807187</v>
      </c>
      <c r="BD297">
        <f t="shared" si="238"/>
        <v>-234.44498262079043</v>
      </c>
      <c r="BF297">
        <f t="shared" si="239"/>
        <v>-38.639953300782395</v>
      </c>
      <c r="BG297">
        <f t="shared" si="240"/>
        <v>-231.31370702562052</v>
      </c>
      <c r="BH297">
        <f t="shared" si="255"/>
        <v>-51.313707025620516</v>
      </c>
      <c r="BI297">
        <f t="shared" si="256"/>
        <v>-51.313707025620516</v>
      </c>
      <c r="BJ297">
        <f t="shared" si="241"/>
        <v>0</v>
      </c>
      <c r="BK297">
        <f t="shared" si="257"/>
        <v>0</v>
      </c>
      <c r="BM297">
        <f t="shared" si="258"/>
        <v>-46.667037666965726</v>
      </c>
      <c r="BN297">
        <f t="shared" si="242"/>
        <v>-176.86872440483012</v>
      </c>
      <c r="BQ297" s="56">
        <f t="shared" si="259"/>
        <v>24.92904516646847</v>
      </c>
      <c r="BR297" s="59"/>
      <c r="BS297" s="59"/>
      <c r="BT297" s="59">
        <v>74131.024000000005</v>
      </c>
      <c r="BU297" s="59">
        <v>3.6540400000000002</v>
      </c>
      <c r="BV297" s="59">
        <v>-130.88900000000001</v>
      </c>
      <c r="BY297" s="59"/>
      <c r="BZ297" s="59"/>
      <c r="CA297" s="59"/>
      <c r="CC297" s="59"/>
    </row>
    <row r="298" spans="1:81" x14ac:dyDescent="0.2">
      <c r="A298">
        <f t="shared" si="211"/>
        <v>420000</v>
      </c>
      <c r="B298">
        <f t="shared" si="243"/>
        <v>420</v>
      </c>
      <c r="C298">
        <f t="shared" si="212"/>
        <v>1.0013367502958541</v>
      </c>
      <c r="D298">
        <f t="shared" si="213"/>
        <v>5.167713049323807E-2</v>
      </c>
      <c r="F298">
        <f t="shared" si="214"/>
        <v>3.0170667297306882E-4</v>
      </c>
      <c r="G298">
        <f t="shared" si="215"/>
        <v>3.5453263693579207E-3</v>
      </c>
      <c r="H298">
        <f t="shared" si="216"/>
        <v>-3.1380473236306421</v>
      </c>
      <c r="J298">
        <f t="shared" si="217"/>
        <v>15</v>
      </c>
      <c r="M298">
        <f t="shared" si="218"/>
        <v>2.9779669710171585E-3</v>
      </c>
      <c r="N298">
        <f t="shared" si="219"/>
        <v>-1.5707963250000001</v>
      </c>
      <c r="O298">
        <f t="shared" si="220"/>
        <v>82.486063604398595</v>
      </c>
      <c r="P298">
        <f t="shared" si="221"/>
        <v>1.5586727697539313</v>
      </c>
      <c r="Q298">
        <f t="shared" si="222"/>
        <v>71.701636537429394</v>
      </c>
      <c r="R298">
        <f t="shared" si="223"/>
        <v>1.5568491915625795</v>
      </c>
      <c r="S298">
        <f t="shared" si="224"/>
        <v>0.44248090310055804</v>
      </c>
      <c r="T298">
        <f t="shared" si="225"/>
        <v>-1.112433072264327</v>
      </c>
      <c r="U298">
        <f t="shared" si="226"/>
        <v>0.43782936281532986</v>
      </c>
      <c r="V298">
        <f t="shared" si="227"/>
        <v>-1.1176134226292038</v>
      </c>
      <c r="X298">
        <f t="shared" si="244"/>
        <v>-36.214294603770597</v>
      </c>
      <c r="Y298">
        <f t="shared" si="228"/>
        <v>-216.10197913742775</v>
      </c>
      <c r="Z298">
        <f t="shared" si="245"/>
        <v>-36.101979137427747</v>
      </c>
      <c r="AC298">
        <v>1</v>
      </c>
      <c r="AD298">
        <f t="shared" si="229"/>
        <v>82.480001751629999</v>
      </c>
      <c r="AE298">
        <f t="shared" si="230"/>
        <v>-2.6119151581310725E-2</v>
      </c>
      <c r="AF298">
        <f t="shared" si="231"/>
        <v>1.2719680321320001E-2</v>
      </c>
      <c r="AG298">
        <f t="shared" si="246"/>
        <v>1212.0849327551643</v>
      </c>
      <c r="AH298">
        <f t="shared" si="247"/>
        <v>-2567.5668934316236</v>
      </c>
      <c r="AJ298">
        <f t="shared" si="232"/>
        <v>26400</v>
      </c>
      <c r="AK298">
        <f t="shared" si="233"/>
        <v>53504.992209715208</v>
      </c>
      <c r="AL298">
        <v>1</v>
      </c>
      <c r="AM298">
        <f t="shared" si="234"/>
        <v>71.694662856768005</v>
      </c>
      <c r="AN298">
        <f t="shared" si="248"/>
        <v>751.27965502240318</v>
      </c>
      <c r="AO298">
        <f t="shared" si="249"/>
        <v>-357.74936826495372</v>
      </c>
      <c r="AQ298">
        <f t="shared" si="235"/>
        <v>1.4172315515425856E-2</v>
      </c>
      <c r="AR298">
        <f t="shared" si="236"/>
        <v>-11.90474503295772</v>
      </c>
      <c r="AT298">
        <f t="shared" si="261"/>
        <v>-30549.051171268304</v>
      </c>
      <c r="AU298">
        <f t="shared" si="262"/>
        <v>-14465.95045086061</v>
      </c>
      <c r="AV298">
        <f t="shared" si="250"/>
        <v>-2.6993428308369833</v>
      </c>
      <c r="AW298">
        <f t="shared" si="251"/>
        <v>-2289.859732285242</v>
      </c>
      <c r="AX298">
        <f t="shared" si="252"/>
        <v>-13350.793758184769</v>
      </c>
      <c r="AY298">
        <f t="shared" si="260"/>
        <v>-1.7406584399743577</v>
      </c>
      <c r="BA298">
        <f t="shared" si="237"/>
        <v>2.4953234215243416</v>
      </c>
      <c r="BB298">
        <f t="shared" si="253"/>
        <v>7.9425368595517822</v>
      </c>
      <c r="BC298">
        <f t="shared" si="254"/>
        <v>-0.95868439086262569</v>
      </c>
      <c r="BD298">
        <f t="shared" si="238"/>
        <v>-234.92856954426367</v>
      </c>
      <c r="BF298">
        <f t="shared" si="239"/>
        <v>-38.932336532206612</v>
      </c>
      <c r="BG298">
        <f t="shared" si="240"/>
        <v>-231.76455582807822</v>
      </c>
      <c r="BH298">
        <f t="shared" si="255"/>
        <v>-51.764555828078215</v>
      </c>
      <c r="BI298">
        <f t="shared" si="256"/>
        <v>-51.764555828078215</v>
      </c>
      <c r="BJ298">
        <f t="shared" si="241"/>
        <v>0</v>
      </c>
      <c r="BK298">
        <f t="shared" si="257"/>
        <v>0</v>
      </c>
      <c r="BM298">
        <f t="shared" si="258"/>
        <v>-46.874873391758392</v>
      </c>
      <c r="BN298">
        <f t="shared" si="242"/>
        <v>-176.83598628381458</v>
      </c>
      <c r="BQ298" s="56">
        <f t="shared" si="259"/>
        <v>24.844497659836922</v>
      </c>
      <c r="BR298" s="59"/>
      <c r="BS298" s="59"/>
      <c r="BT298" s="59">
        <v>75857.758000000002</v>
      </c>
      <c r="BU298" s="59">
        <v>3.8307899999999999</v>
      </c>
      <c r="BV298" s="59">
        <v>-130.62200000000001</v>
      </c>
      <c r="BY298" s="59"/>
      <c r="BZ298" s="59"/>
      <c r="CA298" s="59"/>
      <c r="CC298" s="59"/>
    </row>
    <row r="299" spans="1:81" x14ac:dyDescent="0.2">
      <c r="A299">
        <f t="shared" si="211"/>
        <v>425000</v>
      </c>
      <c r="B299">
        <f t="shared" si="243"/>
        <v>425</v>
      </c>
      <c r="C299">
        <f t="shared" si="212"/>
        <v>1.0013687452507425</v>
      </c>
      <c r="D299">
        <f t="shared" si="213"/>
        <v>5.2291220150922843E-2</v>
      </c>
      <c r="F299">
        <f t="shared" si="214"/>
        <v>2.9464741390017286E-4</v>
      </c>
      <c r="G299">
        <f t="shared" si="215"/>
        <v>3.5035922511609794E-3</v>
      </c>
      <c r="H299">
        <f t="shared" si="216"/>
        <v>-3.1380890577488394</v>
      </c>
      <c r="J299">
        <f t="shared" si="217"/>
        <v>15</v>
      </c>
      <c r="M299">
        <f t="shared" si="218"/>
        <v>2.9429320654757807E-3</v>
      </c>
      <c r="N299">
        <f t="shared" si="219"/>
        <v>-1.5707963250000001</v>
      </c>
      <c r="O299">
        <f t="shared" si="220"/>
        <v>83.467897076390017</v>
      </c>
      <c r="P299">
        <f t="shared" si="221"/>
        <v>1.5588153861069012</v>
      </c>
      <c r="Q299">
        <f t="shared" si="222"/>
        <v>72.55506239311876</v>
      </c>
      <c r="R299">
        <f t="shared" si="223"/>
        <v>1.557013254602591</v>
      </c>
      <c r="S299">
        <f t="shared" si="224"/>
        <v>0.43827999459743716</v>
      </c>
      <c r="T299">
        <f t="shared" si="225"/>
        <v>-1.1171121348737463</v>
      </c>
      <c r="U299">
        <f t="shared" si="226"/>
        <v>0.43365175303765285</v>
      </c>
      <c r="V299">
        <f t="shared" si="227"/>
        <v>-1.1222548454461827</v>
      </c>
      <c r="X299">
        <f t="shared" si="244"/>
        <v>-36.483037849503631</v>
      </c>
      <c r="Y299">
        <f t="shared" si="228"/>
        <v>-216.58563862425117</v>
      </c>
      <c r="Z299">
        <f t="shared" si="245"/>
        <v>-36.585638624251175</v>
      </c>
      <c r="AC299">
        <v>1</v>
      </c>
      <c r="AD299">
        <f t="shared" si="229"/>
        <v>83.461906534387509</v>
      </c>
      <c r="AE299">
        <f t="shared" si="230"/>
        <v>-2.6744737836588716E-2</v>
      </c>
      <c r="AF299">
        <f t="shared" si="231"/>
        <v>1.287110508705E-2</v>
      </c>
      <c r="AG299">
        <f t="shared" si="246"/>
        <v>1189.0647304239287</v>
      </c>
      <c r="AH299">
        <f t="shared" si="247"/>
        <v>-2548.4388686193151</v>
      </c>
      <c r="AJ299">
        <f t="shared" si="232"/>
        <v>26400</v>
      </c>
      <c r="AK299">
        <f t="shared" si="233"/>
        <v>54141.956402688011</v>
      </c>
      <c r="AL299">
        <v>1</v>
      </c>
      <c r="AM299">
        <f t="shared" si="234"/>
        <v>72.548170747920011</v>
      </c>
      <c r="AN299">
        <f t="shared" si="248"/>
        <v>751.16295837077837</v>
      </c>
      <c r="AO299">
        <f t="shared" si="249"/>
        <v>-353.54216070795394</v>
      </c>
      <c r="AQ299">
        <f t="shared" si="235"/>
        <v>1.384081129299475E-2</v>
      </c>
      <c r="AR299">
        <f t="shared" si="236"/>
        <v>-11.764689599045537</v>
      </c>
      <c r="AT299">
        <f t="shared" si="261"/>
        <v>-29965.13463090008</v>
      </c>
      <c r="AU299">
        <f t="shared" si="262"/>
        <v>-14024.249928082574</v>
      </c>
      <c r="AV299">
        <f t="shared" si="250"/>
        <v>-2.7038556428836169</v>
      </c>
      <c r="AW299">
        <f t="shared" si="251"/>
        <v>-2213.5638895057814</v>
      </c>
      <c r="AX299">
        <f t="shared" si="252"/>
        <v>-13203.246754312506</v>
      </c>
      <c r="AY299">
        <f t="shared" si="260"/>
        <v>-1.7369045232758142</v>
      </c>
      <c r="BA299">
        <f t="shared" si="237"/>
        <v>2.4713002123954726</v>
      </c>
      <c r="BB299">
        <f t="shared" si="253"/>
        <v>7.8585101299529247</v>
      </c>
      <c r="BC299">
        <f t="shared" si="254"/>
        <v>-0.96695111960780267</v>
      </c>
      <c r="BD299">
        <f t="shared" si="238"/>
        <v>-235.402218212283</v>
      </c>
      <c r="BF299">
        <f t="shared" si="239"/>
        <v>-39.221731374165358</v>
      </c>
      <c r="BG299">
        <f t="shared" si="240"/>
        <v>-232.20541093926656</v>
      </c>
      <c r="BH299">
        <f t="shared" si="255"/>
        <v>-52.205410939266557</v>
      </c>
      <c r="BI299">
        <f t="shared" si="256"/>
        <v>-52.205410939266557</v>
      </c>
      <c r="BJ299">
        <f t="shared" si="241"/>
        <v>0</v>
      </c>
      <c r="BK299">
        <f t="shared" si="257"/>
        <v>0</v>
      </c>
      <c r="BM299">
        <f t="shared" si="258"/>
        <v>-47.080241504118277</v>
      </c>
      <c r="BN299">
        <f t="shared" si="242"/>
        <v>-176.80319272698355</v>
      </c>
      <c r="BQ299" s="56">
        <f t="shared" si="259"/>
        <v>24.760470930238057</v>
      </c>
      <c r="BR299" s="59"/>
      <c r="BS299" s="59"/>
      <c r="BT299" s="59">
        <v>77624.712</v>
      </c>
      <c r="BU299" s="59">
        <v>4.0309799999999996</v>
      </c>
      <c r="BV299" s="59">
        <v>-130.36099999999999</v>
      </c>
      <c r="BY299" s="59"/>
      <c r="BZ299" s="59"/>
      <c r="CA299" s="59"/>
      <c r="CC299" s="59"/>
    </row>
    <row r="300" spans="1:81" x14ac:dyDescent="0.2">
      <c r="A300">
        <f t="shared" ref="A300:A363" si="263">A299+5000</f>
        <v>430000</v>
      </c>
      <c r="B300">
        <f t="shared" si="243"/>
        <v>430</v>
      </c>
      <c r="C300">
        <f t="shared" si="212"/>
        <v>1.0014011178036879</v>
      </c>
      <c r="D300">
        <f t="shared" si="213"/>
        <v>5.2905270336486884E-2</v>
      </c>
      <c r="F300">
        <f t="shared" si="214"/>
        <v>2.8783306611861181E-4</v>
      </c>
      <c r="G300">
        <f t="shared" si="215"/>
        <v>3.4628295304010956E-3</v>
      </c>
      <c r="H300">
        <f t="shared" si="216"/>
        <v>-3.1381298204695991</v>
      </c>
      <c r="J300">
        <f t="shared" si="217"/>
        <v>15</v>
      </c>
      <c r="M300">
        <f t="shared" si="218"/>
        <v>2.9087119251795506E-3</v>
      </c>
      <c r="N300">
        <f t="shared" si="219"/>
        <v>-1.5707963250000001</v>
      </c>
      <c r="O300">
        <f t="shared" si="220"/>
        <v>84.449732206594874</v>
      </c>
      <c r="P300">
        <f t="shared" si="221"/>
        <v>1.5589546862710684</v>
      </c>
      <c r="Q300">
        <f t="shared" si="222"/>
        <v>73.408490156340903</v>
      </c>
      <c r="R300">
        <f t="shared" si="223"/>
        <v>1.5571735029394882</v>
      </c>
      <c r="S300">
        <f t="shared" si="224"/>
        <v>0.43414886418215659</v>
      </c>
      <c r="T300">
        <f t="shared" si="225"/>
        <v>-1.1217030888031692</v>
      </c>
      <c r="U300">
        <f t="shared" si="226"/>
        <v>0.42954411950719557</v>
      </c>
      <c r="V300">
        <f t="shared" si="227"/>
        <v>-1.1268084359043504</v>
      </c>
      <c r="X300">
        <f t="shared" si="244"/>
        <v>-36.749365162745342</v>
      </c>
      <c r="Y300">
        <f t="shared" si="228"/>
        <v>-217.0595726067202</v>
      </c>
      <c r="Z300">
        <f t="shared" si="245"/>
        <v>-37.059572606720195</v>
      </c>
      <c r="AC300">
        <v>1</v>
      </c>
      <c r="AD300">
        <f t="shared" si="229"/>
        <v>84.443811317144991</v>
      </c>
      <c r="AE300">
        <f t="shared" si="230"/>
        <v>-2.7377727479503126E-2</v>
      </c>
      <c r="AF300">
        <f t="shared" si="231"/>
        <v>1.3022529852780001E-2</v>
      </c>
      <c r="AG300">
        <f t="shared" si="246"/>
        <v>1166.6453126403615</v>
      </c>
      <c r="AH300">
        <f t="shared" si="247"/>
        <v>-2529.4699115376266</v>
      </c>
      <c r="AJ300">
        <f t="shared" si="232"/>
        <v>26400</v>
      </c>
      <c r="AK300">
        <f t="shared" si="233"/>
        <v>54778.920595660798</v>
      </c>
      <c r="AL300">
        <v>1</v>
      </c>
      <c r="AM300">
        <f t="shared" si="234"/>
        <v>73.401678639072003</v>
      </c>
      <c r="AN300">
        <f t="shared" si="248"/>
        <v>751.05030781108485</v>
      </c>
      <c r="AO300">
        <f t="shared" si="249"/>
        <v>-349.43274006455596</v>
      </c>
      <c r="AQ300">
        <f t="shared" si="235"/>
        <v>1.3520803784743395E-2</v>
      </c>
      <c r="AR300">
        <f t="shared" si="236"/>
        <v>-11.627891254879319</v>
      </c>
      <c r="AT300">
        <f t="shared" si="261"/>
        <v>-29396.627081490133</v>
      </c>
      <c r="AU300">
        <f t="shared" si="262"/>
        <v>-13599.825294750121</v>
      </c>
      <c r="AV300">
        <f t="shared" si="250"/>
        <v>-2.708283613049463</v>
      </c>
      <c r="AW300">
        <f t="shared" si="251"/>
        <v>-2140.1094036534255</v>
      </c>
      <c r="AX300">
        <f t="shared" si="252"/>
        <v>-13058.898084249124</v>
      </c>
      <c r="AY300">
        <f t="shared" si="260"/>
        <v>-1.7332337153076116</v>
      </c>
      <c r="BA300">
        <f t="shared" si="237"/>
        <v>2.4476561836143698</v>
      </c>
      <c r="BB300">
        <f t="shared" si="253"/>
        <v>7.7750082690969782</v>
      </c>
      <c r="BC300">
        <f t="shared" si="254"/>
        <v>-0.97504989774185136</v>
      </c>
      <c r="BD300">
        <f t="shared" si="238"/>
        <v>-235.86624401910706</v>
      </c>
      <c r="BF300">
        <f t="shared" si="239"/>
        <v>-39.508191433004598</v>
      </c>
      <c r="BG300">
        <f t="shared" si="240"/>
        <v>-232.63658979387202</v>
      </c>
      <c r="BH300">
        <f t="shared" si="255"/>
        <v>-52.63658979387202</v>
      </c>
      <c r="BI300">
        <f t="shared" si="256"/>
        <v>-52.63658979387202</v>
      </c>
      <c r="BJ300">
        <f t="shared" si="241"/>
        <v>0</v>
      </c>
      <c r="BK300">
        <f t="shared" si="257"/>
        <v>0</v>
      </c>
      <c r="BM300">
        <f t="shared" si="258"/>
        <v>-47.283199702101577</v>
      </c>
      <c r="BN300">
        <f t="shared" si="242"/>
        <v>-176.77034577476496</v>
      </c>
      <c r="BQ300" s="56">
        <f t="shared" si="259"/>
        <v>24.676969069382114</v>
      </c>
      <c r="BR300" s="59"/>
      <c r="BS300" s="59"/>
      <c r="BT300" s="59">
        <v>79432.823000000004</v>
      </c>
      <c r="BU300" s="59">
        <v>4.23407</v>
      </c>
      <c r="BV300" s="59">
        <v>-130.17400000000001</v>
      </c>
      <c r="BY300" s="59"/>
      <c r="BZ300" s="59"/>
      <c r="CA300" s="59"/>
      <c r="CC300" s="59"/>
    </row>
    <row r="301" spans="1:81" x14ac:dyDescent="0.2">
      <c r="A301">
        <f t="shared" si="263"/>
        <v>435000</v>
      </c>
      <c r="B301">
        <f t="shared" si="243"/>
        <v>435</v>
      </c>
      <c r="C301">
        <f t="shared" si="212"/>
        <v>1.0014338679180708</v>
      </c>
      <c r="D301">
        <f t="shared" si="213"/>
        <v>5.3519280590716201E-2</v>
      </c>
      <c r="F301">
        <f t="shared" si="214"/>
        <v>2.8125242910529813E-4</v>
      </c>
      <c r="G301">
        <f t="shared" si="215"/>
        <v>3.4230046727969253E-3</v>
      </c>
      <c r="H301">
        <f t="shared" si="216"/>
        <v>-3.1381696453272032</v>
      </c>
      <c r="J301">
        <f t="shared" si="217"/>
        <v>15</v>
      </c>
      <c r="M301">
        <f t="shared" si="218"/>
        <v>2.8752784547751878E-3</v>
      </c>
      <c r="N301">
        <f t="shared" si="219"/>
        <v>-1.5707963250000001</v>
      </c>
      <c r="O301">
        <f t="shared" si="220"/>
        <v>85.431568937841377</v>
      </c>
      <c r="P301">
        <f t="shared" si="221"/>
        <v>1.559090784576511</v>
      </c>
      <c r="Q301">
        <f t="shared" si="222"/>
        <v>74.261919761330986</v>
      </c>
      <c r="R301">
        <f t="shared" si="223"/>
        <v>1.5573300680823914</v>
      </c>
      <c r="S301">
        <f t="shared" si="224"/>
        <v>0.43008607240227514</v>
      </c>
      <c r="T301">
        <f t="shared" si="225"/>
        <v>-1.126208211353819</v>
      </c>
      <c r="U301">
        <f t="shared" si="226"/>
        <v>0.42550499638960643</v>
      </c>
      <c r="V301">
        <f t="shared" si="227"/>
        <v>-1.1312764802017938</v>
      </c>
      <c r="X301">
        <f t="shared" si="244"/>
        <v>-37.013313534502117</v>
      </c>
      <c r="Y301">
        <f t="shared" si="228"/>
        <v>-217.52403041622071</v>
      </c>
      <c r="Z301">
        <f t="shared" si="245"/>
        <v>-37.524030416220711</v>
      </c>
      <c r="AC301">
        <v>1</v>
      </c>
      <c r="AD301">
        <f t="shared" si="229"/>
        <v>85.425716099902502</v>
      </c>
      <c r="AE301">
        <f t="shared" si="230"/>
        <v>-2.8018120510053975E-2</v>
      </c>
      <c r="AF301">
        <f t="shared" si="231"/>
        <v>1.317395461851E-2</v>
      </c>
      <c r="AG301">
        <f t="shared" si="246"/>
        <v>1144.8078870487811</v>
      </c>
      <c r="AH301">
        <f t="shared" si="247"/>
        <v>-2510.6633731469383</v>
      </c>
      <c r="AJ301">
        <f t="shared" si="232"/>
        <v>26400</v>
      </c>
      <c r="AK301">
        <f t="shared" si="233"/>
        <v>55415.884788633601</v>
      </c>
      <c r="AL301">
        <v>1</v>
      </c>
      <c r="AM301">
        <f t="shared" si="234"/>
        <v>74.255186530224009</v>
      </c>
      <c r="AN301">
        <f t="shared" si="248"/>
        <v>750.94151844597923</v>
      </c>
      <c r="AO301">
        <f t="shared" si="249"/>
        <v>-345.41773686224741</v>
      </c>
      <c r="AQ301">
        <f t="shared" si="235"/>
        <v>1.3211767457038635E-2</v>
      </c>
      <c r="AR301">
        <f t="shared" si="236"/>
        <v>-11.494237687623613</v>
      </c>
      <c r="AT301">
        <f t="shared" si="261"/>
        <v>-28843.036628975093</v>
      </c>
      <c r="AU301">
        <f t="shared" si="262"/>
        <v>-13191.864261053779</v>
      </c>
      <c r="AV301">
        <f t="shared" si="250"/>
        <v>-2.7126289244339179</v>
      </c>
      <c r="AW301">
        <f t="shared" si="251"/>
        <v>-2069.3578283966508</v>
      </c>
      <c r="AX301">
        <f t="shared" si="252"/>
        <v>-12917.643938362289</v>
      </c>
      <c r="AY301">
        <f t="shared" si="260"/>
        <v>-1.7296429126845261</v>
      </c>
      <c r="BA301">
        <f t="shared" si="237"/>
        <v>2.4243857653667837</v>
      </c>
      <c r="BB301">
        <f t="shared" si="253"/>
        <v>7.6920345082377004</v>
      </c>
      <c r="BC301">
        <f t="shared" si="254"/>
        <v>-0.98298601174939182</v>
      </c>
      <c r="BD301">
        <f t="shared" si="238"/>
        <v>-236.32094985799336</v>
      </c>
      <c r="BF301">
        <f t="shared" si="239"/>
        <v>-39.791769172106477</v>
      </c>
      <c r="BG301">
        <f t="shared" si="240"/>
        <v>-233.05839723283609</v>
      </c>
      <c r="BH301">
        <f t="shared" si="255"/>
        <v>-53.058397232836086</v>
      </c>
      <c r="BI301">
        <f t="shared" si="256"/>
        <v>-53.058397232836086</v>
      </c>
      <c r="BJ301">
        <f t="shared" si="241"/>
        <v>0</v>
      </c>
      <c r="BK301">
        <f t="shared" si="257"/>
        <v>0</v>
      </c>
      <c r="BM301">
        <f t="shared" si="258"/>
        <v>-47.483803680344174</v>
      </c>
      <c r="BN301">
        <f t="shared" si="242"/>
        <v>-176.7374473748427</v>
      </c>
      <c r="BQ301" s="56">
        <f t="shared" si="259"/>
        <v>24.593995308522839</v>
      </c>
      <c r="BR301" s="59"/>
      <c r="BS301" s="59"/>
      <c r="BT301" s="59">
        <v>81283.051999999996</v>
      </c>
      <c r="BU301" s="59">
        <v>4.4202000000000004</v>
      </c>
      <c r="BV301" s="59">
        <v>-130.05699999999999</v>
      </c>
      <c r="BY301" s="59"/>
      <c r="BZ301" s="59"/>
      <c r="CA301" s="59"/>
      <c r="CC301" s="59"/>
    </row>
    <row r="302" spans="1:81" x14ac:dyDescent="0.2">
      <c r="A302">
        <f t="shared" si="263"/>
        <v>440000</v>
      </c>
      <c r="B302">
        <f t="shared" si="243"/>
        <v>440</v>
      </c>
      <c r="C302">
        <f t="shared" si="212"/>
        <v>1.00146699555685</v>
      </c>
      <c r="D302">
        <f t="shared" si="213"/>
        <v>5.4133250454576967E-2</v>
      </c>
      <c r="F302">
        <f t="shared" si="214"/>
        <v>2.7489493544028131E-4</v>
      </c>
      <c r="G302">
        <f t="shared" si="215"/>
        <v>3.384085670465982E-3</v>
      </c>
      <c r="H302">
        <f t="shared" si="216"/>
        <v>-3.1382085643295343</v>
      </c>
      <c r="J302">
        <f t="shared" si="217"/>
        <v>15</v>
      </c>
      <c r="M302">
        <f t="shared" si="218"/>
        <v>2.8426048359709243E-3</v>
      </c>
      <c r="N302">
        <f t="shared" si="219"/>
        <v>-1.5707963250000001</v>
      </c>
      <c r="O302">
        <f t="shared" si="220"/>
        <v>86.413407215555978</v>
      </c>
      <c r="P302">
        <f t="shared" si="221"/>
        <v>1.5592237901576718</v>
      </c>
      <c r="Q302">
        <f t="shared" si="222"/>
        <v>75.115351145312758</v>
      </c>
      <c r="R302">
        <f t="shared" si="223"/>
        <v>1.5574830755645412</v>
      </c>
      <c r="S302">
        <f t="shared" si="224"/>
        <v>0.42609020650896462</v>
      </c>
      <c r="T302">
        <f t="shared" si="225"/>
        <v>-1.1306297094101285</v>
      </c>
      <c r="U302">
        <f t="shared" si="226"/>
        <v>0.4215329462101996</v>
      </c>
      <c r="V302">
        <f t="shared" si="227"/>
        <v>-1.1356611931087894</v>
      </c>
      <c r="X302">
        <f t="shared" si="244"/>
        <v>-37.274919263961351</v>
      </c>
      <c r="Y302">
        <f t="shared" si="228"/>
        <v>-217.97925380965575</v>
      </c>
      <c r="Z302">
        <f t="shared" si="245"/>
        <v>-37.979253809655745</v>
      </c>
      <c r="AC302">
        <v>1</v>
      </c>
      <c r="AD302">
        <f t="shared" si="229"/>
        <v>86.407620882659998</v>
      </c>
      <c r="AE302">
        <f t="shared" si="230"/>
        <v>-2.8665916928241247E-2</v>
      </c>
      <c r="AF302">
        <f t="shared" si="231"/>
        <v>1.3325379384240001E-2</v>
      </c>
      <c r="AG302">
        <f t="shared" si="246"/>
        <v>1123.5342925984628</v>
      </c>
      <c r="AH302">
        <f t="shared" si="247"/>
        <v>-2492.0221586285261</v>
      </c>
      <c r="AJ302">
        <f t="shared" si="232"/>
        <v>26400</v>
      </c>
      <c r="AK302">
        <f t="shared" si="233"/>
        <v>56052.848981606403</v>
      </c>
      <c r="AL302">
        <v>1</v>
      </c>
      <c r="AM302">
        <f t="shared" si="234"/>
        <v>75.108694421376001</v>
      </c>
      <c r="AN302">
        <f t="shared" si="248"/>
        <v>750.83641581984239</v>
      </c>
      <c r="AO302">
        <f t="shared" si="249"/>
        <v>-341.49393464733674</v>
      </c>
      <c r="AQ302">
        <f t="shared" si="235"/>
        <v>1.2913206465384214E-2</v>
      </c>
      <c r="AR302">
        <f t="shared" si="236"/>
        <v>-11.363621689538107</v>
      </c>
      <c r="AT302">
        <f t="shared" si="261"/>
        <v>-28303.888622309431</v>
      </c>
      <c r="AU302">
        <f t="shared" si="262"/>
        <v>-12799.598652962428</v>
      </c>
      <c r="AV302">
        <f t="shared" si="250"/>
        <v>-2.716893693393684</v>
      </c>
      <c r="AW302">
        <f t="shared" si="251"/>
        <v>-2001.1789628223517</v>
      </c>
      <c r="AX302">
        <f t="shared" si="252"/>
        <v>-12779.385062577887</v>
      </c>
      <c r="AY302">
        <f t="shared" si="260"/>
        <v>-1.7261291536062828</v>
      </c>
      <c r="BA302">
        <f t="shared" si="237"/>
        <v>2.4014832659293144</v>
      </c>
      <c r="BB302">
        <f t="shared" si="253"/>
        <v>7.6095912944954192</v>
      </c>
      <c r="BC302">
        <f t="shared" si="254"/>
        <v>-0.9907645397874012</v>
      </c>
      <c r="BD302">
        <f t="shared" si="238"/>
        <v>-236.76662668590475</v>
      </c>
      <c r="BF302">
        <f t="shared" si="239"/>
        <v>-40.072515927284172</v>
      </c>
      <c r="BG302">
        <f t="shared" si="240"/>
        <v>-233.47112607333878</v>
      </c>
      <c r="BH302">
        <f t="shared" si="255"/>
        <v>-53.47112607333878</v>
      </c>
      <c r="BI302">
        <f t="shared" si="256"/>
        <v>-53.47112607333878</v>
      </c>
      <c r="BJ302">
        <f t="shared" si="241"/>
        <v>0</v>
      </c>
      <c r="BK302">
        <f t="shared" si="257"/>
        <v>0</v>
      </c>
      <c r="BM302">
        <f t="shared" si="258"/>
        <v>-47.682107221779589</v>
      </c>
      <c r="BN302">
        <f t="shared" si="242"/>
        <v>-176.70449938743405</v>
      </c>
      <c r="BQ302" s="56">
        <f t="shared" si="259"/>
        <v>24.511552094780559</v>
      </c>
      <c r="BR302" s="59"/>
      <c r="BS302" s="59"/>
      <c r="BT302" s="59">
        <v>83176.376999999993</v>
      </c>
      <c r="BU302" s="59">
        <v>4.5639399999999997</v>
      </c>
      <c r="BV302" s="59">
        <v>-130.11600000000001</v>
      </c>
      <c r="BY302" s="59"/>
      <c r="BZ302" s="59"/>
      <c r="CA302" s="59"/>
      <c r="CC302" s="59"/>
    </row>
    <row r="303" spans="1:81" x14ac:dyDescent="0.2">
      <c r="A303">
        <f t="shared" si="263"/>
        <v>445000</v>
      </c>
      <c r="B303">
        <f t="shared" si="243"/>
        <v>445</v>
      </c>
      <c r="C303">
        <f t="shared" si="212"/>
        <v>1.0015005006825626</v>
      </c>
      <c r="D303">
        <f t="shared" si="213"/>
        <v>5.4747179469217526E-2</v>
      </c>
      <c r="F303">
        <f t="shared" si="214"/>
        <v>2.6875060834059995E-4</v>
      </c>
      <c r="G303">
        <f t="shared" si="215"/>
        <v>3.3460419560317287E-3</v>
      </c>
      <c r="H303">
        <f t="shared" si="216"/>
        <v>-3.1382466080439686</v>
      </c>
      <c r="J303">
        <f t="shared" si="217"/>
        <v>15</v>
      </c>
      <c r="M303">
        <f t="shared" si="218"/>
        <v>2.8106654557914757E-3</v>
      </c>
      <c r="N303">
        <f t="shared" si="219"/>
        <v>-1.5707963250000001</v>
      </c>
      <c r="O303">
        <f t="shared" si="220"/>
        <v>87.395246987617497</v>
      </c>
      <c r="P303">
        <f t="shared" si="221"/>
        <v>1.5593538072451707</v>
      </c>
      <c r="Q303">
        <f t="shared" si="222"/>
        <v>75.968784248330806</v>
      </c>
      <c r="R303">
        <f t="shared" si="223"/>
        <v>1.5576326452789016</v>
      </c>
      <c r="S303">
        <f t="shared" si="224"/>
        <v>0.42215988064626581</v>
      </c>
      <c r="T303">
        <f t="shared" si="225"/>
        <v>-1.1349697217690491</v>
      </c>
      <c r="U303">
        <f t="shared" si="226"/>
        <v>0.41762655995052045</v>
      </c>
      <c r="V303">
        <f t="shared" si="227"/>
        <v>-1.1399647203716503</v>
      </c>
      <c r="X303">
        <f t="shared" si="244"/>
        <v>-37.534217970819725</v>
      </c>
      <c r="Y303">
        <f t="shared" si="228"/>
        <v>-218.42547720960832</v>
      </c>
      <c r="Z303">
        <f t="shared" si="245"/>
        <v>-38.425477209608317</v>
      </c>
      <c r="AC303">
        <v>1</v>
      </c>
      <c r="AD303">
        <f t="shared" si="229"/>
        <v>87.389525665417494</v>
      </c>
      <c r="AE303">
        <f t="shared" si="230"/>
        <v>-2.9321116734064939E-2</v>
      </c>
      <c r="AF303">
        <f t="shared" si="231"/>
        <v>1.347680414997E-2</v>
      </c>
      <c r="AG303">
        <f t="shared" si="246"/>
        <v>1102.8069804847783</v>
      </c>
      <c r="AH303">
        <f t="shared" si="247"/>
        <v>-2473.5487611883168</v>
      </c>
      <c r="AJ303">
        <f t="shared" si="232"/>
        <v>26400</v>
      </c>
      <c r="AK303">
        <f t="shared" si="233"/>
        <v>56689.813174579205</v>
      </c>
      <c r="AL303">
        <v>1</v>
      </c>
      <c r="AM303">
        <f t="shared" si="234"/>
        <v>75.962202312528007</v>
      </c>
      <c r="AN303">
        <f t="shared" si="248"/>
        <v>750.73483521911521</v>
      </c>
      <c r="AO303">
        <f t="shared" si="249"/>
        <v>-337.65826139759906</v>
      </c>
      <c r="AQ303">
        <f t="shared" si="235"/>
        <v>1.2624652664243575E-2</v>
      </c>
      <c r="AR303">
        <f t="shared" si="236"/>
        <v>-11.235940871176782</v>
      </c>
      <c r="AT303">
        <f t="shared" si="261"/>
        <v>-27778.725067600182</v>
      </c>
      <c r="AU303">
        <f t="shared" si="262"/>
        <v>-12422.301719006049</v>
      </c>
      <c r="AV303">
        <f t="shared" si="250"/>
        <v>-2.7210799716834884</v>
      </c>
      <c r="AW303">
        <f t="shared" si="251"/>
        <v>-1935.4502758689823</v>
      </c>
      <c r="AX303">
        <f t="shared" si="252"/>
        <v>-12644.026502637886</v>
      </c>
      <c r="AY303">
        <f t="shared" si="260"/>
        <v>-1.7226896106031824</v>
      </c>
      <c r="BA303">
        <f t="shared" si="237"/>
        <v>2.3789428995849629</v>
      </c>
      <c r="BB303">
        <f t="shared" si="253"/>
        <v>7.5276803607724494</v>
      </c>
      <c r="BC303">
        <f t="shared" si="254"/>
        <v>-0.99839036108030599</v>
      </c>
      <c r="BD303">
        <f t="shared" si="238"/>
        <v>-237.20355406180846</v>
      </c>
      <c r="BF303">
        <f t="shared" si="239"/>
        <v>-40.350481923393808</v>
      </c>
      <c r="BG303">
        <f t="shared" si="240"/>
        <v>-233.87505765201934</v>
      </c>
      <c r="BH303">
        <f t="shared" si="255"/>
        <v>-53.875057652019336</v>
      </c>
      <c r="BI303">
        <f t="shared" si="256"/>
        <v>-53.875057652019336</v>
      </c>
      <c r="BJ303">
        <f t="shared" si="241"/>
        <v>0</v>
      </c>
      <c r="BK303">
        <f t="shared" si="257"/>
        <v>0</v>
      </c>
      <c r="BM303">
        <f t="shared" si="258"/>
        <v>-47.878162284166251</v>
      </c>
      <c r="BN303">
        <f t="shared" si="242"/>
        <v>-176.67150359021088</v>
      </c>
      <c r="BQ303" s="56">
        <f t="shared" si="259"/>
        <v>24.429641161057589</v>
      </c>
      <c r="BR303" s="59"/>
      <c r="BS303" s="59"/>
      <c r="BT303" s="59">
        <v>85113.804000000004</v>
      </c>
      <c r="BU303" s="59">
        <v>4.7605300000000002</v>
      </c>
      <c r="BV303" s="59">
        <v>-129.97300000000001</v>
      </c>
      <c r="BY303" s="59"/>
      <c r="BZ303" s="59"/>
      <c r="CA303" s="59"/>
      <c r="CC303" s="59"/>
    </row>
    <row r="304" spans="1:81" x14ac:dyDescent="0.2">
      <c r="A304">
        <f t="shared" si="263"/>
        <v>450000</v>
      </c>
      <c r="B304">
        <f t="shared" si="243"/>
        <v>450</v>
      </c>
      <c r="C304">
        <f t="shared" si="212"/>
        <v>1.0015343832573231</v>
      </c>
      <c r="D304">
        <f t="shared" si="213"/>
        <v>5.536106717597046E-2</v>
      </c>
      <c r="F304">
        <f t="shared" si="214"/>
        <v>2.6281002248085045E-4</v>
      </c>
      <c r="G304">
        <f t="shared" si="215"/>
        <v>3.3088443224675952E-3</v>
      </c>
      <c r="H304">
        <f t="shared" si="216"/>
        <v>-3.1382838056775326</v>
      </c>
      <c r="J304">
        <f t="shared" si="217"/>
        <v>15</v>
      </c>
      <c r="M304">
        <f t="shared" si="218"/>
        <v>2.7794358396160145E-3</v>
      </c>
      <c r="N304">
        <f t="shared" si="219"/>
        <v>-1.5707963250000001</v>
      </c>
      <c r="O304">
        <f t="shared" si="220"/>
        <v>88.377088204220868</v>
      </c>
      <c r="P304">
        <f t="shared" si="221"/>
        <v>1.5594809354381662</v>
      </c>
      <c r="Q304">
        <f t="shared" si="222"/>
        <v>76.822219013093786</v>
      </c>
      <c r="R304">
        <f t="shared" si="223"/>
        <v>1.5577788917913997</v>
      </c>
      <c r="S304">
        <f t="shared" si="224"/>
        <v>0.41829373595301561</v>
      </c>
      <c r="T304">
        <f t="shared" si="225"/>
        <v>-1.1392303214010293</v>
      </c>
      <c r="U304">
        <f t="shared" si="226"/>
        <v>0.41378445706228056</v>
      </c>
      <c r="V304">
        <f t="shared" si="227"/>
        <v>-1.1441891410431693</v>
      </c>
      <c r="X304">
        <f t="shared" si="244"/>
        <v>-37.79124460747672</v>
      </c>
      <c r="Y304">
        <f t="shared" si="228"/>
        <v>-218.86292793845024</v>
      </c>
      <c r="Z304">
        <f t="shared" si="245"/>
        <v>-38.862927938450241</v>
      </c>
      <c r="AC304">
        <v>1</v>
      </c>
      <c r="AD304">
        <f t="shared" si="229"/>
        <v>88.371430448174991</v>
      </c>
      <c r="AE304">
        <f t="shared" si="230"/>
        <v>-2.9983719927525066E-2</v>
      </c>
      <c r="AF304">
        <f t="shared" si="231"/>
        <v>1.3628228915700001E-2</v>
      </c>
      <c r="AG304">
        <f t="shared" si="246"/>
        <v>1082.6089952468949</v>
      </c>
      <c r="AH304">
        <f t="shared" si="247"/>
        <v>-2455.2452935358942</v>
      </c>
      <c r="AJ304">
        <f t="shared" si="232"/>
        <v>26400</v>
      </c>
      <c r="AK304">
        <f t="shared" si="233"/>
        <v>57326.777367552007</v>
      </c>
      <c r="AL304">
        <v>1</v>
      </c>
      <c r="AM304">
        <f t="shared" si="234"/>
        <v>76.815710203679998</v>
      </c>
      <c r="AN304">
        <f t="shared" si="248"/>
        <v>750.63662102672811</v>
      </c>
      <c r="AO304">
        <f t="shared" si="249"/>
        <v>-333.90778150671179</v>
      </c>
      <c r="AQ304">
        <f t="shared" si="235"/>
        <v>1.2345663770785468E-2</v>
      </c>
      <c r="AR304">
        <f t="shared" si="236"/>
        <v>-11.111097393706922</v>
      </c>
      <c r="AT304">
        <f t="shared" si="261"/>
        <v>-27267.104055267318</v>
      </c>
      <c r="AU304">
        <f t="shared" si="262"/>
        <v>-12059.285618360242</v>
      </c>
      <c r="AV304">
        <f t="shared" si="250"/>
        <v>-2.7251897485409322</v>
      </c>
      <c r="AW304">
        <f t="shared" si="251"/>
        <v>-1872.056376560638</v>
      </c>
      <c r="AX304">
        <f t="shared" si="252"/>
        <v>-12511.477365988125</v>
      </c>
      <c r="AY304">
        <f t="shared" si="260"/>
        <v>-1.719321583668469</v>
      </c>
      <c r="BA304">
        <f t="shared" si="237"/>
        <v>2.3567588114168077</v>
      </c>
      <c r="BB304">
        <f t="shared" si="253"/>
        <v>7.4463027898123464</v>
      </c>
      <c r="BC304">
        <f t="shared" si="254"/>
        <v>-1.0058681648724632</v>
      </c>
      <c r="BD304">
        <f t="shared" si="238"/>
        <v>-237.63200065961556</v>
      </c>
      <c r="BF304">
        <f t="shared" si="239"/>
        <v>-40.625716291960444</v>
      </c>
      <c r="BG304">
        <f t="shared" si="240"/>
        <v>-234.27046234250787</v>
      </c>
      <c r="BH304">
        <f t="shared" si="255"/>
        <v>-54.270462342507869</v>
      </c>
      <c r="BI304">
        <f t="shared" si="256"/>
        <v>-54.270462342507869</v>
      </c>
      <c r="BJ304">
        <f t="shared" si="241"/>
        <v>0</v>
      </c>
      <c r="BK304">
        <f t="shared" si="257"/>
        <v>0</v>
      </c>
      <c r="BM304">
        <f t="shared" si="258"/>
        <v>-48.072019081772794</v>
      </c>
      <c r="BN304">
        <f t="shared" si="242"/>
        <v>-176.63846168289231</v>
      </c>
      <c r="BQ304" s="56">
        <f t="shared" si="259"/>
        <v>24.348263590097481</v>
      </c>
      <c r="BR304" s="59"/>
      <c r="BS304" s="59"/>
      <c r="BT304" s="59">
        <v>87096.358999999997</v>
      </c>
      <c r="BU304" s="59">
        <v>4.9475499999999997</v>
      </c>
      <c r="BV304" s="59">
        <v>-129.96199999999999</v>
      </c>
      <c r="BY304" s="59"/>
      <c r="BZ304" s="59"/>
      <c r="CA304" s="59"/>
      <c r="CC304" s="59"/>
    </row>
    <row r="305" spans="1:81" x14ac:dyDescent="0.2">
      <c r="A305">
        <f t="shared" si="263"/>
        <v>455000</v>
      </c>
      <c r="B305">
        <f t="shared" si="243"/>
        <v>455</v>
      </c>
      <c r="C305">
        <f t="shared" si="212"/>
        <v>1.0015686432428252</v>
      </c>
      <c r="D305">
        <f t="shared" si="213"/>
        <v>5.5974913116354635E-2</v>
      </c>
      <c r="F305">
        <f t="shared" si="214"/>
        <v>2.5706426781291089E-4</v>
      </c>
      <c r="G305">
        <f t="shared" si="215"/>
        <v>3.272464848235681E-3</v>
      </c>
      <c r="H305">
        <f t="shared" si="216"/>
        <v>-3.1383201851517644</v>
      </c>
      <c r="J305">
        <f t="shared" si="217"/>
        <v>15</v>
      </c>
      <c r="M305">
        <f t="shared" si="218"/>
        <v>2.7488925886312238E-3</v>
      </c>
      <c r="N305">
        <f t="shared" si="219"/>
        <v>-1.5707963250000001</v>
      </c>
      <c r="O305">
        <f t="shared" si="220"/>
        <v>89.358930817749865</v>
      </c>
      <c r="P305">
        <f t="shared" si="221"/>
        <v>1.5596052699587675</v>
      </c>
      <c r="Q305">
        <f t="shared" si="222"/>
        <v>77.675655384828133</v>
      </c>
      <c r="R305">
        <f t="shared" si="223"/>
        <v>1.5579219246335207</v>
      </c>
      <c r="S305">
        <f t="shared" si="224"/>
        <v>0.41449044058705509</v>
      </c>
      <c r="T305">
        <f t="shared" si="225"/>
        <v>-1.1434135176430631</v>
      </c>
      <c r="U305">
        <f t="shared" si="226"/>
        <v>0.41000528540810005</v>
      </c>
      <c r="V305">
        <f t="shared" si="227"/>
        <v>-1.1483364697403846</v>
      </c>
      <c r="X305">
        <f t="shared" si="244"/>
        <v>-38.046033471098951</v>
      </c>
      <c r="Y305">
        <f t="shared" si="228"/>
        <v>-219.29182644630342</v>
      </c>
      <c r="Z305">
        <f t="shared" si="245"/>
        <v>-39.291826446303418</v>
      </c>
      <c r="AC305">
        <v>1</v>
      </c>
      <c r="AD305">
        <f t="shared" si="229"/>
        <v>89.353335230932501</v>
      </c>
      <c r="AE305">
        <f t="shared" si="230"/>
        <v>-3.0653726508621613E-2</v>
      </c>
      <c r="AF305">
        <f t="shared" si="231"/>
        <v>1.377965368143E-2</v>
      </c>
      <c r="AG305">
        <f t="shared" si="246"/>
        <v>1062.9239560825204</v>
      </c>
      <c r="AH305">
        <f t="shared" si="247"/>
        <v>-2437.1135171904143</v>
      </c>
      <c r="AJ305">
        <f t="shared" si="232"/>
        <v>26400</v>
      </c>
      <c r="AK305">
        <f t="shared" si="233"/>
        <v>57963.741560524802</v>
      </c>
      <c r="AL305">
        <v>1</v>
      </c>
      <c r="AM305">
        <f t="shared" si="234"/>
        <v>77.669218094832004</v>
      </c>
      <c r="AN305">
        <f t="shared" si="248"/>
        <v>750.54162612588664</v>
      </c>
      <c r="AO305">
        <f t="shared" si="249"/>
        <v>-330.23968829655041</v>
      </c>
      <c r="AQ305">
        <f t="shared" si="235"/>
        <v>1.207582166909592E-2</v>
      </c>
      <c r="AR305">
        <f t="shared" si="236"/>
        <v>-10.988997718877286</v>
      </c>
      <c r="AT305">
        <f t="shared" si="261"/>
        <v>-26768.599200909001</v>
      </c>
      <c r="AU305">
        <f t="shared" si="262"/>
        <v>-11709.899076951771</v>
      </c>
      <c r="AV305">
        <f t="shared" si="250"/>
        <v>-2.7292249527148473</v>
      </c>
      <c r="AW305">
        <f t="shared" si="251"/>
        <v>-1810.8885259665124</v>
      </c>
      <c r="AX305">
        <f t="shared" si="252"/>
        <v>-12381.650599856395</v>
      </c>
      <c r="AY305">
        <f t="shared" si="260"/>
        <v>-1.7160224937585453</v>
      </c>
      <c r="BA305">
        <f t="shared" si="237"/>
        <v>2.3349250992946926</v>
      </c>
      <c r="BB305">
        <f t="shared" si="253"/>
        <v>7.3654590729056686</v>
      </c>
      <c r="BC305">
        <f t="shared" si="254"/>
        <v>-1.013202458956302</v>
      </c>
      <c r="BD305">
        <f t="shared" si="238"/>
        <v>-238.05222475680745</v>
      </c>
      <c r="BF305">
        <f t="shared" si="239"/>
        <v>-40.898267089637237</v>
      </c>
      <c r="BG305">
        <f t="shared" si="240"/>
        <v>-234.65760004834107</v>
      </c>
      <c r="BH305">
        <f t="shared" si="255"/>
        <v>-54.657600048341067</v>
      </c>
      <c r="BI305">
        <f t="shared" si="256"/>
        <v>-54.657600048341067</v>
      </c>
      <c r="BJ305">
        <f t="shared" si="241"/>
        <v>0</v>
      </c>
      <c r="BK305">
        <f t="shared" si="257"/>
        <v>0</v>
      </c>
      <c r="BM305">
        <f t="shared" si="258"/>
        <v>-48.263726162542902</v>
      </c>
      <c r="BN305">
        <f t="shared" si="242"/>
        <v>-176.60537529153365</v>
      </c>
      <c r="BQ305" s="56">
        <f t="shared" si="259"/>
        <v>24.267419873190804</v>
      </c>
      <c r="BR305" s="59"/>
      <c r="BS305" s="59"/>
      <c r="BT305" s="59">
        <v>89125.093999999997</v>
      </c>
      <c r="BU305" s="59">
        <v>5.2143100000000002</v>
      </c>
      <c r="BV305" s="59">
        <v>-129.73099999999999</v>
      </c>
      <c r="BY305" s="59"/>
      <c r="BZ305" s="59"/>
      <c r="CA305" s="59"/>
      <c r="CC305" s="59"/>
    </row>
    <row r="306" spans="1:81" x14ac:dyDescent="0.2">
      <c r="A306">
        <f t="shared" si="263"/>
        <v>460000</v>
      </c>
      <c r="B306">
        <f t="shared" si="243"/>
        <v>460</v>
      </c>
      <c r="C306">
        <f t="shared" si="212"/>
        <v>1.0016032806003403</v>
      </c>
      <c r="D306">
        <f t="shared" si="213"/>
        <v>5.6588716832077154E-2</v>
      </c>
      <c r="F306">
        <f t="shared" si="214"/>
        <v>2.5150491612525958E-4</v>
      </c>
      <c r="G306">
        <f t="shared" si="215"/>
        <v>3.2368768273164684E-3</v>
      </c>
      <c r="H306">
        <f t="shared" si="216"/>
        <v>-3.1383557731726839</v>
      </c>
      <c r="J306">
        <f t="shared" si="217"/>
        <v>15</v>
      </c>
      <c r="M306">
        <f t="shared" si="218"/>
        <v>2.7190133213634928E-3</v>
      </c>
      <c r="N306">
        <f t="shared" si="219"/>
        <v>-1.5707963250000001</v>
      </c>
      <c r="O306">
        <f t="shared" si="220"/>
        <v>90.340774782658258</v>
      </c>
      <c r="P306">
        <f t="shared" si="221"/>
        <v>1.5597269018898552</v>
      </c>
      <c r="Q306">
        <f t="shared" si="222"/>
        <v>78.529093311141253</v>
      </c>
      <c r="R306">
        <f t="shared" si="223"/>
        <v>1.558061848575828</v>
      </c>
      <c r="S306">
        <f t="shared" si="224"/>
        <v>0.41074868968045436</v>
      </c>
      <c r="T306">
        <f t="shared" si="225"/>
        <v>-1.1475212583244336</v>
      </c>
      <c r="U306">
        <f t="shared" si="226"/>
        <v>0.40628772113761252</v>
      </c>
      <c r="V306">
        <f t="shared" si="227"/>
        <v>-1.1524086588306088</v>
      </c>
      <c r="X306">
        <f t="shared" si="244"/>
        <v>-38.298618215558363</v>
      </c>
      <c r="Y306">
        <f t="shared" si="228"/>
        <v>-219.71238653279696</v>
      </c>
      <c r="Z306">
        <f t="shared" si="245"/>
        <v>-39.712386532796955</v>
      </c>
      <c r="AC306">
        <v>1</v>
      </c>
      <c r="AD306">
        <f t="shared" si="229"/>
        <v>90.335240013690012</v>
      </c>
      <c r="AE306">
        <f t="shared" si="230"/>
        <v>-3.1331136477354589E-2</v>
      </c>
      <c r="AF306">
        <f t="shared" si="231"/>
        <v>1.393107844716E-2</v>
      </c>
      <c r="AG306">
        <f t="shared" si="246"/>
        <v>1043.7360384305684</v>
      </c>
      <c r="AH306">
        <f t="shared" si="247"/>
        <v>-2419.1548697561138</v>
      </c>
      <c r="AJ306">
        <f t="shared" si="232"/>
        <v>26400</v>
      </c>
      <c r="AK306">
        <f t="shared" si="233"/>
        <v>58600.705753497605</v>
      </c>
      <c r="AL306">
        <v>1</v>
      </c>
      <c r="AM306">
        <f t="shared" si="234"/>
        <v>78.52272598598401</v>
      </c>
      <c r="AN306">
        <f t="shared" si="248"/>
        <v>750.4497113489557</v>
      </c>
      <c r="AO306">
        <f t="shared" si="249"/>
        <v>-326.65129701724038</v>
      </c>
      <c r="AQ306">
        <f t="shared" si="235"/>
        <v>1.1814730842709308E-2</v>
      </c>
      <c r="AR306">
        <f t="shared" si="236"/>
        <v>-10.869552375292562</v>
      </c>
      <c r="AT306">
        <f t="shared" si="261"/>
        <v>-26282.79910039324</v>
      </c>
      <c r="AU306">
        <f t="shared" si="262"/>
        <v>-11373.525199354432</v>
      </c>
      <c r="AV306">
        <f t="shared" si="250"/>
        <v>-2.7331874544368779</v>
      </c>
      <c r="AW306">
        <f t="shared" si="251"/>
        <v>-1751.8441872102185</v>
      </c>
      <c r="AX306">
        <f t="shared" si="252"/>
        <v>-12254.462784216368</v>
      </c>
      <c r="AY306">
        <f t="shared" si="260"/>
        <v>-1.7127898766426204</v>
      </c>
      <c r="BA306">
        <f t="shared" si="237"/>
        <v>2.3134358333386724</v>
      </c>
      <c r="BB306">
        <f t="shared" si="253"/>
        <v>7.2851491636999199</v>
      </c>
      <c r="BC306">
        <f t="shared" si="254"/>
        <v>-1.0203975777942575</v>
      </c>
      <c r="BD306">
        <f t="shared" si="238"/>
        <v>-238.46447469978844</v>
      </c>
      <c r="BF306">
        <f t="shared" si="239"/>
        <v>-41.16818131733703</v>
      </c>
      <c r="BG306">
        <f t="shared" si="240"/>
        <v>-235.03672067232378</v>
      </c>
      <c r="BH306">
        <f t="shared" si="255"/>
        <v>-55.036720672323781</v>
      </c>
      <c r="BI306">
        <f t="shared" si="256"/>
        <v>-55.036720672323781</v>
      </c>
      <c r="BJ306">
        <f t="shared" si="241"/>
        <v>0</v>
      </c>
      <c r="BK306">
        <f t="shared" si="257"/>
        <v>0</v>
      </c>
      <c r="BM306">
        <f t="shared" si="258"/>
        <v>-48.453330481036957</v>
      </c>
      <c r="BN306">
        <f t="shared" si="242"/>
        <v>-176.57224597253537</v>
      </c>
      <c r="BQ306" s="56">
        <f t="shared" si="259"/>
        <v>24.187109963985058</v>
      </c>
      <c r="BR306" s="59"/>
      <c r="BS306" s="59"/>
      <c r="BT306" s="59">
        <v>91201.084000000003</v>
      </c>
      <c r="BU306" s="59">
        <v>5.4050900000000004</v>
      </c>
      <c r="BV306" s="59">
        <v>-129.68299999999999</v>
      </c>
      <c r="BY306" s="59"/>
      <c r="BZ306" s="59"/>
      <c r="CA306" s="59"/>
      <c r="CC306" s="59"/>
    </row>
    <row r="307" spans="1:81" x14ac:dyDescent="0.2">
      <c r="A307">
        <f t="shared" si="263"/>
        <v>465000</v>
      </c>
      <c r="B307">
        <f t="shared" si="243"/>
        <v>465</v>
      </c>
      <c r="C307">
        <f t="shared" si="212"/>
        <v>1.0016382952907192</v>
      </c>
      <c r="D307">
        <f t="shared" si="213"/>
        <v>5.7202477865035482E-2</v>
      </c>
      <c r="F307">
        <f t="shared" si="214"/>
        <v>2.4612399010733005E-4</v>
      </c>
      <c r="G307">
        <f t="shared" si="215"/>
        <v>3.202054703760661E-3</v>
      </c>
      <c r="H307">
        <f t="shared" si="216"/>
        <v>-3.1383905952962396</v>
      </c>
      <c r="J307">
        <f t="shared" si="217"/>
        <v>15</v>
      </c>
      <c r="M307">
        <f t="shared" si="218"/>
        <v>2.6897766189832402E-3</v>
      </c>
      <c r="N307">
        <f t="shared" si="219"/>
        <v>-1.5707963250000001</v>
      </c>
      <c r="O307">
        <f t="shared" si="220"/>
        <v>91.322620055358456</v>
      </c>
      <c r="P307">
        <f t="shared" si="221"/>
        <v>1.5598459183975677</v>
      </c>
      <c r="Q307">
        <f t="shared" si="222"/>
        <v>79.382532741893499</v>
      </c>
      <c r="R307">
        <f t="shared" si="223"/>
        <v>1.558198763883841</v>
      </c>
      <c r="S307">
        <f t="shared" si="224"/>
        <v>0.40706720523368939</v>
      </c>
      <c r="T307">
        <f t="shared" si="225"/>
        <v>-1.1515554318259844</v>
      </c>
      <c r="U307">
        <f t="shared" si="226"/>
        <v>0.40263046850668466</v>
      </c>
      <c r="V307">
        <f t="shared" si="227"/>
        <v>-1.1564076005468396</v>
      </c>
      <c r="X307">
        <f t="shared" si="244"/>
        <v>-38.549031863245744</v>
      </c>
      <c r="Y307">
        <f t="shared" si="228"/>
        <v>-220.1248155626005</v>
      </c>
      <c r="Z307">
        <f t="shared" si="245"/>
        <v>-40.124815562600503</v>
      </c>
      <c r="AC307">
        <v>1</v>
      </c>
      <c r="AD307">
        <f t="shared" si="229"/>
        <v>91.317144796447494</v>
      </c>
      <c r="AE307">
        <f t="shared" si="230"/>
        <v>-3.2015949833723988E-2</v>
      </c>
      <c r="AF307">
        <f t="shared" si="231"/>
        <v>1.408250321289E-2</v>
      </c>
      <c r="AG307">
        <f t="shared" si="246"/>
        <v>1025.0299558641757</v>
      </c>
      <c r="AH307">
        <f t="shared" si="247"/>
        <v>-2401.3704903016173</v>
      </c>
      <c r="AJ307">
        <f t="shared" si="232"/>
        <v>26400</v>
      </c>
      <c r="AK307">
        <f t="shared" si="233"/>
        <v>59237.669946470407</v>
      </c>
      <c r="AL307">
        <v>1</v>
      </c>
      <c r="AM307">
        <f t="shared" si="234"/>
        <v>79.376233877136002</v>
      </c>
      <c r="AN307">
        <f t="shared" si="248"/>
        <v>750.36074496758101</v>
      </c>
      <c r="AO307">
        <f t="shared" si="249"/>
        <v>-323.14003829829841</v>
      </c>
      <c r="AQ307">
        <f t="shared" si="235"/>
        <v>1.1562016924480374E-2</v>
      </c>
      <c r="AR307">
        <f t="shared" si="236"/>
        <v>-10.752675739766747</v>
      </c>
      <c r="AT307">
        <f t="shared" si="261"/>
        <v>-25809.306799560178</v>
      </c>
      <c r="AU307">
        <f t="shared" si="262"/>
        <v>-11049.579425205717</v>
      </c>
      <c r="AV307">
        <f t="shared" si="250"/>
        <v>-2.7370790673362699</v>
      </c>
      <c r="AW307">
        <f t="shared" si="251"/>
        <v>-1694.8266102104599</v>
      </c>
      <c r="AX307">
        <f t="shared" si="252"/>
        <v>-12129.833938453372</v>
      </c>
      <c r="AY307">
        <f t="shared" si="260"/>
        <v>-1.7096213770839472</v>
      </c>
      <c r="BA307">
        <f t="shared" si="237"/>
        <v>2.292285073115031</v>
      </c>
      <c r="BB307">
        <f t="shared" si="253"/>
        <v>7.2053725275311127</v>
      </c>
      <c r="BC307">
        <f t="shared" si="254"/>
        <v>-1.0274576902523227</v>
      </c>
      <c r="BD307">
        <f t="shared" si="238"/>
        <v>-238.86898934698553</v>
      </c>
      <c r="BF307">
        <f t="shared" si="239"/>
        <v>-41.43550493989337</v>
      </c>
      <c r="BG307">
        <f t="shared" si="240"/>
        <v>-235.40806456337833</v>
      </c>
      <c r="BH307">
        <f t="shared" si="255"/>
        <v>-55.408064563378332</v>
      </c>
      <c r="BI307">
        <f t="shared" si="256"/>
        <v>-55.408064563378332</v>
      </c>
      <c r="BJ307">
        <f t="shared" si="241"/>
        <v>0</v>
      </c>
      <c r="BK307">
        <f t="shared" si="257"/>
        <v>0</v>
      </c>
      <c r="BM307">
        <f t="shared" si="258"/>
        <v>-48.640877467424481</v>
      </c>
      <c r="BN307">
        <f t="shared" si="242"/>
        <v>-176.5390752163928</v>
      </c>
      <c r="BQ307" s="56">
        <f t="shared" si="259"/>
        <v>24.107333327816249</v>
      </c>
      <c r="BR307" s="59"/>
      <c r="BS307" s="59"/>
      <c r="BT307" s="59">
        <v>93325.43</v>
      </c>
      <c r="BU307" s="59">
        <v>5.6014999999999997</v>
      </c>
      <c r="BV307" s="59">
        <v>-129.64400000000001</v>
      </c>
      <c r="BY307" s="59"/>
      <c r="BZ307" s="59"/>
      <c r="CA307" s="59"/>
      <c r="CC307" s="59"/>
    </row>
    <row r="308" spans="1:81" x14ac:dyDescent="0.2">
      <c r="A308">
        <f t="shared" si="263"/>
        <v>470000</v>
      </c>
      <c r="B308">
        <f t="shared" si="243"/>
        <v>470</v>
      </c>
      <c r="C308">
        <f t="shared" si="212"/>
        <v>1.0016736872743917</v>
      </c>
      <c r="D308">
        <f t="shared" si="213"/>
        <v>5.7816195757319382E-2</v>
      </c>
      <c r="F308">
        <f t="shared" si="214"/>
        <v>2.4091393470669951E-4</v>
      </c>
      <c r="G308">
        <f t="shared" si="215"/>
        <v>3.1679740104257233E-3</v>
      </c>
      <c r="H308">
        <f t="shared" si="216"/>
        <v>-3.1384246759895746</v>
      </c>
      <c r="J308">
        <f t="shared" si="217"/>
        <v>15</v>
      </c>
      <c r="M308">
        <f t="shared" si="218"/>
        <v>2.6611619741004401E-3</v>
      </c>
      <c r="N308">
        <f t="shared" si="219"/>
        <v>-1.5707963250000001</v>
      </c>
      <c r="O308">
        <f t="shared" si="220"/>
        <v>92.304466594117457</v>
      </c>
      <c r="P308">
        <f t="shared" si="221"/>
        <v>1.5599624029395878</v>
      </c>
      <c r="Q308">
        <f t="shared" si="222"/>
        <v>80.235973629078487</v>
      </c>
      <c r="R308">
        <f t="shared" si="223"/>
        <v>1.5583327665575915</v>
      </c>
      <c r="S308">
        <f t="shared" si="224"/>
        <v>0.40344473595596653</v>
      </c>
      <c r="T308">
        <f t="shared" si="225"/>
        <v>-1.1555178690739074</v>
      </c>
      <c r="U308">
        <f t="shared" si="226"/>
        <v>0.39903225964676992</v>
      </c>
      <c r="V308">
        <f t="shared" si="227"/>
        <v>-1.1603351290338246</v>
      </c>
      <c r="X308">
        <f t="shared" si="244"/>
        <v>-38.797306816759658</v>
      </c>
      <c r="Y308">
        <f t="shared" si="228"/>
        <v>-220.52931467474158</v>
      </c>
      <c r="Z308">
        <f t="shared" si="245"/>
        <v>-40.529314674741585</v>
      </c>
      <c r="AC308">
        <v>1</v>
      </c>
      <c r="AD308">
        <f t="shared" si="229"/>
        <v>92.299049579205004</v>
      </c>
      <c r="AE308">
        <f t="shared" si="230"/>
        <v>-3.2708166577729805E-2</v>
      </c>
      <c r="AF308">
        <f t="shared" si="231"/>
        <v>1.423392797862E-2</v>
      </c>
      <c r="AG308">
        <f t="shared" si="246"/>
        <v>1006.7909423290068</v>
      </c>
      <c r="AH308">
        <f t="shared" si="247"/>
        <v>-2383.7612429690198</v>
      </c>
      <c r="AJ308">
        <f t="shared" si="232"/>
        <v>26400</v>
      </c>
      <c r="AK308">
        <f t="shared" si="233"/>
        <v>59874.634139443209</v>
      </c>
      <c r="AL308">
        <v>1</v>
      </c>
      <c r="AM308">
        <f t="shared" si="234"/>
        <v>80.229741768288008</v>
      </c>
      <c r="AN308">
        <f t="shared" si="248"/>
        <v>750.27460222055981</v>
      </c>
      <c r="AO308">
        <f t="shared" si="249"/>
        <v>-319.70345201731504</v>
      </c>
      <c r="AQ308">
        <f t="shared" si="235"/>
        <v>1.131732535386447E-2</v>
      </c>
      <c r="AR308">
        <f t="shared" si="236"/>
        <v>-10.638285832632603</v>
      </c>
      <c r="AT308">
        <f t="shared" si="261"/>
        <v>-25347.739278798344</v>
      </c>
      <c r="AU308">
        <f t="shared" si="262"/>
        <v>-10737.507619754115</v>
      </c>
      <c r="AV308">
        <f t="shared" si="250"/>
        <v>-2.7409015502981195</v>
      </c>
      <c r="AW308">
        <f t="shared" si="251"/>
        <v>-1639.7444481538535</v>
      </c>
      <c r="AX308">
        <f t="shared" si="252"/>
        <v>-12007.687340656434</v>
      </c>
      <c r="AY308">
        <f t="shared" si="260"/>
        <v>-1.7065147433354153</v>
      </c>
      <c r="BA308">
        <f t="shared" si="237"/>
        <v>2.2714668827953237</v>
      </c>
      <c r="BB308">
        <f t="shared" si="253"/>
        <v>7.1261281866572448</v>
      </c>
      <c r="BC308">
        <f t="shared" si="254"/>
        <v>-1.0343868069627042</v>
      </c>
      <c r="BD308">
        <f t="shared" si="238"/>
        <v>-239.26599849069763</v>
      </c>
      <c r="BF308">
        <f t="shared" si="239"/>
        <v>-41.700282906124514</v>
      </c>
      <c r="BG308">
        <f t="shared" si="240"/>
        <v>-235.77186294190389</v>
      </c>
      <c r="BH308">
        <f t="shared" si="255"/>
        <v>-55.77186294190389</v>
      </c>
      <c r="BI308">
        <f t="shared" si="256"/>
        <v>-55.77186294190389</v>
      </c>
      <c r="BJ308">
        <f t="shared" si="241"/>
        <v>0</v>
      </c>
      <c r="BK308">
        <f t="shared" si="257"/>
        <v>0</v>
      </c>
      <c r="BM308">
        <f t="shared" si="258"/>
        <v>-48.826411092781761</v>
      </c>
      <c r="BN308">
        <f t="shared" si="242"/>
        <v>-176.50586445120624</v>
      </c>
      <c r="BQ308" s="56">
        <f t="shared" si="259"/>
        <v>24.028088986942379</v>
      </c>
      <c r="BR308" s="59"/>
      <c r="BS308" s="59"/>
      <c r="BT308" s="59">
        <v>95499.259000000005</v>
      </c>
      <c r="BU308" s="59">
        <v>5.7946099999999996</v>
      </c>
      <c r="BV308" s="59">
        <v>-129.63</v>
      </c>
      <c r="BY308" s="59"/>
      <c r="BZ308" s="59"/>
      <c r="CA308" s="59"/>
      <c r="CC308" s="59"/>
    </row>
    <row r="309" spans="1:81" x14ac:dyDescent="0.2">
      <c r="A309">
        <f t="shared" si="263"/>
        <v>475000</v>
      </c>
      <c r="B309">
        <f t="shared" si="243"/>
        <v>475</v>
      </c>
      <c r="C309">
        <f t="shared" si="212"/>
        <v>1.0017094565113664</v>
      </c>
      <c r="D309">
        <f t="shared" si="213"/>
        <v>5.8429870051213001E-2</v>
      </c>
      <c r="F309">
        <f t="shared" si="214"/>
        <v>2.358675905869199E-4</v>
      </c>
      <c r="G309">
        <f t="shared" si="215"/>
        <v>3.134611311588193E-3</v>
      </c>
      <c r="H309">
        <f t="shared" si="216"/>
        <v>-3.138458038688412</v>
      </c>
      <c r="J309">
        <f t="shared" si="217"/>
        <v>15</v>
      </c>
      <c r="M309">
        <f t="shared" si="218"/>
        <v>2.6331497427941196E-3</v>
      </c>
      <c r="N309">
        <f t="shared" si="219"/>
        <v>-1.5707963250000001</v>
      </c>
      <c r="O309">
        <f t="shared" si="220"/>
        <v>93.286314358959075</v>
      </c>
      <c r="P309">
        <f t="shared" si="221"/>
        <v>1.5600764354602776</v>
      </c>
      <c r="Q309">
        <f t="shared" si="222"/>
        <v>81.089415926710657</v>
      </c>
      <c r="R309">
        <f t="shared" si="223"/>
        <v>1.558463948556051</v>
      </c>
      <c r="S309">
        <f t="shared" si="224"/>
        <v>0.39988005705822366</v>
      </c>
      <c r="T309">
        <f t="shared" si="225"/>
        <v>-1.1594103454691898</v>
      </c>
      <c r="U309">
        <f t="shared" si="226"/>
        <v>0.39549185429074502</v>
      </c>
      <c r="V309">
        <f t="shared" si="227"/>
        <v>-1.1641930223261703</v>
      </c>
      <c r="X309">
        <f t="shared" si="244"/>
        <v>-39.043474870469694</v>
      </c>
      <c r="Y309">
        <f t="shared" si="228"/>
        <v>-220.92607898574036</v>
      </c>
      <c r="Z309">
        <f t="shared" si="245"/>
        <v>-40.926078985740361</v>
      </c>
      <c r="AC309">
        <v>1</v>
      </c>
      <c r="AD309">
        <f t="shared" si="229"/>
        <v>93.2809543619625</v>
      </c>
      <c r="AE309">
        <f t="shared" si="230"/>
        <v>-3.3407786709372056E-2</v>
      </c>
      <c r="AF309">
        <f t="shared" si="231"/>
        <v>1.4385352744350001E-2</v>
      </c>
      <c r="AG309">
        <f t="shared" si="246"/>
        <v>989.00473475523609</v>
      </c>
      <c r="AH309">
        <f t="shared" si="247"/>
        <v>-2366.3277389309596</v>
      </c>
      <c r="AJ309">
        <f t="shared" si="232"/>
        <v>26400</v>
      </c>
      <c r="AK309">
        <f t="shared" si="233"/>
        <v>60511.598332415997</v>
      </c>
      <c r="AL309">
        <v>1</v>
      </c>
      <c r="AM309">
        <f t="shared" si="234"/>
        <v>81.08324965944</v>
      </c>
      <c r="AN309">
        <f t="shared" si="248"/>
        <v>750.19116487630356</v>
      </c>
      <c r="AO309">
        <f t="shared" si="249"/>
        <v>-316.33918155545285</v>
      </c>
      <c r="AQ309">
        <f t="shared" si="235"/>
        <v>1.1080320132609272E-2</v>
      </c>
      <c r="AR309">
        <f t="shared" si="236"/>
        <v>-10.526304125978807</v>
      </c>
      <c r="AT309">
        <f t="shared" si="261"/>
        <v>-24897.726952653309</v>
      </c>
      <c r="AU309">
        <f t="shared" si="262"/>
        <v>-10436.784288952646</v>
      </c>
      <c r="AV309">
        <f t="shared" si="250"/>
        <v>-2.7446566092655216</v>
      </c>
      <c r="AW309">
        <f t="shared" si="251"/>
        <v>-1586.5114029863826</v>
      </c>
      <c r="AX309">
        <f t="shared" si="252"/>
        <v>-11887.949358557982</v>
      </c>
      <c r="AY309">
        <f t="shared" si="260"/>
        <v>-1.7034678219329245</v>
      </c>
      <c r="BA309">
        <f t="shared" si="237"/>
        <v>2.2509753444861151</v>
      </c>
      <c r="BB309">
        <f t="shared" si="253"/>
        <v>7.0474147617405567</v>
      </c>
      <c r="BC309">
        <f t="shared" si="254"/>
        <v>-1.0411887873325971</v>
      </c>
      <c r="BD309">
        <f t="shared" si="238"/>
        <v>-239.65572325866864</v>
      </c>
      <c r="BF309">
        <f t="shared" si="239"/>
        <v>-41.962559169188658</v>
      </c>
      <c r="BG309">
        <f t="shared" si="240"/>
        <v>-236.12833830463768</v>
      </c>
      <c r="BH309">
        <f t="shared" si="255"/>
        <v>-56.12833830463768</v>
      </c>
      <c r="BI309">
        <f t="shared" si="256"/>
        <v>-56.12833830463768</v>
      </c>
      <c r="BJ309">
        <f t="shared" si="241"/>
        <v>0</v>
      </c>
      <c r="BK309">
        <f t="shared" si="257"/>
        <v>0</v>
      </c>
      <c r="BM309">
        <f t="shared" si="258"/>
        <v>-49.009973930929213</v>
      </c>
      <c r="BN309">
        <f t="shared" si="242"/>
        <v>-176.47261504596904</v>
      </c>
      <c r="BQ309" s="56">
        <f t="shared" si="259"/>
        <v>23.949375562025693</v>
      </c>
      <c r="BR309" s="59"/>
      <c r="BS309" s="59"/>
      <c r="BT309" s="59">
        <v>97723.721999999994</v>
      </c>
      <c r="BU309" s="59">
        <v>5.9855799999999997</v>
      </c>
      <c r="BV309" s="59">
        <v>-129.62100000000001</v>
      </c>
      <c r="BY309" s="59"/>
      <c r="BZ309" s="59"/>
      <c r="CA309" s="59"/>
      <c r="CC309" s="59"/>
    </row>
    <row r="310" spans="1:81" x14ac:dyDescent="0.2">
      <c r="A310">
        <f t="shared" si="263"/>
        <v>480000</v>
      </c>
      <c r="B310">
        <f t="shared" si="243"/>
        <v>480</v>
      </c>
      <c r="C310">
        <f t="shared" si="212"/>
        <v>1.0017456029612319</v>
      </c>
      <c r="D310">
        <f t="shared" si="213"/>
        <v>5.9043500289196874E-2</v>
      </c>
      <c r="F310">
        <f t="shared" si="214"/>
        <v>2.3097816951173769E-4</v>
      </c>
      <c r="G310">
        <f t="shared" si="215"/>
        <v>3.1019441491486172E-3</v>
      </c>
      <c r="H310">
        <f t="shared" si="216"/>
        <v>-3.1384907058508515</v>
      </c>
      <c r="J310">
        <f t="shared" si="217"/>
        <v>15</v>
      </c>
      <c r="M310">
        <f t="shared" si="218"/>
        <v>2.6057210996400138E-3</v>
      </c>
      <c r="N310">
        <f t="shared" si="219"/>
        <v>-1.5707963250000001</v>
      </c>
      <c r="O310">
        <f t="shared" si="220"/>
        <v>94.268163311572607</v>
      </c>
      <c r="P310">
        <f t="shared" si="221"/>
        <v>1.5601880925736227</v>
      </c>
      <c r="Q310">
        <f t="shared" si="222"/>
        <v>81.942859590720261</v>
      </c>
      <c r="R310">
        <f t="shared" si="223"/>
        <v>1.5585923980075387</v>
      </c>
      <c r="S310">
        <f t="shared" si="224"/>
        <v>0.39637197000471946</v>
      </c>
      <c r="T310">
        <f t="shared" si="225"/>
        <v>-1.1632345827539596</v>
      </c>
      <c r="U310">
        <f t="shared" si="226"/>
        <v>0.39200803946096696</v>
      </c>
      <c r="V310">
        <f t="shared" si="227"/>
        <v>-1.1679830042599852</v>
      </c>
      <c r="X310">
        <f t="shared" si="244"/>
        <v>-39.287567221952251</v>
      </c>
      <c r="Y310">
        <f t="shared" si="228"/>
        <v>-221.31529778661749</v>
      </c>
      <c r="Z310">
        <f t="shared" si="245"/>
        <v>-41.315297786617492</v>
      </c>
      <c r="AC310">
        <v>1</v>
      </c>
      <c r="AD310">
        <f t="shared" si="229"/>
        <v>94.262859144720011</v>
      </c>
      <c r="AE310">
        <f t="shared" si="230"/>
        <v>-3.4114810228650733E-2</v>
      </c>
      <c r="AF310">
        <f t="shared" si="231"/>
        <v>1.453677751008E-2</v>
      </c>
      <c r="AG310">
        <f t="shared" si="246"/>
        <v>971.65755606583321</v>
      </c>
      <c r="AH310">
        <f t="shared" si="247"/>
        <v>-2349.0703568065092</v>
      </c>
      <c r="AJ310">
        <f t="shared" si="232"/>
        <v>26400</v>
      </c>
      <c r="AK310">
        <f t="shared" si="233"/>
        <v>61148.562525388799</v>
      </c>
      <c r="AL310">
        <v>1</v>
      </c>
      <c r="AM310">
        <f t="shared" si="234"/>
        <v>81.93675755059202</v>
      </c>
      <c r="AN310">
        <f t="shared" si="248"/>
        <v>750.1103208270207</v>
      </c>
      <c r="AO310">
        <f t="shared" si="249"/>
        <v>-313.04496841158743</v>
      </c>
      <c r="AQ310">
        <f t="shared" si="235"/>
        <v>1.0850682670700227E-2</v>
      </c>
      <c r="AR310">
        <f t="shared" si="236"/>
        <v>-10.416655363872218</v>
      </c>
      <c r="AT310">
        <f t="shared" si="261"/>
        <v>-24458.91318453629</v>
      </c>
      <c r="AU310">
        <f t="shared" si="262"/>
        <v>-10146.910910252989</v>
      </c>
      <c r="AV310">
        <f t="shared" si="250"/>
        <v>-2.748345898986249</v>
      </c>
      <c r="AW310">
        <f t="shared" si="251"/>
        <v>-1535.0458974659498</v>
      </c>
      <c r="AX310">
        <f t="shared" si="252"/>
        <v>-11770.549291229989</v>
      </c>
      <c r="AY310">
        <f t="shared" si="260"/>
        <v>-1.7004785527706319</v>
      </c>
      <c r="BA310">
        <f t="shared" si="237"/>
        <v>2.23080456991653</v>
      </c>
      <c r="BB310">
        <f t="shared" si="253"/>
        <v>6.9692305098950307</v>
      </c>
      <c r="BC310">
        <f t="shared" si="254"/>
        <v>-1.0478673462156172</v>
      </c>
      <c r="BD310">
        <f t="shared" si="238"/>
        <v>-240.03837649633255</v>
      </c>
      <c r="BF310">
        <f t="shared" si="239"/>
        <v>-42.222376707131517</v>
      </c>
      <c r="BG310">
        <f t="shared" si="240"/>
        <v>-236.47770480998193</v>
      </c>
      <c r="BH310">
        <f t="shared" si="255"/>
        <v>-56.47770480998193</v>
      </c>
      <c r="BI310">
        <f t="shared" si="256"/>
        <v>-56.47770480998193</v>
      </c>
      <c r="BJ310">
        <f t="shared" si="241"/>
        <v>0</v>
      </c>
      <c r="BK310">
        <f t="shared" si="257"/>
        <v>0</v>
      </c>
      <c r="BM310">
        <f t="shared" si="258"/>
        <v>-49.191607217026544</v>
      </c>
      <c r="BN310">
        <f t="shared" si="242"/>
        <v>-176.43932831364938</v>
      </c>
      <c r="BQ310" s="56">
        <f t="shared" si="259"/>
        <v>23.871191310180166</v>
      </c>
      <c r="BR310" s="59"/>
      <c r="BS310" s="59"/>
      <c r="BT310" s="59">
        <v>100000</v>
      </c>
      <c r="BU310" s="59">
        <v>6.1811499999999997</v>
      </c>
      <c r="BV310" s="59">
        <v>-129.59</v>
      </c>
      <c r="BY310" s="59"/>
      <c r="BZ310" s="59"/>
      <c r="CA310" s="59"/>
      <c r="CC310" s="59"/>
    </row>
    <row r="311" spans="1:81" x14ac:dyDescent="0.2">
      <c r="A311">
        <f t="shared" si="263"/>
        <v>485000</v>
      </c>
      <c r="B311">
        <f t="shared" si="243"/>
        <v>485</v>
      </c>
      <c r="C311">
        <f t="shared" si="212"/>
        <v>1.0017821265831561</v>
      </c>
      <c r="D311">
        <f t="shared" si="213"/>
        <v>5.9657086013949909E-2</v>
      </c>
      <c r="F311">
        <f t="shared" si="214"/>
        <v>2.2623923149754378E-4</v>
      </c>
      <c r="G311">
        <f t="shared" si="215"/>
        <v>3.0699509921693676E-3</v>
      </c>
      <c r="H311">
        <f t="shared" si="216"/>
        <v>-3.1385226990078308</v>
      </c>
      <c r="J311">
        <f t="shared" si="217"/>
        <v>15</v>
      </c>
      <c r="M311">
        <f t="shared" si="218"/>
        <v>2.578857995520014E-3</v>
      </c>
      <c r="N311">
        <f t="shared" si="219"/>
        <v>-1.5707963250000001</v>
      </c>
      <c r="O311">
        <f t="shared" si="220"/>
        <v>95.250013415226988</v>
      </c>
      <c r="P311">
        <f t="shared" si="221"/>
        <v>1.5602974477348617</v>
      </c>
      <c r="Q311">
        <f t="shared" si="222"/>
        <v>82.796304578854432</v>
      </c>
      <c r="R311">
        <f t="shared" si="223"/>
        <v>1.5587181994071186</v>
      </c>
      <c r="S311">
        <f t="shared" si="224"/>
        <v>0.39291930222856097</v>
      </c>
      <c r="T311">
        <f t="shared" si="225"/>
        <v>-1.1669922508160828</v>
      </c>
      <c r="U311">
        <f t="shared" si="226"/>
        <v>0.38857962912472915</v>
      </c>
      <c r="V311">
        <f t="shared" si="227"/>
        <v>-1.1717067463196265</v>
      </c>
      <c r="X311">
        <f t="shared" si="244"/>
        <v>-39.529614483296584</v>
      </c>
      <c r="Y311">
        <f t="shared" si="228"/>
        <v>-221.69715473384801</v>
      </c>
      <c r="Z311">
        <f t="shared" si="245"/>
        <v>-41.697154733848009</v>
      </c>
      <c r="AC311">
        <v>1</v>
      </c>
      <c r="AD311">
        <f t="shared" si="229"/>
        <v>95.244763927477493</v>
      </c>
      <c r="AE311">
        <f t="shared" si="230"/>
        <v>-3.4829237135565842E-2</v>
      </c>
      <c r="AF311">
        <f t="shared" si="231"/>
        <v>1.4688202275810001E-2</v>
      </c>
      <c r="AG311">
        <f t="shared" si="246"/>
        <v>954.73609859873875</v>
      </c>
      <c r="AH311">
        <f t="shared" si="247"/>
        <v>-2331.989261639681</v>
      </c>
      <c r="AJ311">
        <f t="shared" si="232"/>
        <v>26400</v>
      </c>
      <c r="AK311">
        <f t="shared" si="233"/>
        <v>61785.526718361602</v>
      </c>
      <c r="AL311">
        <v>1</v>
      </c>
      <c r="AM311">
        <f t="shared" si="234"/>
        <v>82.790265441744012</v>
      </c>
      <c r="AN311">
        <f t="shared" si="248"/>
        <v>750.03196371202239</v>
      </c>
      <c r="AO311">
        <f t="shared" si="249"/>
        <v>-309.8186471492445</v>
      </c>
      <c r="AQ311">
        <f t="shared" si="235"/>
        <v>1.0628110715154942E-2</v>
      </c>
      <c r="AR311">
        <f t="shared" si="236"/>
        <v>-10.309267393700294</v>
      </c>
      <c r="AT311">
        <f t="shared" si="261"/>
        <v>-24030.953816521524</v>
      </c>
      <c r="AU311">
        <f t="shared" si="262"/>
        <v>-9867.4143709318651</v>
      </c>
      <c r="AV311">
        <f t="shared" si="250"/>
        <v>-2.7519710247047335</v>
      </c>
      <c r="AW311">
        <f t="shared" si="251"/>
        <v>-1485.2707715481731</v>
      </c>
      <c r="AX311">
        <f t="shared" si="252"/>
        <v>-11655.419220723907</v>
      </c>
      <c r="AY311">
        <f t="shared" si="260"/>
        <v>-1.6975449644428622</v>
      </c>
      <c r="BA311">
        <f t="shared" si="237"/>
        <v>2.2109487106521453</v>
      </c>
      <c r="BB311">
        <f t="shared" si="253"/>
        <v>6.8915733595877153</v>
      </c>
      <c r="BC311">
        <f t="shared" si="254"/>
        <v>-1.0544260602618714</v>
      </c>
      <c r="BD311">
        <f t="shared" si="238"/>
        <v>-240.41416313064548</v>
      </c>
      <c r="BF311">
        <f t="shared" si="239"/>
        <v>-42.479777543539825</v>
      </c>
      <c r="BG311">
        <f t="shared" si="240"/>
        <v>-236.82016864472718</v>
      </c>
      <c r="BH311">
        <f t="shared" si="255"/>
        <v>-56.820168644727175</v>
      </c>
      <c r="BI311">
        <f t="shared" si="256"/>
        <v>-56.820168644727175</v>
      </c>
      <c r="BJ311">
        <f t="shared" si="241"/>
        <v>0</v>
      </c>
      <c r="BK311">
        <f t="shared" si="257"/>
        <v>0</v>
      </c>
      <c r="BM311">
        <f t="shared" si="258"/>
        <v>-49.371350903127542</v>
      </c>
      <c r="BN311">
        <f t="shared" si="242"/>
        <v>-176.4060055140817</v>
      </c>
      <c r="BQ311" s="56">
        <f t="shared" si="259"/>
        <v>23.793534159872852</v>
      </c>
      <c r="BR311" s="59"/>
      <c r="BS311" s="59"/>
      <c r="BT311" s="59">
        <v>102329.299</v>
      </c>
      <c r="BU311" s="59">
        <v>6.3762999999999996</v>
      </c>
      <c r="BV311" s="59">
        <v>-129.61099999999999</v>
      </c>
      <c r="BY311" s="59"/>
      <c r="BZ311" s="59"/>
      <c r="CA311" s="59"/>
      <c r="CC311" s="59"/>
    </row>
    <row r="312" spans="1:81" x14ac:dyDescent="0.2">
      <c r="A312">
        <f t="shared" si="263"/>
        <v>490000</v>
      </c>
      <c r="B312">
        <f t="shared" si="243"/>
        <v>490</v>
      </c>
      <c r="C312">
        <f t="shared" si="212"/>
        <v>1.0018190273358869</v>
      </c>
      <c r="D312">
        <f t="shared" si="213"/>
        <v>6.027062676835146E-2</v>
      </c>
      <c r="F312">
        <f t="shared" si="214"/>
        <v>2.216446635903572E-4</v>
      </c>
      <c r="G312">
        <f t="shared" si="215"/>
        <v>3.038611189506856E-3</v>
      </c>
      <c r="H312">
        <f t="shared" si="216"/>
        <v>-3.1385540388104936</v>
      </c>
      <c r="J312">
        <f t="shared" si="217"/>
        <v>15</v>
      </c>
      <c r="M312">
        <f t="shared" si="218"/>
        <v>2.5525431180147074E-3</v>
      </c>
      <c r="N312">
        <f t="shared" si="219"/>
        <v>-1.5707963250000001</v>
      </c>
      <c r="O312">
        <f t="shared" si="220"/>
        <v>96.231864634690112</v>
      </c>
      <c r="P312">
        <f t="shared" si="221"/>
        <v>1.5604045714016113</v>
      </c>
      <c r="Q312">
        <f t="shared" si="222"/>
        <v>83.649750850584638</v>
      </c>
      <c r="R312">
        <f t="shared" si="223"/>
        <v>1.5588414338019156</v>
      </c>
      <c r="S312">
        <f t="shared" si="224"/>
        <v>0.38952090681600976</v>
      </c>
      <c r="T312">
        <f t="shared" si="225"/>
        <v>-1.170684969433416</v>
      </c>
      <c r="U312">
        <f t="shared" si="226"/>
        <v>0.38520546382178894</v>
      </c>
      <c r="V312">
        <f t="shared" si="227"/>
        <v>-1.1753658694211737</v>
      </c>
      <c r="X312">
        <f t="shared" si="244"/>
        <v>-39.7696466922783</v>
      </c>
      <c r="Y312">
        <f t="shared" si="228"/>
        <v>-222.07182803434964</v>
      </c>
      <c r="Z312">
        <f t="shared" si="245"/>
        <v>-42.071828034349636</v>
      </c>
      <c r="AC312">
        <v>1</v>
      </c>
      <c r="AD312">
        <f t="shared" si="229"/>
        <v>96.226668710235003</v>
      </c>
      <c r="AE312">
        <f t="shared" si="230"/>
        <v>-3.5551067430117371E-2</v>
      </c>
      <c r="AF312">
        <f t="shared" si="231"/>
        <v>1.483962704154E-2</v>
      </c>
      <c r="AG312">
        <f t="shared" si="246"/>
        <v>938.22750795611273</v>
      </c>
      <c r="AH312">
        <f t="shared" si="247"/>
        <v>-2315.0844225377191</v>
      </c>
      <c r="AJ312">
        <f t="shared" si="232"/>
        <v>26400</v>
      </c>
      <c r="AK312">
        <f t="shared" si="233"/>
        <v>62422.490911334404</v>
      </c>
      <c r="AL312">
        <v>1</v>
      </c>
      <c r="AM312">
        <f t="shared" si="234"/>
        <v>83.643773332896018</v>
      </c>
      <c r="AN312">
        <f t="shared" si="248"/>
        <v>749.95599256778655</v>
      </c>
      <c r="AO312">
        <f t="shared" si="249"/>
        <v>-306.65814065258553</v>
      </c>
      <c r="AQ312">
        <f t="shared" si="235"/>
        <v>1.0412317354938198E-2</v>
      </c>
      <c r="AR312">
        <f t="shared" si="236"/>
        <v>-10.204071007839433</v>
      </c>
      <c r="AT312">
        <f t="shared" si="261"/>
        <v>-23613.516714153862</v>
      </c>
      <c r="AU312">
        <f t="shared" si="262"/>
        <v>-9597.8455064033478</v>
      </c>
      <c r="AV312">
        <f t="shared" si="250"/>
        <v>-2.7555335438002508</v>
      </c>
      <c r="AW312">
        <f t="shared" si="251"/>
        <v>-1437.1130010837135</v>
      </c>
      <c r="AX312">
        <f t="shared" si="252"/>
        <v>-11542.493872912542</v>
      </c>
      <c r="AY312">
        <f t="shared" si="260"/>
        <v>-1.6946651698381432</v>
      </c>
      <c r="BA312">
        <f t="shared" si="237"/>
        <v>2.1914019669870637</v>
      </c>
      <c r="BB312">
        <f t="shared" si="253"/>
        <v>6.814440942657372</v>
      </c>
      <c r="BC312">
        <f t="shared" si="254"/>
        <v>-1.0608683739621076</v>
      </c>
      <c r="BD312">
        <f t="shared" si="238"/>
        <v>-240.78328051639011</v>
      </c>
      <c r="BF312">
        <f t="shared" si="239"/>
        <v>-42.734802768224469</v>
      </c>
      <c r="BG312">
        <f t="shared" si="240"/>
        <v>-237.15592837307057</v>
      </c>
      <c r="BH312">
        <f t="shared" si="255"/>
        <v>-57.155928373070566</v>
      </c>
      <c r="BI312">
        <f t="shared" si="256"/>
        <v>-57.155928373070566</v>
      </c>
      <c r="BJ312">
        <f t="shared" si="241"/>
        <v>0</v>
      </c>
      <c r="BK312">
        <f t="shared" si="257"/>
        <v>0</v>
      </c>
      <c r="BM312">
        <f t="shared" si="258"/>
        <v>-49.549243710881832</v>
      </c>
      <c r="BN312">
        <f t="shared" si="242"/>
        <v>-176.37264785668046</v>
      </c>
      <c r="BQ312" s="56">
        <f t="shared" si="259"/>
        <v>23.716401742942509</v>
      </c>
      <c r="BR312" s="59"/>
      <c r="BS312" s="59"/>
      <c r="BT312" s="59">
        <v>104712.855</v>
      </c>
      <c r="BU312" s="59">
        <v>6.5692300000000001</v>
      </c>
      <c r="BV312" s="59">
        <v>-129.61699999999999</v>
      </c>
      <c r="BY312" s="59"/>
      <c r="BZ312" s="59"/>
      <c r="CA312" s="59"/>
      <c r="CC312" s="59"/>
    </row>
    <row r="313" spans="1:81" x14ac:dyDescent="0.2">
      <c r="A313">
        <f t="shared" si="263"/>
        <v>495000</v>
      </c>
      <c r="B313">
        <f t="shared" si="243"/>
        <v>495</v>
      </c>
      <c r="C313">
        <f t="shared" si="212"/>
        <v>1.0018563051777527</v>
      </c>
      <c r="D313">
        <f t="shared" si="213"/>
        <v>6.088412209548328E-2</v>
      </c>
      <c r="F313">
        <f t="shared" si="214"/>
        <v>2.1718866013664944E-4</v>
      </c>
      <c r="G313">
        <f t="shared" si="215"/>
        <v>3.00790492531895E-3</v>
      </c>
      <c r="H313">
        <f t="shared" si="216"/>
        <v>-3.1385847450746813</v>
      </c>
      <c r="J313">
        <f t="shared" si="217"/>
        <v>15</v>
      </c>
      <c r="M313">
        <f t="shared" si="218"/>
        <v>2.5267598541963772E-3</v>
      </c>
      <c r="N313">
        <f t="shared" si="219"/>
        <v>-1.5707963250000001</v>
      </c>
      <c r="O313">
        <f t="shared" si="220"/>
        <v>97.213716936153233</v>
      </c>
      <c r="P313">
        <f t="shared" si="221"/>
        <v>1.5605095311852279</v>
      </c>
      <c r="Q313">
        <f t="shared" si="222"/>
        <v>84.50319836701955</v>
      </c>
      <c r="R313">
        <f t="shared" si="223"/>
        <v>1.5589621789652035</v>
      </c>
      <c r="S313">
        <f t="shared" si="224"/>
        <v>0.38617566216393517</v>
      </c>
      <c r="T313">
        <f t="shared" si="225"/>
        <v>-1.1743143099591964</v>
      </c>
      <c r="U313">
        <f t="shared" si="226"/>
        <v>0.38188441026817543</v>
      </c>
      <c r="V313">
        <f t="shared" si="227"/>
        <v>-1.1789619456343061</v>
      </c>
      <c r="X313">
        <f t="shared" si="244"/>
        <v>-40.007693323397518</v>
      </c>
      <c r="Y313">
        <f t="shared" si="228"/>
        <v>-222.43949062460672</v>
      </c>
      <c r="Z313">
        <f t="shared" si="245"/>
        <v>-42.439490624606719</v>
      </c>
      <c r="AC313">
        <v>1</v>
      </c>
      <c r="AD313">
        <f t="shared" si="229"/>
        <v>97.2085734929925</v>
      </c>
      <c r="AE313">
        <f t="shared" si="230"/>
        <v>-3.6280301112305326E-2</v>
      </c>
      <c r="AF313">
        <f t="shared" si="231"/>
        <v>1.4991051807269999E-2</v>
      </c>
      <c r="AG313">
        <f t="shared" si="246"/>
        <v>922.11936729000911</v>
      </c>
      <c r="AH313">
        <f t="shared" si="247"/>
        <v>-2298.3556290600609</v>
      </c>
      <c r="AJ313">
        <f t="shared" si="232"/>
        <v>26400</v>
      </c>
      <c r="AK313">
        <f t="shared" si="233"/>
        <v>63059.455104307206</v>
      </c>
      <c r="AL313">
        <v>1</v>
      </c>
      <c r="AM313">
        <f t="shared" si="234"/>
        <v>84.49728122404801</v>
      </c>
      <c r="AN313">
        <f t="shared" si="248"/>
        <v>749.88231150262914</v>
      </c>
      <c r="AO313">
        <f t="shared" si="249"/>
        <v>-303.5614556696213</v>
      </c>
      <c r="AQ313">
        <f t="shared" si="235"/>
        <v>1.0203030095877873E-2</v>
      </c>
      <c r="AR313">
        <f t="shared" si="236"/>
        <v>-10.100999794919096</v>
      </c>
      <c r="AT313">
        <f t="shared" si="261"/>
        <v>-23206.281326130371</v>
      </c>
      <c r="AU313">
        <f t="shared" si="262"/>
        <v>-9337.7777315416388</v>
      </c>
      <c r="AV313">
        <f t="shared" si="250"/>
        <v>-2.7590349673723069</v>
      </c>
      <c r="AW313">
        <f t="shared" si="251"/>
        <v>-1390.5034369908997</v>
      </c>
      <c r="AX313">
        <f t="shared" si="252"/>
        <v>-11431.710486855807</v>
      </c>
      <c r="AY313">
        <f t="shared" si="260"/>
        <v>-1.6918373619715392</v>
      </c>
      <c r="BA313">
        <f t="shared" si="237"/>
        <v>2.1721585956509331</v>
      </c>
      <c r="BB313">
        <f t="shared" si="253"/>
        <v>6.7378306236909689</v>
      </c>
      <c r="BC313">
        <f t="shared" si="254"/>
        <v>-1.0671976054007677</v>
      </c>
      <c r="BD313">
        <f t="shared" si="238"/>
        <v>-241.14591876580121</v>
      </c>
      <c r="BF313">
        <f t="shared" si="239"/>
        <v>-42.987492557866901</v>
      </c>
      <c r="BG313">
        <f t="shared" si="240"/>
        <v>-237.48517526879044</v>
      </c>
      <c r="BH313">
        <f t="shared" si="255"/>
        <v>-57.485175268790442</v>
      </c>
      <c r="BI313">
        <f t="shared" si="256"/>
        <v>-57.485175268790442</v>
      </c>
      <c r="BJ313">
        <f t="shared" si="241"/>
        <v>0</v>
      </c>
      <c r="BK313">
        <f t="shared" si="257"/>
        <v>0</v>
      </c>
      <c r="BM313">
        <f t="shared" si="258"/>
        <v>-49.725323181557869</v>
      </c>
      <c r="BN313">
        <f t="shared" si="242"/>
        <v>-176.3392565029892</v>
      </c>
      <c r="BQ313" s="56">
        <f t="shared" si="259"/>
        <v>23.639791423976106</v>
      </c>
      <c r="BR313" s="59"/>
      <c r="BS313" s="59"/>
      <c r="BT313" s="59">
        <v>107151.931</v>
      </c>
      <c r="BU313" s="59">
        <v>6.77081</v>
      </c>
      <c r="BV313" s="59">
        <v>-129.57599999999999</v>
      </c>
      <c r="BY313" s="59"/>
      <c r="BZ313" s="59"/>
      <c r="CA313" s="59"/>
      <c r="CC313" s="59"/>
    </row>
    <row r="314" spans="1:81" x14ac:dyDescent="0.2">
      <c r="A314">
        <f t="shared" si="263"/>
        <v>500000</v>
      </c>
      <c r="B314">
        <f t="shared" si="243"/>
        <v>500</v>
      </c>
      <c r="C314">
        <f t="shared" si="212"/>
        <v>1.0018939600666619</v>
      </c>
      <c r="D314">
        <f t="shared" si="213"/>
        <v>6.1497571538631585E-2</v>
      </c>
      <c r="F314">
        <f t="shared" si="214"/>
        <v>2.128657044290305E-4</v>
      </c>
      <c r="G314">
        <f t="shared" si="215"/>
        <v>2.9778131772459828E-3</v>
      </c>
      <c r="H314">
        <f t="shared" si="216"/>
        <v>-3.1386148368227542</v>
      </c>
      <c r="J314">
        <f t="shared" si="217"/>
        <v>15</v>
      </c>
      <c r="M314">
        <f t="shared" si="218"/>
        <v>2.5014922556544136E-3</v>
      </c>
      <c r="N314">
        <f t="shared" si="219"/>
        <v>-1.5707963250000001</v>
      </c>
      <c r="O314">
        <f t="shared" si="220"/>
        <v>98.195570287159768</v>
      </c>
      <c r="P314">
        <f t="shared" si="221"/>
        <v>1.5606123919930917</v>
      </c>
      <c r="Q314">
        <f t="shared" si="222"/>
        <v>85.356647090823245</v>
      </c>
      <c r="R314">
        <f t="shared" si="223"/>
        <v>1.5590805095600515</v>
      </c>
      <c r="S314">
        <f t="shared" si="224"/>
        <v>0.38288247161436023</v>
      </c>
      <c r="T314">
        <f t="shared" si="225"/>
        <v>-1.1778817969500808</v>
      </c>
      <c r="U314">
        <f t="shared" si="226"/>
        <v>0.37861536094006426</v>
      </c>
      <c r="V314">
        <f t="shared" si="227"/>
        <v>-1.182496499844276</v>
      </c>
      <c r="X314">
        <f t="shared" si="244"/>
        <v>-40.243783298778588</v>
      </c>
      <c r="Y314">
        <f t="shared" si="228"/>
        <v>-222.80031034404172</v>
      </c>
      <c r="Z314">
        <f t="shared" si="245"/>
        <v>-42.800310344041719</v>
      </c>
      <c r="AC314">
        <v>1</v>
      </c>
      <c r="AD314">
        <f t="shared" si="229"/>
        <v>98.19047827575001</v>
      </c>
      <c r="AE314">
        <f t="shared" si="230"/>
        <v>-3.7016938182129713E-2</v>
      </c>
      <c r="AF314">
        <f t="shared" si="231"/>
        <v>1.5142476573E-2</v>
      </c>
      <c r="AG314">
        <f t="shared" si="246"/>
        <v>906.39968203051137</v>
      </c>
      <c r="AH314">
        <f t="shared" si="247"/>
        <v>-2281.8025064429776</v>
      </c>
      <c r="AJ314">
        <f t="shared" si="232"/>
        <v>26400</v>
      </c>
      <c r="AK314">
        <f t="shared" si="233"/>
        <v>63696.419297280008</v>
      </c>
      <c r="AL314">
        <v>1</v>
      </c>
      <c r="AM314">
        <f t="shared" si="234"/>
        <v>85.350789115200016</v>
      </c>
      <c r="AN314">
        <f t="shared" si="248"/>
        <v>749.81082939402415</v>
      </c>
      <c r="AO314">
        <f t="shared" si="249"/>
        <v>-300.5266786225643</v>
      </c>
      <c r="AQ314">
        <f t="shared" si="235"/>
        <v>9.9999900000099992E-3</v>
      </c>
      <c r="AR314">
        <f t="shared" si="236"/>
        <v>-9.9999900000099995</v>
      </c>
      <c r="AT314">
        <f t="shared" si="261"/>
        <v>-22808.938258671209</v>
      </c>
      <c r="AU314">
        <f t="shared" si="262"/>
        <v>-9086.8057585637853</v>
      </c>
      <c r="AV314">
        <f t="shared" si="250"/>
        <v>-2.7624767617743107</v>
      </c>
      <c r="AW314">
        <f t="shared" si="251"/>
        <v>-1345.3765632340949</v>
      </c>
      <c r="AX314">
        <f t="shared" si="252"/>
        <v>-11323.008692070043</v>
      </c>
      <c r="AY314">
        <f t="shared" si="260"/>
        <v>-1.6890598100421021</v>
      </c>
      <c r="BA314">
        <f t="shared" si="237"/>
        <v>2.1532129164541032</v>
      </c>
      <c r="BB314">
        <f t="shared" si="253"/>
        <v>6.6617395269777591</v>
      </c>
      <c r="BC314">
        <f t="shared" si="254"/>
        <v>-1.0734169517322085</v>
      </c>
      <c r="BD314">
        <f t="shared" si="238"/>
        <v>-241.50226106233012</v>
      </c>
      <c r="BF314">
        <f t="shared" si="239"/>
        <v>-43.23788619657094</v>
      </c>
      <c r="BG314">
        <f t="shared" si="240"/>
        <v>-237.80809363140679</v>
      </c>
      <c r="BH314">
        <f t="shared" si="255"/>
        <v>-57.808093631406791</v>
      </c>
      <c r="BI314">
        <f t="shared" si="256"/>
        <v>-57.808093631406791</v>
      </c>
      <c r="BJ314">
        <f t="shared" si="241"/>
        <v>0</v>
      </c>
      <c r="BK314">
        <f t="shared" si="257"/>
        <v>0</v>
      </c>
      <c r="BM314">
        <f t="shared" si="258"/>
        <v>-49.899625723548695</v>
      </c>
      <c r="BN314">
        <f t="shared" si="242"/>
        <v>-176.3058325690767</v>
      </c>
      <c r="BQ314" s="56">
        <f t="shared" si="259"/>
        <v>23.563700327262893</v>
      </c>
      <c r="BR314" s="59"/>
      <c r="BS314" s="59"/>
      <c r="BT314" s="59">
        <v>109647.82</v>
      </c>
      <c r="BU314" s="59">
        <v>6.9849899999999998</v>
      </c>
      <c r="BV314" s="59">
        <v>-129.52799999999999</v>
      </c>
      <c r="BY314" s="59"/>
      <c r="BZ314" s="59"/>
      <c r="CA314" s="59"/>
      <c r="CC314" s="59"/>
    </row>
    <row r="315" spans="1:81" x14ac:dyDescent="0.2">
      <c r="A315">
        <f t="shared" si="263"/>
        <v>505000</v>
      </c>
      <c r="B315">
        <f t="shared" si="243"/>
        <v>505</v>
      </c>
      <c r="C315">
        <f t="shared" si="212"/>
        <v>1.0019319919601033</v>
      </c>
      <c r="D315">
        <f t="shared" si="213"/>
        <v>6.2110974641289042E-2</v>
      </c>
      <c r="F315">
        <f t="shared" si="214"/>
        <v>2.0867055161837266E-4</v>
      </c>
      <c r="G315">
        <f t="shared" si="215"/>
        <v>2.9483176770797471E-3</v>
      </c>
      <c r="H315">
        <f t="shared" si="216"/>
        <v>-3.1386443323229205</v>
      </c>
      <c r="J315">
        <f t="shared" si="217"/>
        <v>15</v>
      </c>
      <c r="M315">
        <f t="shared" si="218"/>
        <v>2.4767250055984292E-3</v>
      </c>
      <c r="N315">
        <f t="shared" si="219"/>
        <v>-1.5707963250000001</v>
      </c>
      <c r="O315">
        <f t="shared" si="220"/>
        <v>99.177424656538392</v>
      </c>
      <c r="P315">
        <f t="shared" si="221"/>
        <v>1.5607132161624369</v>
      </c>
      <c r="Q315">
        <f t="shared" si="222"/>
        <v>86.210096986138169</v>
      </c>
      <c r="R315">
        <f t="shared" si="223"/>
        <v>1.5591964972932519</v>
      </c>
      <c r="S315">
        <f t="shared" si="224"/>
        <v>0.37964026306965454</v>
      </c>
      <c r="T315">
        <f t="shared" si="225"/>
        <v>-1.1813889097383761</v>
      </c>
      <c r="U315">
        <f t="shared" si="226"/>
        <v>0.37539723364112298</v>
      </c>
      <c r="V315">
        <f t="shared" si="227"/>
        <v>-1.1859710113557005</v>
      </c>
      <c r="X315">
        <f t="shared" si="244"/>
        <v>-40.477944998928386</v>
      </c>
      <c r="Y315">
        <f t="shared" si="228"/>
        <v>-223.15445010275388</v>
      </c>
      <c r="Z315">
        <f t="shared" si="245"/>
        <v>-43.154450102753884</v>
      </c>
      <c r="AC315">
        <v>1</v>
      </c>
      <c r="AD315">
        <f t="shared" si="229"/>
        <v>99.172383058507492</v>
      </c>
      <c r="AE315">
        <f t="shared" si="230"/>
        <v>-3.776097863959052E-2</v>
      </c>
      <c r="AF315">
        <f t="shared" si="231"/>
        <v>1.5293901338729999E-2</v>
      </c>
      <c r="AG315">
        <f t="shared" si="246"/>
        <v>891.05686505947995</v>
      </c>
      <c r="AH315">
        <f t="shared" si="247"/>
        <v>-2265.4245297392904</v>
      </c>
      <c r="AJ315">
        <f t="shared" si="232"/>
        <v>26400</v>
      </c>
      <c r="AK315">
        <f t="shared" si="233"/>
        <v>64333.383490252811</v>
      </c>
      <c r="AL315">
        <v>1</v>
      </c>
      <c r="AM315">
        <f t="shared" si="234"/>
        <v>86.204297006352007</v>
      </c>
      <c r="AN315">
        <f t="shared" si="248"/>
        <v>749.74145960679061</v>
      </c>
      <c r="AO315">
        <f t="shared" si="249"/>
        <v>-297.55197166683183</v>
      </c>
      <c r="AQ315">
        <f t="shared" si="235"/>
        <v>9.8029508842751838E-3</v>
      </c>
      <c r="AR315">
        <f t="shared" si="236"/>
        <v>-9.900980393117937</v>
      </c>
      <c r="AT315">
        <f t="shared" si="261"/>
        <v>-22421.188864353862</v>
      </c>
      <c r="AU315">
        <f t="shared" si="262"/>
        <v>-8844.5443955041119</v>
      </c>
      <c r="AV315">
        <f t="shared" si="250"/>
        <v>-2.7658603500966858</v>
      </c>
      <c r="AW315">
        <f t="shared" si="251"/>
        <v>-1301.6702720886763</v>
      </c>
      <c r="AX315">
        <f t="shared" si="252"/>
        <v>-11216.330393132772</v>
      </c>
      <c r="AY315">
        <f t="shared" si="260"/>
        <v>-1.6863308557029444</v>
      </c>
      <c r="BA315">
        <f t="shared" si="237"/>
        <v>2.1345593179818625</v>
      </c>
      <c r="BB315">
        <f t="shared" si="253"/>
        <v>6.5861645612415707</v>
      </c>
      <c r="BC315">
        <f t="shared" si="254"/>
        <v>-1.0795294943937415</v>
      </c>
      <c r="BD315">
        <f t="shared" si="238"/>
        <v>-241.85248395932982</v>
      </c>
      <c r="BF315">
        <f t="shared" si="239"/>
        <v>-43.486022096269593</v>
      </c>
      <c r="BG315">
        <f t="shared" si="240"/>
        <v>-238.12486108711991</v>
      </c>
      <c r="BH315">
        <f t="shared" si="255"/>
        <v>-58.124861087119911</v>
      </c>
      <c r="BI315">
        <f t="shared" si="256"/>
        <v>-58.124861087119911</v>
      </c>
      <c r="BJ315">
        <f t="shared" si="241"/>
        <v>0</v>
      </c>
      <c r="BK315">
        <f t="shared" si="257"/>
        <v>0</v>
      </c>
      <c r="BM315">
        <f t="shared" si="258"/>
        <v>-50.072186657511168</v>
      </c>
      <c r="BN315">
        <f t="shared" si="242"/>
        <v>-176.27237712779012</v>
      </c>
      <c r="BQ315" s="56">
        <f t="shared" si="259"/>
        <v>23.488125361526709</v>
      </c>
      <c r="BR315" s="59"/>
      <c r="BS315" s="59"/>
      <c r="BT315" s="59">
        <v>112201.845</v>
      </c>
      <c r="BU315" s="59">
        <v>7.2120699999999998</v>
      </c>
      <c r="BV315" s="59">
        <v>-129.44300000000001</v>
      </c>
      <c r="BY315" s="59"/>
      <c r="BZ315" s="59"/>
      <c r="CA315" s="59"/>
      <c r="CC315" s="59"/>
    </row>
    <row r="316" spans="1:81" x14ac:dyDescent="0.2">
      <c r="A316">
        <f t="shared" si="263"/>
        <v>510000</v>
      </c>
      <c r="B316">
        <f t="shared" si="243"/>
        <v>510</v>
      </c>
      <c r="C316">
        <f t="shared" si="212"/>
        <v>1.0019704008151473</v>
      </c>
      <c r="D316">
        <f t="shared" si="213"/>
        <v>6.2724330947156751E-2</v>
      </c>
      <c r="F316">
        <f t="shared" si="214"/>
        <v>2.0459821279347396E-4</v>
      </c>
      <c r="G316">
        <f t="shared" si="215"/>
        <v>2.9194008737494352E-3</v>
      </c>
      <c r="H316">
        <f t="shared" si="216"/>
        <v>-3.1386732491262506</v>
      </c>
      <c r="J316">
        <f t="shared" si="217"/>
        <v>15</v>
      </c>
      <c r="M316">
        <f t="shared" si="218"/>
        <v>2.4524433878964835E-3</v>
      </c>
      <c r="N316">
        <f t="shared" si="219"/>
        <v>-1.5707963250000001</v>
      </c>
      <c r="O316">
        <f t="shared" si="220"/>
        <v>100.15928001433998</v>
      </c>
      <c r="P316">
        <f t="shared" si="221"/>
        <v>1.560812063586315</v>
      </c>
      <c r="Q316">
        <f t="shared" si="222"/>
        <v>87.063548018512719</v>
      </c>
      <c r="R316">
        <f t="shared" si="223"/>
        <v>1.5593102110601968</v>
      </c>
      <c r="S316">
        <f t="shared" si="224"/>
        <v>0.37644798859157508</v>
      </c>
      <c r="T316">
        <f t="shared" si="225"/>
        <v>-1.1848370839500302</v>
      </c>
      <c r="U316">
        <f t="shared" si="226"/>
        <v>0.37222897105638286</v>
      </c>
      <c r="V316">
        <f t="shared" si="227"/>
        <v>-1.1893869154398971</v>
      </c>
      <c r="X316">
        <f t="shared" si="244"/>
        <v>-40.710206273350387</v>
      </c>
      <c r="Y316">
        <f t="shared" si="228"/>
        <v>-223.5020680437521</v>
      </c>
      <c r="Z316">
        <f t="shared" si="245"/>
        <v>-43.502068043752104</v>
      </c>
      <c r="AC316">
        <v>1</v>
      </c>
      <c r="AD316">
        <f t="shared" si="229"/>
        <v>100.154287841265</v>
      </c>
      <c r="AE316">
        <f t="shared" si="230"/>
        <v>-3.8512422484687746E-2</v>
      </c>
      <c r="AF316">
        <f t="shared" si="231"/>
        <v>1.544532610446E-2</v>
      </c>
      <c r="AG316">
        <f t="shared" si="246"/>
        <v>876.07972233059149</v>
      </c>
      <c r="AH316">
        <f t="shared" si="247"/>
        <v>-2249.2210369473614</v>
      </c>
      <c r="AJ316">
        <f t="shared" si="232"/>
        <v>26400</v>
      </c>
      <c r="AK316">
        <f t="shared" si="233"/>
        <v>64970.347683225606</v>
      </c>
      <c r="AL316">
        <v>1</v>
      </c>
      <c r="AM316">
        <f t="shared" si="234"/>
        <v>87.057804897504013</v>
      </c>
      <c r="AN316">
        <f t="shared" si="248"/>
        <v>749.67411973051514</v>
      </c>
      <c r="AO316">
        <f t="shared" si="249"/>
        <v>-294.63556898164893</v>
      </c>
      <c r="AQ316">
        <f t="shared" si="235"/>
        <v>9.6116785739344731E-3</v>
      </c>
      <c r="AR316">
        <f t="shared" si="236"/>
        <v>-9.8039121454131628</v>
      </c>
      <c r="AT316">
        <f t="shared" si="261"/>
        <v>-22042.744845150843</v>
      </c>
      <c r="AU316">
        <f t="shared" si="262"/>
        <v>-8610.6274197559469</v>
      </c>
      <c r="AV316">
        <f t="shared" si="250"/>
        <v>-2.7691871136006196</v>
      </c>
      <c r="AW316">
        <f t="shared" si="251"/>
        <v>-1259.3256553088395</v>
      </c>
      <c r="AX316">
        <f t="shared" si="252"/>
        <v>-11111.619661101824</v>
      </c>
      <c r="AY316">
        <f t="shared" si="260"/>
        <v>-1.6836489095320628</v>
      </c>
      <c r="BA316">
        <f t="shared" si="237"/>
        <v>2.1161922624376839</v>
      </c>
      <c r="BB316">
        <f t="shared" si="253"/>
        <v>6.5111024423348232</v>
      </c>
      <c r="BC316">
        <f t="shared" si="254"/>
        <v>-1.0855382040685568</v>
      </c>
      <c r="BD316">
        <f t="shared" si="238"/>
        <v>-242.19675766440955</v>
      </c>
      <c r="BF316">
        <f t="shared" si="239"/>
        <v>-43.731937816943841</v>
      </c>
      <c r="BG316">
        <f t="shared" si="240"/>
        <v>-238.43564887528532</v>
      </c>
      <c r="BH316">
        <f t="shared" si="255"/>
        <v>-58.435648875285324</v>
      </c>
      <c r="BI316">
        <f t="shared" si="256"/>
        <v>-58.435648875285324</v>
      </c>
      <c r="BJ316">
        <f t="shared" si="241"/>
        <v>0</v>
      </c>
      <c r="BK316">
        <f t="shared" si="257"/>
        <v>0</v>
      </c>
      <c r="BM316">
        <f t="shared" si="258"/>
        <v>-50.243040259278672</v>
      </c>
      <c r="BN316">
        <f t="shared" si="242"/>
        <v>-176.23889121087578</v>
      </c>
      <c r="BQ316" s="56">
        <f t="shared" si="259"/>
        <v>23.413063242619959</v>
      </c>
      <c r="BR316" s="59"/>
      <c r="BS316" s="59"/>
      <c r="BT316" s="59">
        <v>114815.36199999999</v>
      </c>
      <c r="BU316" s="59">
        <v>7.47248</v>
      </c>
      <c r="BV316" s="59">
        <v>-129.58500000000001</v>
      </c>
      <c r="BY316" s="59"/>
      <c r="BZ316" s="59"/>
      <c r="CA316" s="59"/>
      <c r="CC316" s="59"/>
    </row>
    <row r="317" spans="1:81" x14ac:dyDescent="0.2">
      <c r="A317">
        <f t="shared" si="263"/>
        <v>515000</v>
      </c>
      <c r="B317">
        <f t="shared" si="243"/>
        <v>515</v>
      </c>
      <c r="C317">
        <f t="shared" si="212"/>
        <v>1.0020091865884451</v>
      </c>
      <c r="D317">
        <f t="shared" si="213"/>
        <v>6.3337640000146314E-2</v>
      </c>
      <c r="F317">
        <f t="shared" si="214"/>
        <v>2.006439401379681E-4</v>
      </c>
      <c r="G317">
        <f t="shared" si="215"/>
        <v>2.8910458984668136E-3</v>
      </c>
      <c r="H317">
        <f t="shared" si="216"/>
        <v>-3.1387016041015334</v>
      </c>
      <c r="J317">
        <f t="shared" si="217"/>
        <v>15</v>
      </c>
      <c r="M317">
        <f t="shared" si="218"/>
        <v>2.4286332579169065E-3</v>
      </c>
      <c r="N317">
        <f t="shared" si="219"/>
        <v>-1.5707963250000001</v>
      </c>
      <c r="O317">
        <f t="shared" si="220"/>
        <v>101.14113633177841</v>
      </c>
      <c r="P317">
        <f t="shared" si="221"/>
        <v>1.560908991832221</v>
      </c>
      <c r="Q317">
        <f t="shared" si="222"/>
        <v>87.917000154833033</v>
      </c>
      <c r="R317">
        <f t="shared" si="223"/>
        <v>1.559421717081318</v>
      </c>
      <c r="S317">
        <f t="shared" si="224"/>
        <v>0.37330462398703301</v>
      </c>
      <c r="T317">
        <f t="shared" si="225"/>
        <v>-1.1882277129699514</v>
      </c>
      <c r="U317">
        <f t="shared" si="226"/>
        <v>0.36910954029537524</v>
      </c>
      <c r="V317">
        <f t="shared" si="227"/>
        <v>-1.1927456048274814</v>
      </c>
      <c r="X317">
        <f t="shared" si="244"/>
        <v>-40.940594451011584</v>
      </c>
      <c r="Y317">
        <f t="shared" si="228"/>
        <v>-223.84331769981398</v>
      </c>
      <c r="Z317">
        <f t="shared" si="245"/>
        <v>-43.84331769981398</v>
      </c>
      <c r="AC317">
        <v>1</v>
      </c>
      <c r="AD317">
        <f t="shared" si="229"/>
        <v>101.13619262402251</v>
      </c>
      <c r="AE317">
        <f t="shared" si="230"/>
        <v>-3.9271269717421398E-2</v>
      </c>
      <c r="AF317">
        <f t="shared" si="231"/>
        <v>1.5596750870189999E-2</v>
      </c>
      <c r="AG317">
        <f t="shared" si="246"/>
        <v>861.45743893422514</v>
      </c>
      <c r="AH317">
        <f t="shared" si="247"/>
        <v>-2233.191241198605</v>
      </c>
      <c r="AJ317">
        <f t="shared" si="232"/>
        <v>26400</v>
      </c>
      <c r="AK317">
        <f t="shared" si="233"/>
        <v>65607.311876198408</v>
      </c>
      <c r="AL317">
        <v>1</v>
      </c>
      <c r="AM317">
        <f t="shared" si="234"/>
        <v>87.911312788656019</v>
      </c>
      <c r="AN317">
        <f t="shared" si="248"/>
        <v>749.60873133472865</v>
      </c>
      <c r="AO317">
        <f t="shared" si="249"/>
        <v>-291.77577327653302</v>
      </c>
      <c r="AQ317">
        <f t="shared" si="235"/>
        <v>9.4259502064754398E-3</v>
      </c>
      <c r="AR317">
        <f t="shared" si="236"/>
        <v>-9.7087287126697017</v>
      </c>
      <c r="AT317">
        <f t="shared" si="261"/>
        <v>-21673.327869382993</v>
      </c>
      <c r="AU317">
        <f t="shared" si="262"/>
        <v>-8384.7065215646944</v>
      </c>
      <c r="AV317">
        <f t="shared" si="250"/>
        <v>-2.7724583931036926</v>
      </c>
      <c r="AW317">
        <f t="shared" si="251"/>
        <v>-1218.2868099368986</v>
      </c>
      <c r="AX317">
        <f t="shared" si="252"/>
        <v>-11008.822631270743</v>
      </c>
      <c r="AY317">
        <f t="shared" si="260"/>
        <v>-1.6810124476926784</v>
      </c>
      <c r="BA317">
        <f t="shared" si="237"/>
        <v>2.0981062897254672</v>
      </c>
      <c r="BB317">
        <f t="shared" si="253"/>
        <v>6.4365497140619174</v>
      </c>
      <c r="BC317">
        <f t="shared" si="254"/>
        <v>-1.0914459454110141</v>
      </c>
      <c r="BD317">
        <f t="shared" si="238"/>
        <v>-242.53524631017407</v>
      </c>
      <c r="BF317">
        <f t="shared" si="239"/>
        <v>-43.975670086616049</v>
      </c>
      <c r="BG317">
        <f t="shared" si="240"/>
        <v>-238.74062212114995</v>
      </c>
      <c r="BH317">
        <f t="shared" si="255"/>
        <v>-58.740622121149954</v>
      </c>
      <c r="BI317">
        <f t="shared" si="256"/>
        <v>-58.740622121149954</v>
      </c>
      <c r="BJ317">
        <f t="shared" si="241"/>
        <v>0</v>
      </c>
      <c r="BK317">
        <f t="shared" si="257"/>
        <v>0</v>
      </c>
      <c r="BM317">
        <f t="shared" si="258"/>
        <v>-50.412219800677967</v>
      </c>
      <c r="BN317">
        <f t="shared" si="242"/>
        <v>-176.20537581097588</v>
      </c>
      <c r="BQ317" s="56">
        <f t="shared" si="259"/>
        <v>23.338510514347057</v>
      </c>
      <c r="BR317" s="59"/>
      <c r="BS317" s="59"/>
      <c r="BT317" s="59">
        <v>117489.755</v>
      </c>
      <c r="BU317" s="59">
        <v>7.6753600000000004</v>
      </c>
      <c r="BV317" s="59">
        <v>-129.61699999999999</v>
      </c>
      <c r="BY317" s="59"/>
      <c r="BZ317" s="59"/>
      <c r="CA317" s="59"/>
      <c r="CC317" s="59"/>
    </row>
    <row r="318" spans="1:81" x14ac:dyDescent="0.2">
      <c r="A318">
        <f t="shared" si="263"/>
        <v>520000</v>
      </c>
      <c r="B318">
        <f t="shared" si="243"/>
        <v>520</v>
      </c>
      <c r="C318">
        <f t="shared" si="212"/>
        <v>1.0020483492362287</v>
      </c>
      <c r="D318">
        <f t="shared" si="213"/>
        <v>6.3950901344381736E-2</v>
      </c>
      <c r="F318">
        <f t="shared" si="214"/>
        <v>1.9680321308196975E-4</v>
      </c>
      <c r="G318">
        <f t="shared" si="215"/>
        <v>2.8632365318850611E-3</v>
      </c>
      <c r="H318">
        <f t="shared" si="216"/>
        <v>-3.138729413468115</v>
      </c>
      <c r="J318">
        <f t="shared" si="217"/>
        <v>15</v>
      </c>
      <c r="M318">
        <f t="shared" si="218"/>
        <v>2.4052810150523205E-3</v>
      </c>
      <c r="N318">
        <f t="shared" si="219"/>
        <v>-1.5707963250000001</v>
      </c>
      <c r="O318">
        <f t="shared" si="220"/>
        <v>102.12299358117451</v>
      </c>
      <c r="P318">
        <f t="shared" si="221"/>
        <v>1.5610040562538754</v>
      </c>
      <c r="Q318">
        <f t="shared" si="222"/>
        <v>88.770453363258611</v>
      </c>
      <c r="R318">
        <f t="shared" si="223"/>
        <v>1.5595310790306567</v>
      </c>
      <c r="S318">
        <f t="shared" si="224"/>
        <v>0.37020916838317008</v>
      </c>
      <c r="T318">
        <f t="shared" si="225"/>
        <v>-1.1915621493562316</v>
      </c>
      <c r="U318">
        <f t="shared" si="226"/>
        <v>0.3660379324269814</v>
      </c>
      <c r="V318">
        <f t="shared" si="227"/>
        <v>-1.1960484311479485</v>
      </c>
      <c r="X318">
        <f t="shared" si="244"/>
        <v>-41.169136350659905</v>
      </c>
      <c r="Y318">
        <f t="shared" si="228"/>
        <v>-224.17834814510678</v>
      </c>
      <c r="Z318">
        <f t="shared" si="245"/>
        <v>-44.178348145106781</v>
      </c>
      <c r="AC318">
        <v>1</v>
      </c>
      <c r="AD318">
        <f t="shared" si="229"/>
        <v>102.11809740678</v>
      </c>
      <c r="AE318">
        <f t="shared" si="230"/>
        <v>-4.0037520337791496E-2</v>
      </c>
      <c r="AF318">
        <f t="shared" si="231"/>
        <v>1.574817563592E-2</v>
      </c>
      <c r="AG318">
        <f t="shared" si="246"/>
        <v>847.17956560394714</v>
      </c>
      <c r="AH318">
        <f t="shared" si="247"/>
        <v>-2217.3342420681897</v>
      </c>
      <c r="AJ318">
        <f t="shared" si="232"/>
        <v>26400</v>
      </c>
      <c r="AK318">
        <f t="shared" si="233"/>
        <v>66244.276069171203</v>
      </c>
      <c r="AL318">
        <v>1</v>
      </c>
      <c r="AM318">
        <f t="shared" si="234"/>
        <v>88.764820679808011</v>
      </c>
      <c r="AN318">
        <f t="shared" si="248"/>
        <v>749.54521974047259</v>
      </c>
      <c r="AO318">
        <f t="shared" si="249"/>
        <v>-288.97095249914059</v>
      </c>
      <c r="AQ318">
        <f t="shared" si="235"/>
        <v>9.2455535821435071E-3</v>
      </c>
      <c r="AR318">
        <f t="shared" si="236"/>
        <v>-9.6153757254292476</v>
      </c>
      <c r="AT318">
        <f t="shared" si="261"/>
        <v>-21312.669202278041</v>
      </c>
      <c r="AU318">
        <f t="shared" si="262"/>
        <v>-8166.4503127324515</v>
      </c>
      <c r="AV318">
        <f t="shared" si="250"/>
        <v>-2.7756754903186596</v>
      </c>
      <c r="AW318">
        <f t="shared" si="251"/>
        <v>-1178.5006576031076</v>
      </c>
      <c r="AX318">
        <f t="shared" si="252"/>
        <v>-10907.887406821075</v>
      </c>
      <c r="AY318">
        <f t="shared" si="260"/>
        <v>-1.6784200087724477</v>
      </c>
      <c r="BA318">
        <f t="shared" si="237"/>
        <v>2.0802960208518231</v>
      </c>
      <c r="BB318">
        <f t="shared" si="253"/>
        <v>6.3625027672854637</v>
      </c>
      <c r="BC318">
        <f t="shared" si="254"/>
        <v>-1.0972554815462119</v>
      </c>
      <c r="BD318">
        <f t="shared" si="238"/>
        <v>-242.86810821203002</v>
      </c>
      <c r="BF318">
        <f t="shared" si="239"/>
        <v>-44.217254821086165</v>
      </c>
      <c r="BG318">
        <f t="shared" si="240"/>
        <v>-239.0399400955404</v>
      </c>
      <c r="BH318">
        <f t="shared" si="255"/>
        <v>-59.039940095540402</v>
      </c>
      <c r="BI318">
        <f t="shared" si="256"/>
        <v>-59.039940095540402</v>
      </c>
      <c r="BJ318">
        <f t="shared" si="241"/>
        <v>0</v>
      </c>
      <c r="BK318">
        <f t="shared" si="257"/>
        <v>0</v>
      </c>
      <c r="BM318">
        <f t="shared" si="258"/>
        <v>-50.579757588371635</v>
      </c>
      <c r="BN318">
        <f t="shared" si="242"/>
        <v>-176.17183188351041</v>
      </c>
      <c r="BQ318" s="56">
        <f t="shared" si="259"/>
        <v>23.264463567570601</v>
      </c>
      <c r="BR318" s="59"/>
      <c r="BS318" s="59"/>
      <c r="BT318" s="59">
        <v>120226.443</v>
      </c>
      <c r="BU318" s="59">
        <v>7.9446199999999996</v>
      </c>
      <c r="BV318" s="59">
        <v>-129.863</v>
      </c>
      <c r="BY318" s="59"/>
      <c r="BZ318" s="59"/>
      <c r="CA318" s="59"/>
      <c r="CC318" s="59"/>
    </row>
    <row r="319" spans="1:81" x14ac:dyDescent="0.2">
      <c r="A319">
        <f t="shared" si="263"/>
        <v>525000</v>
      </c>
      <c r="B319">
        <f t="shared" si="243"/>
        <v>525</v>
      </c>
      <c r="C319">
        <f t="shared" si="212"/>
        <v>1.0020878887143125</v>
      </c>
      <c r="D319">
        <f t="shared" si="213"/>
        <v>6.4564114524201563E-2</v>
      </c>
      <c r="F319">
        <f t="shared" si="214"/>
        <v>1.9307172537298629E-4</v>
      </c>
      <c r="G319">
        <f t="shared" si="215"/>
        <v>2.8359571731368148E-3</v>
      </c>
      <c r="H319">
        <f t="shared" si="216"/>
        <v>-3.1387566928268633</v>
      </c>
      <c r="J319">
        <f t="shared" si="217"/>
        <v>15</v>
      </c>
      <c r="M319">
        <f t="shared" si="218"/>
        <v>2.3823735768137271E-3</v>
      </c>
      <c r="N319">
        <f t="shared" si="219"/>
        <v>-1.5707963250000001</v>
      </c>
      <c r="O319">
        <f t="shared" si="220"/>
        <v>103.10485173590349</v>
      </c>
      <c r="P319">
        <f t="shared" si="221"/>
        <v>1.561097310096623</v>
      </c>
      <c r="Q319">
        <f t="shared" si="222"/>
        <v>89.623907613161705</v>
      </c>
      <c r="R319">
        <f t="shared" si="223"/>
        <v>1.5596383581570892</v>
      </c>
      <c r="S319">
        <f t="shared" si="224"/>
        <v>0.36716064379406282</v>
      </c>
      <c r="T319">
        <f t="shared" si="225"/>
        <v>-1.1948417062048402</v>
      </c>
      <c r="U319">
        <f t="shared" si="226"/>
        <v>0.36301316200818623</v>
      </c>
      <c r="V319">
        <f t="shared" si="227"/>
        <v>-1.1992967063179274</v>
      </c>
      <c r="X319">
        <f t="shared" si="244"/>
        <v>-41.395858290989551</v>
      </c>
      <c r="Y319">
        <f t="shared" si="228"/>
        <v>-224.50730414170945</v>
      </c>
      <c r="Z319">
        <f t="shared" si="245"/>
        <v>-44.507304141709454</v>
      </c>
      <c r="AC319">
        <v>1</v>
      </c>
      <c r="AD319">
        <f t="shared" si="229"/>
        <v>103.10000218953749</v>
      </c>
      <c r="AE319">
        <f t="shared" si="230"/>
        <v>-4.0811174345798007E-2</v>
      </c>
      <c r="AF319">
        <f t="shared" si="231"/>
        <v>1.5899600401650001E-2</v>
      </c>
      <c r="AG319">
        <f t="shared" si="246"/>
        <v>833.23600565980678</v>
      </c>
      <c r="AH319">
        <f t="shared" si="247"/>
        <v>-2201.6490360692328</v>
      </c>
      <c r="AJ319">
        <f t="shared" si="232"/>
        <v>26400</v>
      </c>
      <c r="AK319">
        <f t="shared" si="233"/>
        <v>66881.240262143998</v>
      </c>
      <c r="AL319">
        <v>1</v>
      </c>
      <c r="AM319">
        <f t="shared" si="234"/>
        <v>89.618328570960017</v>
      </c>
      <c r="AN319">
        <f t="shared" si="248"/>
        <v>749.48351380701899</v>
      </c>
      <c r="AO319">
        <f t="shared" si="249"/>
        <v>-286.21953673106992</v>
      </c>
      <c r="AQ319">
        <f t="shared" si="235"/>
        <v>9.0702865575632129E-3</v>
      </c>
      <c r="AR319">
        <f t="shared" si="236"/>
        <v>-9.5238008854413732</v>
      </c>
      <c r="AT319">
        <f t="shared" si="261"/>
        <v>-20960.509349805892</v>
      </c>
      <c r="AU319">
        <f t="shared" si="262"/>
        <v>-7955.5433961408316</v>
      </c>
      <c r="AV319">
        <f t="shared" si="250"/>
        <v>-2.7788396691466626</v>
      </c>
      <c r="AW319">
        <f t="shared" si="251"/>
        <v>-1139.9167762650743</v>
      </c>
      <c r="AX319">
        <f t="shared" si="252"/>
        <v>-10808.763967967452</v>
      </c>
      <c r="AY319">
        <f t="shared" si="260"/>
        <v>-1.675870190791483</v>
      </c>
      <c r="BA319">
        <f t="shared" si="237"/>
        <v>2.0627561607213591</v>
      </c>
      <c r="BB319">
        <f t="shared" si="253"/>
        <v>6.2889578574556122</v>
      </c>
      <c r="BC319">
        <f t="shared" si="254"/>
        <v>-1.1029694783551796</v>
      </c>
      <c r="BD319">
        <f t="shared" si="238"/>
        <v>-243.19549611370917</v>
      </c>
      <c r="BF319">
        <f t="shared" si="239"/>
        <v>-44.456727143384178</v>
      </c>
      <c r="BG319">
        <f t="shared" si="240"/>
        <v>-239.33375646215981</v>
      </c>
      <c r="BH319">
        <f t="shared" si="255"/>
        <v>-59.333756462159812</v>
      </c>
      <c r="BI319">
        <f t="shared" si="256"/>
        <v>-59.333756462159812</v>
      </c>
      <c r="BJ319">
        <f t="shared" si="241"/>
        <v>0</v>
      </c>
      <c r="BK319">
        <f t="shared" si="257"/>
        <v>0</v>
      </c>
      <c r="BM319">
        <f t="shared" si="258"/>
        <v>-50.745685000839785</v>
      </c>
      <c r="BN319">
        <f t="shared" si="242"/>
        <v>-176.1382603484507</v>
      </c>
      <c r="BQ319" s="56">
        <f t="shared" si="259"/>
        <v>23.190918657740749</v>
      </c>
      <c r="BR319" s="59"/>
      <c r="BS319" s="59"/>
      <c r="BT319" s="59">
        <v>123026.87699999999</v>
      </c>
      <c r="BU319" s="59">
        <v>8.1865900000000007</v>
      </c>
      <c r="BV319" s="59">
        <v>-130.31299999999999</v>
      </c>
      <c r="BY319" s="59"/>
      <c r="BZ319" s="59"/>
      <c r="CA319" s="59"/>
      <c r="CC319" s="59"/>
    </row>
    <row r="320" spans="1:81" x14ac:dyDescent="0.2">
      <c r="A320">
        <f t="shared" si="263"/>
        <v>530000</v>
      </c>
      <c r="B320">
        <f t="shared" si="243"/>
        <v>530</v>
      </c>
      <c r="C320">
        <f t="shared" si="212"/>
        <v>1.0021278049780924</v>
      </c>
      <c r="D320">
        <f t="shared" si="213"/>
        <v>6.5177279084160739E-2</v>
      </c>
      <c r="F320">
        <f t="shared" si="214"/>
        <v>1.894453729970069E-4</v>
      </c>
      <c r="G320">
        <f t="shared" si="215"/>
        <v>2.8091928106271421E-3</v>
      </c>
      <c r="H320">
        <f t="shared" si="216"/>
        <v>-3.1387834571893731</v>
      </c>
      <c r="J320">
        <f t="shared" si="217"/>
        <v>15</v>
      </c>
      <c r="M320">
        <f t="shared" si="218"/>
        <v>2.3598983543909563E-3</v>
      </c>
      <c r="N320">
        <f t="shared" si="219"/>
        <v>-1.5707963250000001</v>
      </c>
      <c r="O320">
        <f t="shared" si="220"/>
        <v>104.08671077034511</v>
      </c>
      <c r="P320">
        <f t="shared" si="221"/>
        <v>1.5611888045968656</v>
      </c>
      <c r="Q320">
        <f t="shared" si="222"/>
        <v>90.477362875070241</v>
      </c>
      <c r="R320">
        <f t="shared" si="223"/>
        <v>1.5597436133986935</v>
      </c>
      <c r="S320">
        <f t="shared" si="224"/>
        <v>0.36415809468112692</v>
      </c>
      <c r="T320">
        <f t="shared" si="225"/>
        <v>-1.1980676584663443</v>
      </c>
      <c r="U320">
        <f t="shared" si="226"/>
        <v>0.36003426660868643</v>
      </c>
      <c r="V320">
        <f t="shared" si="227"/>
        <v>-1.2024917038797964</v>
      </c>
      <c r="X320">
        <f t="shared" si="244"/>
        <v>-41.620786100652367</v>
      </c>
      <c r="Y320">
        <f t="shared" si="228"/>
        <v>-224.8303262811755</v>
      </c>
      <c r="Z320">
        <f t="shared" si="245"/>
        <v>-44.830326281175502</v>
      </c>
      <c r="AC320">
        <v>1</v>
      </c>
      <c r="AD320">
        <f t="shared" si="229"/>
        <v>104.081906972295</v>
      </c>
      <c r="AE320">
        <f t="shared" si="230"/>
        <v>-4.1592231741440944E-2</v>
      </c>
      <c r="AF320">
        <f t="shared" si="231"/>
        <v>1.6051025167379999E-2</v>
      </c>
      <c r="AG320">
        <f t="shared" si="246"/>
        <v>819.6170023823579</v>
      </c>
      <c r="AH320">
        <f t="shared" si="247"/>
        <v>-2186.1345263867565</v>
      </c>
      <c r="AJ320">
        <f t="shared" si="232"/>
        <v>26400</v>
      </c>
      <c r="AK320">
        <f t="shared" si="233"/>
        <v>67518.204455116807</v>
      </c>
      <c r="AL320">
        <v>1</v>
      </c>
      <c r="AM320">
        <f t="shared" si="234"/>
        <v>90.471836462112009</v>
      </c>
      <c r="AN320">
        <f t="shared" si="248"/>
        <v>749.42354573260138</v>
      </c>
      <c r="AO320">
        <f t="shared" si="249"/>
        <v>-283.52001525921719</v>
      </c>
      <c r="AQ320">
        <f t="shared" si="235"/>
        <v>8.8999564792128158E-3</v>
      </c>
      <c r="AR320">
        <f t="shared" si="236"/>
        <v>-9.4339538679655863</v>
      </c>
      <c r="AT320">
        <f t="shared" si="261"/>
        <v>-20616.597715448628</v>
      </c>
      <c r="AU320">
        <f t="shared" si="262"/>
        <v>-7751.6854920179512</v>
      </c>
      <c r="AV320">
        <f t="shared" si="250"/>
        <v>-2.7819521569261818</v>
      </c>
      <c r="AW320">
        <f t="shared" si="251"/>
        <v>-1102.4872434262286</v>
      </c>
      <c r="AX320">
        <f t="shared" si="252"/>
        <v>-10711.404086223441</v>
      </c>
      <c r="AY320">
        <f t="shared" si="260"/>
        <v>-1.6733616483696714</v>
      </c>
      <c r="BA320">
        <f t="shared" si="237"/>
        <v>2.045481500390673</v>
      </c>
      <c r="BB320">
        <f t="shared" si="253"/>
        <v>6.2159111206909845</v>
      </c>
      <c r="BC320">
        <f t="shared" si="254"/>
        <v>-1.1085905085565104</v>
      </c>
      <c r="BD320">
        <f t="shared" si="238"/>
        <v>-243.51755742112903</v>
      </c>
      <c r="BF320">
        <f t="shared" si="239"/>
        <v>-44.69412140291611</v>
      </c>
      <c r="BG320">
        <f t="shared" si="240"/>
        <v>-239.62221951312176</v>
      </c>
      <c r="BH320">
        <f t="shared" si="255"/>
        <v>-59.622219513121763</v>
      </c>
      <c r="BI320">
        <f t="shared" si="256"/>
        <v>-59.622219513121763</v>
      </c>
      <c r="BJ320">
        <f t="shared" si="241"/>
        <v>0</v>
      </c>
      <c r="BK320">
        <f t="shared" si="257"/>
        <v>0</v>
      </c>
      <c r="BM320">
        <f t="shared" si="258"/>
        <v>-50.9100325236071</v>
      </c>
      <c r="BN320">
        <f t="shared" si="242"/>
        <v>-176.10466209199279</v>
      </c>
      <c r="BQ320" s="56">
        <f t="shared" si="259"/>
        <v>23.117871920976121</v>
      </c>
      <c r="BR320" s="59"/>
      <c r="BS320" s="59"/>
      <c r="BT320" s="59">
        <v>125892.541</v>
      </c>
      <c r="BU320" s="59">
        <v>8.4445800000000002</v>
      </c>
      <c r="BV320" s="59">
        <v>-130.77099999999999</v>
      </c>
      <c r="BY320" s="59"/>
      <c r="BZ320" s="59"/>
      <c r="CA320" s="59"/>
      <c r="CC320" s="59"/>
    </row>
    <row r="321" spans="1:81" x14ac:dyDescent="0.2">
      <c r="A321">
        <f t="shared" si="263"/>
        <v>535000</v>
      </c>
      <c r="B321">
        <f t="shared" si="243"/>
        <v>535</v>
      </c>
      <c r="C321">
        <f t="shared" si="212"/>
        <v>1.0021680979825462</v>
      </c>
      <c r="D321">
        <f t="shared" si="213"/>
        <v>6.5790394569032698E-2</v>
      </c>
      <c r="F321">
        <f t="shared" si="214"/>
        <v>1.8592024288647074E-4</v>
      </c>
      <c r="G321">
        <f t="shared" si="215"/>
        <v>2.7829289944664381E-3</v>
      </c>
      <c r="H321">
        <f t="shared" si="216"/>
        <v>-3.1388097210055337</v>
      </c>
      <c r="J321">
        <f t="shared" si="217"/>
        <v>15</v>
      </c>
      <c r="M321">
        <f t="shared" si="218"/>
        <v>2.337843229583564E-3</v>
      </c>
      <c r="N321">
        <f t="shared" si="219"/>
        <v>-1.5707963250000001</v>
      </c>
      <c r="O321">
        <f t="shared" si="220"/>
        <v>105.06857065983677</v>
      </c>
      <c r="P321">
        <f t="shared" si="221"/>
        <v>1.5612785890759198</v>
      </c>
      <c r="Q321">
        <f t="shared" si="222"/>
        <v>91.330819120613654</v>
      </c>
      <c r="R321">
        <f t="shared" si="223"/>
        <v>1.5598469014907037</v>
      </c>
      <c r="S321">
        <f t="shared" si="224"/>
        <v>0.36120058750907647</v>
      </c>
      <c r="T321">
        <f t="shared" si="225"/>
        <v>-1.2012412442161926</v>
      </c>
      <c r="U321">
        <f t="shared" si="226"/>
        <v>0.3571003063330897</v>
      </c>
      <c r="V321">
        <f t="shared" si="227"/>
        <v>-1.2056346602923</v>
      </c>
      <c r="X321">
        <f t="shared" si="244"/>
        <v>-41.843945128113305</v>
      </c>
      <c r="Y321">
        <f t="shared" si="228"/>
        <v>-225.14755112127813</v>
      </c>
      <c r="Z321">
        <f t="shared" si="245"/>
        <v>-45.147551121278127</v>
      </c>
      <c r="AC321">
        <v>1</v>
      </c>
      <c r="AD321">
        <f t="shared" si="229"/>
        <v>105.06381175505251</v>
      </c>
      <c r="AE321">
        <f t="shared" si="230"/>
        <v>-4.2380692524720306E-2</v>
      </c>
      <c r="AF321">
        <f t="shared" si="231"/>
        <v>1.620244993311E-2</v>
      </c>
      <c r="AG321">
        <f t="shared" si="246"/>
        <v>806.31312681026998</v>
      </c>
      <c r="AH321">
        <f t="shared" si="247"/>
        <v>-2170.7895319038771</v>
      </c>
      <c r="AJ321">
        <f t="shared" si="232"/>
        <v>26400</v>
      </c>
      <c r="AK321">
        <f t="shared" si="233"/>
        <v>68155.168648089602</v>
      </c>
      <c r="AL321">
        <v>1</v>
      </c>
      <c r="AM321">
        <f t="shared" si="234"/>
        <v>91.325344353264015</v>
      </c>
      <c r="AN321">
        <f t="shared" si="248"/>
        <v>749.36525086811639</v>
      </c>
      <c r="AO321">
        <f t="shared" si="249"/>
        <v>-280.87093381121332</v>
      </c>
      <c r="AQ321">
        <f t="shared" si="235"/>
        <v>8.7343796537866589E-3</v>
      </c>
      <c r="AR321">
        <f t="shared" si="236"/>
        <v>-9.3457862295517256</v>
      </c>
      <c r="AT321">
        <f t="shared" si="261"/>
        <v>-20280.692269552899</v>
      </c>
      <c r="AU321">
        <f t="shared" si="262"/>
        <v>-7554.59061717033</v>
      </c>
      <c r="AV321">
        <f t="shared" si="250"/>
        <v>-2.7850141456390203</v>
      </c>
      <c r="AW321">
        <f t="shared" si="251"/>
        <v>-1066.1664899547325</v>
      </c>
      <c r="AX321">
        <f t="shared" si="252"/>
        <v>-10615.761243445322</v>
      </c>
      <c r="AY321">
        <f t="shared" si="260"/>
        <v>-1.6708930900443071</v>
      </c>
      <c r="BA321">
        <f t="shared" si="237"/>
        <v>2.0284669188402118</v>
      </c>
      <c r="BB321">
        <f t="shared" si="253"/>
        <v>6.1433585885288435</v>
      </c>
      <c r="BC321">
        <f t="shared" si="254"/>
        <v>-1.1141210555947132</v>
      </c>
      <c r="BD321">
        <f t="shared" si="238"/>
        <v>-243.8344344251787</v>
      </c>
      <c r="BF321">
        <f t="shared" si="239"/>
        <v>-44.929471194285057</v>
      </c>
      <c r="BG321">
        <f t="shared" si="240"/>
        <v>-239.90547239331568</v>
      </c>
      <c r="BH321">
        <f t="shared" si="255"/>
        <v>-59.905472393315677</v>
      </c>
      <c r="BI321">
        <f t="shared" si="256"/>
        <v>-59.905472393315677</v>
      </c>
      <c r="BJ321">
        <f t="shared" si="241"/>
        <v>0</v>
      </c>
      <c r="BK321">
        <f t="shared" si="257"/>
        <v>0</v>
      </c>
      <c r="BM321">
        <f t="shared" si="258"/>
        <v>-51.072829782813898</v>
      </c>
      <c r="BN321">
        <f t="shared" si="242"/>
        <v>-176.07103796813701</v>
      </c>
      <c r="BQ321" s="56">
        <f t="shared" si="259"/>
        <v>23.045319388813979</v>
      </c>
      <c r="BR321" s="59"/>
      <c r="BS321" s="59"/>
      <c r="BT321" s="59">
        <v>128824.955</v>
      </c>
      <c r="BU321" s="59">
        <v>8.6780500000000007</v>
      </c>
      <c r="BV321" s="59">
        <v>-131.42599999999999</v>
      </c>
      <c r="BY321" s="59"/>
      <c r="BZ321" s="59"/>
      <c r="CA321" s="59"/>
      <c r="CC321" s="59"/>
    </row>
    <row r="322" spans="1:81" x14ac:dyDescent="0.2">
      <c r="A322">
        <f t="shared" si="263"/>
        <v>540000</v>
      </c>
      <c r="B322">
        <f t="shared" si="243"/>
        <v>540</v>
      </c>
      <c r="C322">
        <f t="shared" si="212"/>
        <v>1.0022087676822342</v>
      </c>
      <c r="D322">
        <f t="shared" si="213"/>
        <v>6.6403460523811284E-2</v>
      </c>
      <c r="F322">
        <f t="shared" si="214"/>
        <v>1.8249260235706557E-4</v>
      </c>
      <c r="G322">
        <f t="shared" si="215"/>
        <v>2.7571518104368251E-3</v>
      </c>
      <c r="H322">
        <f t="shared" si="216"/>
        <v>-3.1388354981895632</v>
      </c>
      <c r="J322">
        <f t="shared" si="217"/>
        <v>15</v>
      </c>
      <c r="M322">
        <f t="shared" si="218"/>
        <v>2.3161965330133457E-3</v>
      </c>
      <c r="N322">
        <f t="shared" si="219"/>
        <v>-1.5707963250000001</v>
      </c>
      <c r="O322">
        <f t="shared" si="220"/>
        <v>106.05043138062925</v>
      </c>
      <c r="P322">
        <f t="shared" si="221"/>
        <v>1.5613667110286631</v>
      </c>
      <c r="Q322">
        <f t="shared" si="222"/>
        <v>92.18427632247203</v>
      </c>
      <c r="R322">
        <f t="shared" si="223"/>
        <v>1.5599482770674691</v>
      </c>
      <c r="S322">
        <f t="shared" si="224"/>
        <v>0.35828721029908961</v>
      </c>
      <c r="T322">
        <f t="shared" si="225"/>
        <v>-1.204363665880078</v>
      </c>
      <c r="U322">
        <f t="shared" si="226"/>
        <v>0.3542103633422462</v>
      </c>
      <c r="V322">
        <f t="shared" si="227"/>
        <v>-1.2087267761748006</v>
      </c>
      <c r="X322">
        <f t="shared" si="244"/>
        <v>-42.06536025134848</v>
      </c>
      <c r="Y322">
        <f t="shared" si="228"/>
        <v>-225.45911131807929</v>
      </c>
      <c r="Z322">
        <f t="shared" si="245"/>
        <v>-45.459111318079295</v>
      </c>
      <c r="AC322">
        <v>1</v>
      </c>
      <c r="AD322">
        <f t="shared" si="229"/>
        <v>106.04571653780999</v>
      </c>
      <c r="AE322">
        <f t="shared" si="230"/>
        <v>-4.3176556695636095E-2</v>
      </c>
      <c r="AF322">
        <f t="shared" si="231"/>
        <v>1.6353874698840001E-2</v>
      </c>
      <c r="AG322">
        <f t="shared" si="246"/>
        <v>793.3152659534793</v>
      </c>
      <c r="AH322">
        <f t="shared" si="247"/>
        <v>-2155.6127955691463</v>
      </c>
      <c r="AJ322">
        <f t="shared" si="232"/>
        <v>26400</v>
      </c>
      <c r="AK322">
        <f t="shared" si="233"/>
        <v>68792.132841062412</v>
      </c>
      <c r="AL322">
        <v>1</v>
      </c>
      <c r="AM322">
        <f t="shared" si="234"/>
        <v>92.178852244416007</v>
      </c>
      <c r="AN322">
        <f t="shared" si="248"/>
        <v>749.30856754284275</v>
      </c>
      <c r="AO322">
        <f t="shared" si="249"/>
        <v>-278.27089194431812</v>
      </c>
      <c r="AQ322">
        <f t="shared" si="235"/>
        <v>8.5733808527256056E-3</v>
      </c>
      <c r="AR322">
        <f t="shared" si="236"/>
        <v>-9.2592513209436547</v>
      </c>
      <c r="AT322">
        <f t="shared" si="261"/>
        <v>-19952.559230905361</v>
      </c>
      <c r="AU322">
        <f t="shared" si="262"/>
        <v>-7363.9863136719423</v>
      </c>
      <c r="AV322">
        <f t="shared" si="250"/>
        <v>-2.7880267930746152</v>
      </c>
      <c r="AW322">
        <f t="shared" si="251"/>
        <v>-1030.9111636986074</v>
      </c>
      <c r="AX322">
        <f t="shared" si="252"/>
        <v>-10521.790555337582</v>
      </c>
      <c r="AY322">
        <f t="shared" si="260"/>
        <v>-1.6684632757295608</v>
      </c>
      <c r="BA322">
        <f t="shared" si="237"/>
        <v>2.0117073843172171</v>
      </c>
      <c r="BB322">
        <f t="shared" si="253"/>
        <v>6.0712962014521334</v>
      </c>
      <c r="BC322">
        <f t="shared" si="254"/>
        <v>-1.1195635173450544</v>
      </c>
      <c r="BD322">
        <f t="shared" si="238"/>
        <v>-244.14626451399096</v>
      </c>
      <c r="BF322">
        <f t="shared" si="239"/>
        <v>-45.162809375771971</v>
      </c>
      <c r="BG322">
        <f t="shared" si="240"/>
        <v>-240.18365331417016</v>
      </c>
      <c r="BH322">
        <f t="shared" si="255"/>
        <v>-60.183653314170158</v>
      </c>
      <c r="BI322">
        <f t="shared" si="256"/>
        <v>-60.183653314170158</v>
      </c>
      <c r="BJ322">
        <f t="shared" si="241"/>
        <v>0</v>
      </c>
      <c r="BK322">
        <f t="shared" si="257"/>
        <v>0</v>
      </c>
      <c r="BM322">
        <f t="shared" si="258"/>
        <v>-51.234105577224113</v>
      </c>
      <c r="BN322">
        <f t="shared" si="242"/>
        <v>-176.0373888001792</v>
      </c>
      <c r="BQ322" s="56">
        <f t="shared" si="259"/>
        <v>22.973257001737267</v>
      </c>
      <c r="BR322" s="59"/>
      <c r="BS322" s="59"/>
      <c r="BT322" s="59">
        <v>131825.674</v>
      </c>
      <c r="BU322" s="59">
        <v>8.8889499999999995</v>
      </c>
      <c r="BV322" s="59">
        <v>-132.06399999999999</v>
      </c>
      <c r="BY322" s="59"/>
      <c r="BZ322" s="59"/>
      <c r="CA322" s="59"/>
      <c r="CC322" s="59"/>
    </row>
    <row r="323" spans="1:81" x14ac:dyDescent="0.2">
      <c r="A323">
        <f t="shared" si="263"/>
        <v>545000</v>
      </c>
      <c r="B323">
        <f t="shared" si="243"/>
        <v>545</v>
      </c>
      <c r="C323">
        <f t="shared" si="212"/>
        <v>1.0022498140312994</v>
      </c>
      <c r="D323">
        <f t="shared" si="213"/>
        <v>6.7016476493712826E-2</v>
      </c>
      <c r="F323">
        <f t="shared" si="214"/>
        <v>1.7915888922008462E-4</v>
      </c>
      <c r="G323">
        <f t="shared" si="215"/>
        <v>2.7318478553934036E-3</v>
      </c>
      <c r="H323">
        <f t="shared" si="216"/>
        <v>-3.1388608021446069</v>
      </c>
      <c r="J323">
        <f t="shared" si="217"/>
        <v>15</v>
      </c>
      <c r="M323">
        <f t="shared" si="218"/>
        <v>2.2949470235361594E-3</v>
      </c>
      <c r="N323">
        <f t="shared" si="219"/>
        <v>-1.5707963250000001</v>
      </c>
      <c r="O323">
        <f t="shared" si="220"/>
        <v>107.03229290984473</v>
      </c>
      <c r="P323">
        <f t="shared" si="221"/>
        <v>1.5614532162072996</v>
      </c>
      <c r="Q323">
        <f t="shared" si="222"/>
        <v>93.037734454327861</v>
      </c>
      <c r="R323">
        <f t="shared" si="223"/>
        <v>1.5600477927588015</v>
      </c>
      <c r="S323">
        <f t="shared" si="224"/>
        <v>0.35541707218065172</v>
      </c>
      <c r="T323">
        <f t="shared" si="225"/>
        <v>-1.2074360914158699</v>
      </c>
      <c r="U323">
        <f t="shared" si="226"/>
        <v>0.35136354137507753</v>
      </c>
      <c r="V323">
        <f t="shared" si="227"/>
        <v>-1.2117692175067454</v>
      </c>
      <c r="X323">
        <f t="shared" si="244"/>
        <v>-42.28505588738453</v>
      </c>
      <c r="Y323">
        <f t="shared" si="228"/>
        <v>-225.7651357534636</v>
      </c>
      <c r="Z323">
        <f t="shared" si="245"/>
        <v>-45.765135753463596</v>
      </c>
      <c r="AC323">
        <v>1</v>
      </c>
      <c r="AD323">
        <f t="shared" si="229"/>
        <v>107.02762132056749</v>
      </c>
      <c r="AE323">
        <f t="shared" si="230"/>
        <v>-4.397982425418831E-2</v>
      </c>
      <c r="AF323">
        <f t="shared" si="231"/>
        <v>1.6505299464569998E-2</v>
      </c>
      <c r="AG323">
        <f t="shared" si="246"/>
        <v>780.61461141312918</v>
      </c>
      <c r="AH323">
        <f t="shared" si="247"/>
        <v>-2140.6029921506415</v>
      </c>
      <c r="AJ323">
        <f t="shared" si="232"/>
        <v>26400</v>
      </c>
      <c r="AK323">
        <f t="shared" si="233"/>
        <v>69429.097034035207</v>
      </c>
      <c r="AL323">
        <v>1</v>
      </c>
      <c r="AM323">
        <f t="shared" si="234"/>
        <v>93.032360135568013</v>
      </c>
      <c r="AN323">
        <f t="shared" si="248"/>
        <v>749.2534369012925</v>
      </c>
      <c r="AO323">
        <f t="shared" si="249"/>
        <v>-275.71854057792461</v>
      </c>
      <c r="AQ323">
        <f t="shared" si="235"/>
        <v>8.4167928484194521E-3</v>
      </c>
      <c r="AR323">
        <f t="shared" si="236"/>
        <v>-9.1743042047772025</v>
      </c>
      <c r="AT323">
        <f t="shared" si="261"/>
        <v>-19631.972760167577</v>
      </c>
      <c r="AU323">
        <f t="shared" si="262"/>
        <v>-7179.6129237536315</v>
      </c>
      <c r="AV323">
        <f t="shared" si="250"/>
        <v>-2.7909912239539727</v>
      </c>
      <c r="AW323">
        <f t="shared" si="251"/>
        <v>-996.68000216021358</v>
      </c>
      <c r="AX323">
        <f t="shared" si="252"/>
        <v>-10429.448699128059</v>
      </c>
      <c r="AY323">
        <f t="shared" si="260"/>
        <v>-1.6660710143097817</v>
      </c>
      <c r="BA323">
        <f t="shared" si="237"/>
        <v>1.9951979552977193</v>
      </c>
      <c r="BB323">
        <f t="shared" si="253"/>
        <v>5.9997198212922687</v>
      </c>
      <c r="BC323">
        <f t="shared" si="254"/>
        <v>-1.124920209644191</v>
      </c>
      <c r="BD323">
        <f t="shared" si="238"/>
        <v>-244.45318037523242</v>
      </c>
      <c r="BF323">
        <f t="shared" si="239"/>
        <v>-45.394168087464223</v>
      </c>
      <c r="BG323">
        <f t="shared" si="240"/>
        <v>-240.45689575735267</v>
      </c>
      <c r="BH323">
        <f t="shared" si="255"/>
        <v>-60.456895757352669</v>
      </c>
      <c r="BI323">
        <f t="shared" si="256"/>
        <v>-60.456895757352669</v>
      </c>
      <c r="BJ323">
        <f t="shared" si="241"/>
        <v>0</v>
      </c>
      <c r="BK323">
        <f t="shared" si="257"/>
        <v>0</v>
      </c>
      <c r="BM323">
        <f t="shared" si="258"/>
        <v>-51.39388790875649</v>
      </c>
      <c r="BN323">
        <f t="shared" si="242"/>
        <v>-176.00371538212028</v>
      </c>
      <c r="BQ323" s="56">
        <f t="shared" si="259"/>
        <v>22.901680621577402</v>
      </c>
      <c r="BR323" s="59"/>
      <c r="BS323" s="59"/>
      <c r="BT323" s="59">
        <v>134896.288</v>
      </c>
      <c r="BU323" s="59">
        <v>9.0986999999999991</v>
      </c>
      <c r="BV323" s="59">
        <v>-132.62899999999999</v>
      </c>
      <c r="BY323" s="59"/>
      <c r="BZ323" s="59"/>
      <c r="CA323" s="59"/>
      <c r="CC323" s="59"/>
    </row>
    <row r="324" spans="1:81" x14ac:dyDescent="0.2">
      <c r="A324">
        <f t="shared" si="263"/>
        <v>550000</v>
      </c>
      <c r="B324">
        <f t="shared" si="243"/>
        <v>550</v>
      </c>
      <c r="C324">
        <f t="shared" si="212"/>
        <v>1.0022912369834676</v>
      </c>
      <c r="D324">
        <f t="shared" si="213"/>
        <v>6.762944202417806E-2</v>
      </c>
      <c r="F324">
        <f t="shared" si="214"/>
        <v>1.7591570252140914E-4</v>
      </c>
      <c r="G324">
        <f t="shared" si="215"/>
        <v>2.707004214008935E-3</v>
      </c>
      <c r="H324">
        <f t="shared" si="216"/>
        <v>-3.1388856457859911</v>
      </c>
      <c r="J324">
        <f t="shared" si="217"/>
        <v>15</v>
      </c>
      <c r="M324">
        <f t="shared" si="218"/>
        <v>2.2740838687767394E-3</v>
      </c>
      <c r="N324">
        <f t="shared" si="219"/>
        <v>-1.5707963250000001</v>
      </c>
      <c r="O324">
        <f t="shared" si="220"/>
        <v>108.01415522543722</v>
      </c>
      <c r="P324">
        <f t="shared" si="221"/>
        <v>1.5615381487005595</v>
      </c>
      <c r="Q324">
        <f t="shared" si="222"/>
        <v>93.891193490820456</v>
      </c>
      <c r="R324">
        <f t="shared" si="223"/>
        <v>1.5601454992810704</v>
      </c>
      <c r="S324">
        <f t="shared" si="224"/>
        <v>0.35258930294338175</v>
      </c>
      <c r="T324">
        <f t="shared" si="225"/>
        <v>-1.2104596554535796</v>
      </c>
      <c r="U324">
        <f t="shared" si="226"/>
        <v>0.34855896527210678</v>
      </c>
      <c r="V324">
        <f t="shared" si="227"/>
        <v>-1.2147631167839097</v>
      </c>
      <c r="X324">
        <f t="shared" si="244"/>
        <v>-42.503056001678267</v>
      </c>
      <c r="Y324">
        <f t="shared" si="228"/>
        <v>-226.06574965827636</v>
      </c>
      <c r="Z324">
        <f t="shared" si="245"/>
        <v>-46.06574965827636</v>
      </c>
      <c r="AC324">
        <v>1</v>
      </c>
      <c r="AD324">
        <f t="shared" si="229"/>
        <v>108.009526103325</v>
      </c>
      <c r="AE324">
        <f t="shared" si="230"/>
        <v>-4.4790495200376944E-2</v>
      </c>
      <c r="AF324">
        <f t="shared" si="231"/>
        <v>1.6656724230299999E-2</v>
      </c>
      <c r="AG324">
        <f t="shared" si="246"/>
        <v>768.20264839896049</v>
      </c>
      <c r="AH324">
        <f t="shared" si="247"/>
        <v>-2125.7587354192974</v>
      </c>
      <c r="AJ324">
        <f t="shared" si="232"/>
        <v>26400</v>
      </c>
      <c r="AK324">
        <f t="shared" si="233"/>
        <v>70066.061227008002</v>
      </c>
      <c r="AL324">
        <v>1</v>
      </c>
      <c r="AM324">
        <f t="shared" si="234"/>
        <v>93.885868026720019</v>
      </c>
      <c r="AN324">
        <f t="shared" si="248"/>
        <v>749.19980275039825</v>
      </c>
      <c r="AO324">
        <f t="shared" si="249"/>
        <v>-273.21257966054441</v>
      </c>
      <c r="AQ324">
        <f t="shared" si="235"/>
        <v>8.264455979788447E-3</v>
      </c>
      <c r="AR324">
        <f t="shared" si="236"/>
        <v>-9.0909015777672906</v>
      </c>
      <c r="AT324">
        <f t="shared" si="261"/>
        <v>-19318.714664804644</v>
      </c>
      <c r="AU324">
        <f t="shared" si="262"/>
        <v>-7001.2229078676446</v>
      </c>
      <c r="AV324">
        <f t="shared" si="250"/>
        <v>-2.7939085310144907</v>
      </c>
      <c r="AW324">
        <f t="shared" si="251"/>
        <v>-963.43371355453905</v>
      </c>
      <c r="AX324">
        <f t="shared" si="252"/>
        <v>-10338.693845142994</v>
      </c>
      <c r="AY324">
        <f t="shared" si="260"/>
        <v>-1.6637151613590935</v>
      </c>
      <c r="BA324">
        <f t="shared" si="237"/>
        <v>1.9789337811106618</v>
      </c>
      <c r="BB324">
        <f t="shared" si="253"/>
        <v>5.9286252425979704</v>
      </c>
      <c r="BC324">
        <f t="shared" si="254"/>
        <v>-1.1301933696553972</v>
      </c>
      <c r="BD324">
        <f t="shared" si="238"/>
        <v>-244.75531018891689</v>
      </c>
      <c r="BF324">
        <f t="shared" si="239"/>
        <v>-45.623578769022195</v>
      </c>
      <c r="BG324">
        <f t="shared" si="240"/>
        <v>-240.72532866891507</v>
      </c>
      <c r="BH324">
        <f t="shared" si="255"/>
        <v>-60.725328668915068</v>
      </c>
      <c r="BI324">
        <f t="shared" si="256"/>
        <v>-60.725328668915068</v>
      </c>
      <c r="BJ324">
        <f t="shared" si="241"/>
        <v>0</v>
      </c>
      <c r="BK324">
        <f t="shared" si="257"/>
        <v>0</v>
      </c>
      <c r="BM324">
        <f t="shared" si="258"/>
        <v>-51.552204011620177</v>
      </c>
      <c r="BN324">
        <f t="shared" si="242"/>
        <v>-175.97001847999815</v>
      </c>
      <c r="BQ324" s="56">
        <f t="shared" si="259"/>
        <v>22.830586042883105</v>
      </c>
      <c r="BR324" s="59"/>
      <c r="BS324" s="59"/>
      <c r="BT324" s="59">
        <v>138038.42600000001</v>
      </c>
      <c r="BU324" s="59">
        <v>9.3196600000000007</v>
      </c>
      <c r="BV324" s="59">
        <v>-133.267</v>
      </c>
      <c r="BY324" s="59"/>
      <c r="BZ324" s="59"/>
      <c r="CA324" s="59"/>
      <c r="CC324" s="59"/>
    </row>
    <row r="325" spans="1:81" x14ac:dyDescent="0.2">
      <c r="A325">
        <f t="shared" si="263"/>
        <v>555000</v>
      </c>
      <c r="B325">
        <f t="shared" si="243"/>
        <v>555</v>
      </c>
      <c r="C325">
        <f t="shared" si="212"/>
        <v>1.0023330364920477</v>
      </c>
      <c r="D325">
        <f t="shared" si="213"/>
        <v>6.8242356660874123E-2</v>
      </c>
      <c r="F325">
        <f t="shared" si="214"/>
        <v>1.7275979386213632E-4</v>
      </c>
      <c r="G325">
        <f t="shared" si="215"/>
        <v>2.6826084367771006E-3</v>
      </c>
      <c r="H325">
        <f t="shared" si="216"/>
        <v>-3.1389100415632232</v>
      </c>
      <c r="J325">
        <f t="shared" si="217"/>
        <v>15</v>
      </c>
      <c r="M325">
        <f t="shared" si="218"/>
        <v>2.2535966267156877E-3</v>
      </c>
      <c r="N325">
        <f t="shared" si="219"/>
        <v>-1.5707963250000001</v>
      </c>
      <c r="O325">
        <f t="shared" si="220"/>
        <v>108.99601830615511</v>
      </c>
      <c r="P325">
        <f t="shared" si="221"/>
        <v>1.5616215510086167</v>
      </c>
      <c r="Q325">
        <f t="shared" si="222"/>
        <v>94.74465340750298</v>
      </c>
      <c r="R325">
        <f t="shared" si="223"/>
        <v>1.5602414455233737</v>
      </c>
      <c r="S325">
        <f t="shared" si="224"/>
        <v>0.34980305258999539</v>
      </c>
      <c r="T325">
        <f t="shared" si="225"/>
        <v>-1.2134354603947877</v>
      </c>
      <c r="U325">
        <f t="shared" si="226"/>
        <v>0.34579578050175053</v>
      </c>
      <c r="V325">
        <f t="shared" si="227"/>
        <v>-1.2177095741329329</v>
      </c>
      <c r="X325">
        <f t="shared" si="244"/>
        <v>-42.719384117335927</v>
      </c>
      <c r="Y325">
        <f t="shared" si="228"/>
        <v>-226.36107473120495</v>
      </c>
      <c r="Z325">
        <f t="shared" si="245"/>
        <v>-46.361074731204951</v>
      </c>
      <c r="AC325">
        <v>1</v>
      </c>
      <c r="AD325">
        <f t="shared" si="229"/>
        <v>108.99143088608251</v>
      </c>
      <c r="AE325">
        <f t="shared" si="230"/>
        <v>-4.5608569534202011E-2</v>
      </c>
      <c r="AF325">
        <f t="shared" si="231"/>
        <v>1.680814899603E-2</v>
      </c>
      <c r="AG325">
        <f t="shared" si="246"/>
        <v>756.07114513437216</v>
      </c>
      <c r="AH325">
        <f t="shared" si="247"/>
        <v>-2111.0785848010833</v>
      </c>
      <c r="AJ325">
        <f t="shared" si="232"/>
        <v>26400</v>
      </c>
      <c r="AK325">
        <f t="shared" si="233"/>
        <v>70703.025419980811</v>
      </c>
      <c r="AL325">
        <v>1</v>
      </c>
      <c r="AM325">
        <f t="shared" si="234"/>
        <v>94.73937591787201</v>
      </c>
      <c r="AN325">
        <f t="shared" si="248"/>
        <v>749.14761141628799</v>
      </c>
      <c r="AO325">
        <f t="shared" si="249"/>
        <v>-270.75175596280064</v>
      </c>
      <c r="AQ325">
        <f t="shared" si="235"/>
        <v>8.1162177451361544E-3</v>
      </c>
      <c r="AR325">
        <f t="shared" si="236"/>
        <v>-9.0090016971011302</v>
      </c>
      <c r="AT325">
        <f t="shared" si="261"/>
        <v>-19012.574115142084</v>
      </c>
      <c r="AU325">
        <f t="shared" si="262"/>
        <v>-6828.5802031160929</v>
      </c>
      <c r="AV325">
        <f t="shared" si="250"/>
        <v>-2.7967797760569386</v>
      </c>
      <c r="AW325">
        <f t="shared" si="251"/>
        <v>-931.13486563142192</v>
      </c>
      <c r="AX325">
        <f t="shared" si="252"/>
        <v>-10249.485592032343</v>
      </c>
      <c r="AY325">
        <f t="shared" si="260"/>
        <v>-1.6613946169801643</v>
      </c>
      <c r="BA325">
        <f t="shared" si="237"/>
        <v>1.9629101022629867</v>
      </c>
      <c r="BB325">
        <f t="shared" si="253"/>
        <v>5.8580082030532523</v>
      </c>
      <c r="BC325">
        <f t="shared" si="254"/>
        <v>-1.1353851590767743</v>
      </c>
      <c r="BD325">
        <f t="shared" si="238"/>
        <v>-245.0527778112224</v>
      </c>
      <c r="BF325">
        <f t="shared" si="239"/>
        <v>-45.851072177077192</v>
      </c>
      <c r="BG325">
        <f t="shared" si="240"/>
        <v>-240.98907664437081</v>
      </c>
      <c r="BH325">
        <f t="shared" si="255"/>
        <v>-60.989076644370812</v>
      </c>
      <c r="BI325">
        <f t="shared" si="256"/>
        <v>-60.989076644370812</v>
      </c>
      <c r="BJ325">
        <f t="shared" si="241"/>
        <v>0</v>
      </c>
      <c r="BK325">
        <f t="shared" si="257"/>
        <v>0</v>
      </c>
      <c r="BM325">
        <f t="shared" si="258"/>
        <v>-51.709080380130445</v>
      </c>
      <c r="BN325">
        <f t="shared" si="242"/>
        <v>-175.93629883314844</v>
      </c>
      <c r="BQ325" s="56">
        <f t="shared" si="259"/>
        <v>22.759969003338387</v>
      </c>
      <c r="BR325" s="59"/>
      <c r="BS325" s="59"/>
      <c r="BT325" s="59">
        <v>141253.75399999999</v>
      </c>
      <c r="BU325" s="59">
        <v>9.5290400000000002</v>
      </c>
      <c r="BV325" s="59">
        <v>-133.959</v>
      </c>
      <c r="BY325" s="59"/>
      <c r="BZ325" s="59"/>
      <c r="CA325" s="59"/>
      <c r="CC325" s="59"/>
    </row>
    <row r="326" spans="1:81" x14ac:dyDescent="0.2">
      <c r="A326">
        <f t="shared" si="263"/>
        <v>560000</v>
      </c>
      <c r="B326">
        <f t="shared" si="243"/>
        <v>560</v>
      </c>
      <c r="C326">
        <f t="shared" si="212"/>
        <v>1.0023752125099321</v>
      </c>
      <c r="D326">
        <f t="shared" si="213"/>
        <v>6.8855219949696567E-2</v>
      </c>
      <c r="F326">
        <f t="shared" si="214"/>
        <v>1.6968805925947271E-4</v>
      </c>
      <c r="G326">
        <f t="shared" si="215"/>
        <v>2.6586485191955798E-3</v>
      </c>
      <c r="H326">
        <f t="shared" si="216"/>
        <v>-3.1389340014808047</v>
      </c>
      <c r="J326">
        <f t="shared" si="217"/>
        <v>15</v>
      </c>
      <c r="M326">
        <f t="shared" si="218"/>
        <v>2.2334752282628691E-3</v>
      </c>
      <c r="N326">
        <f t="shared" si="219"/>
        <v>-1.5707963250000001</v>
      </c>
      <c r="O326">
        <f t="shared" si="220"/>
        <v>109.97788213150571</v>
      </c>
      <c r="P326">
        <f t="shared" si="221"/>
        <v>1.5617034641139946</v>
      </c>
      <c r="Q326">
        <f t="shared" si="222"/>
        <v>95.598114180801517</v>
      </c>
      <c r="R326">
        <f t="shared" si="223"/>
        <v>1.5603356786290949</v>
      </c>
      <c r="S326">
        <f t="shared" si="224"/>
        <v>0.3470574908914284</v>
      </c>
      <c r="T326">
        <f t="shared" si="225"/>
        <v>-1.2163645774729364</v>
      </c>
      <c r="U326">
        <f t="shared" si="226"/>
        <v>0.34307315269030236</v>
      </c>
      <c r="V326">
        <f t="shared" si="227"/>
        <v>-1.2206096583856225</v>
      </c>
      <c r="X326">
        <f t="shared" si="244"/>
        <v>-42.934063324171525</v>
      </c>
      <c r="Y326">
        <f t="shared" si="228"/>
        <v>-226.65122925353919</v>
      </c>
      <c r="Z326">
        <f t="shared" si="245"/>
        <v>-46.651229253539185</v>
      </c>
      <c r="AC326">
        <v>1</v>
      </c>
      <c r="AD326">
        <f t="shared" si="229"/>
        <v>109.97333566884001</v>
      </c>
      <c r="AE326">
        <f t="shared" si="230"/>
        <v>-4.6434047255663503E-2</v>
      </c>
      <c r="AF326">
        <f t="shared" si="231"/>
        <v>1.6959573761759997E-2</v>
      </c>
      <c r="AG326">
        <f t="shared" si="246"/>
        <v>744.21214263903448</v>
      </c>
      <c r="AH326">
        <f t="shared" si="247"/>
        <v>-2096.5610515349158</v>
      </c>
      <c r="AJ326">
        <f t="shared" si="232"/>
        <v>26400</v>
      </c>
      <c r="AK326">
        <f t="shared" si="233"/>
        <v>71339.989612953606</v>
      </c>
      <c r="AL326">
        <v>1</v>
      </c>
      <c r="AM326">
        <f t="shared" si="234"/>
        <v>95.592883809024016</v>
      </c>
      <c r="AN326">
        <f t="shared" si="248"/>
        <v>749.09681160996945</v>
      </c>
      <c r="AO326">
        <f t="shared" si="249"/>
        <v>-268.33486098856002</v>
      </c>
      <c r="AQ326">
        <f t="shared" si="235"/>
        <v>7.971932420334487E-3</v>
      </c>
      <c r="AR326">
        <f t="shared" si="236"/>
        <v>-8.9285643107746253</v>
      </c>
      <c r="AT326">
        <f t="shared" si="261"/>
        <v>-18713.347371187261</v>
      </c>
      <c r="AU326">
        <f t="shared" si="262"/>
        <v>-6661.4596194299393</v>
      </c>
      <c r="AV326">
        <f t="shared" si="250"/>
        <v>-2.7996059909558242</v>
      </c>
      <c r="AW326">
        <f t="shared" si="251"/>
        <v>-899.74778169250953</v>
      </c>
      <c r="AX326">
        <f t="shared" si="252"/>
        <v>-10161.784905414317</v>
      </c>
      <c r="AY326">
        <f t="shared" si="260"/>
        <v>-1.6591083237554509</v>
      </c>
      <c r="BA326">
        <f t="shared" si="237"/>
        <v>1.9471222505005776</v>
      </c>
      <c r="BB326">
        <f t="shared" si="253"/>
        <v>5.7878643930206319</v>
      </c>
      <c r="BC326">
        <f t="shared" si="254"/>
        <v>-1.1404976672003733</v>
      </c>
      <c r="BD326">
        <f t="shared" si="238"/>
        <v>-245.34570294976567</v>
      </c>
      <c r="BF326">
        <f t="shared" si="239"/>
        <v>-46.076678402255205</v>
      </c>
      <c r="BG326">
        <f t="shared" si="240"/>
        <v>-241.24826010516242</v>
      </c>
      <c r="BH326">
        <f t="shared" si="255"/>
        <v>-61.248260105162416</v>
      </c>
      <c r="BI326">
        <f t="shared" si="256"/>
        <v>-61.248260105162416</v>
      </c>
      <c r="BJ326">
        <f t="shared" si="241"/>
        <v>0</v>
      </c>
      <c r="BK326">
        <f t="shared" si="257"/>
        <v>0</v>
      </c>
      <c r="BM326">
        <f t="shared" si="258"/>
        <v>-51.864542795275838</v>
      </c>
      <c r="BN326">
        <f t="shared" si="242"/>
        <v>-175.90255715539675</v>
      </c>
      <c r="BQ326" s="56">
        <f t="shared" si="259"/>
        <v>22.689825193305772</v>
      </c>
      <c r="BR326" s="59"/>
      <c r="BS326" s="59"/>
      <c r="BT326" s="59">
        <v>144543.97700000001</v>
      </c>
      <c r="BU326" s="59">
        <v>9.7312899999999996</v>
      </c>
      <c r="BV326" s="59">
        <v>-134.75200000000001</v>
      </c>
      <c r="BY326" s="59"/>
      <c r="BZ326" s="59"/>
      <c r="CA326" s="59"/>
      <c r="CC326" s="59"/>
    </row>
    <row r="327" spans="1:81" x14ac:dyDescent="0.2">
      <c r="A327">
        <f t="shared" si="263"/>
        <v>565000</v>
      </c>
      <c r="B327">
        <f t="shared" si="243"/>
        <v>565</v>
      </c>
      <c r="C327">
        <f t="shared" si="212"/>
        <v>1.0024177649895964</v>
      </c>
      <c r="D327">
        <f t="shared" si="213"/>
        <v>6.9468031436771299E-2</v>
      </c>
      <c r="F327">
        <f t="shared" si="214"/>
        <v>1.6669753150979561E-4</v>
      </c>
      <c r="G327">
        <f t="shared" si="215"/>
        <v>2.6351128820557546E-3</v>
      </c>
      <c r="H327">
        <f t="shared" si="216"/>
        <v>-3.1389575371179443</v>
      </c>
      <c r="J327">
        <f t="shared" si="217"/>
        <v>15</v>
      </c>
      <c r="M327">
        <f t="shared" si="218"/>
        <v>2.2137099607561182E-3</v>
      </c>
      <c r="N327">
        <f t="shared" si="219"/>
        <v>-1.5707963250000001</v>
      </c>
      <c r="O327">
        <f t="shared" si="220"/>
        <v>110.95974668172158</v>
      </c>
      <c r="P327">
        <f t="shared" si="221"/>
        <v>1.5617839275487078</v>
      </c>
      <c r="Q327">
        <f t="shared" si="222"/>
        <v>96.451575787976523</v>
      </c>
      <c r="R327">
        <f t="shared" si="223"/>
        <v>1.560428244073129</v>
      </c>
      <c r="S327">
        <f t="shared" si="224"/>
        <v>0.34435180694501327</v>
      </c>
      <c r="T327">
        <f t="shared" si="225"/>
        <v>-1.2192480477758465</v>
      </c>
      <c r="U327">
        <f t="shared" si="226"/>
        <v>0.34039026715641685</v>
      </c>
      <c r="V327">
        <f t="shared" si="227"/>
        <v>-1.2234644081144741</v>
      </c>
      <c r="X327">
        <f t="shared" si="244"/>
        <v>-43.14711628760417</v>
      </c>
      <c r="Y327">
        <f t="shared" si="228"/>
        <v>-226.93632819994602</v>
      </c>
      <c r="Z327">
        <f t="shared" si="245"/>
        <v>-46.936328199946018</v>
      </c>
      <c r="AC327">
        <v>1</v>
      </c>
      <c r="AD327">
        <f t="shared" si="229"/>
        <v>110.95524045159749</v>
      </c>
      <c r="AE327">
        <f t="shared" si="230"/>
        <v>-4.7266928364761429E-2</v>
      </c>
      <c r="AF327">
        <f t="shared" si="231"/>
        <v>1.7110998527489998E-2</v>
      </c>
      <c r="AG327">
        <f t="shared" si="246"/>
        <v>732.61794487868769</v>
      </c>
      <c r="AH327">
        <f t="shared" si="247"/>
        <v>-2082.2046043706837</v>
      </c>
      <c r="AJ327">
        <f t="shared" si="232"/>
        <v>26400</v>
      </c>
      <c r="AK327">
        <f t="shared" si="233"/>
        <v>71976.953805926401</v>
      </c>
      <c r="AL327">
        <v>1</v>
      </c>
      <c r="AM327">
        <f t="shared" si="234"/>
        <v>96.446391700176008</v>
      </c>
      <c r="AN327">
        <f t="shared" si="248"/>
        <v>749.04735430129585</v>
      </c>
      <c r="AO327">
        <f t="shared" si="249"/>
        <v>-265.96072899689307</v>
      </c>
      <c r="AQ327">
        <f t="shared" si="235"/>
        <v>7.8314607005554853E-3</v>
      </c>
      <c r="AR327">
        <f t="shared" si="236"/>
        <v>-8.8495505916276986</v>
      </c>
      <c r="AT327">
        <f t="shared" si="261"/>
        <v>-18420.837519854664</v>
      </c>
      <c r="AU327">
        <f t="shared" si="262"/>
        <v>-6499.6462710679034</v>
      </c>
      <c r="AV327">
        <f t="shared" si="250"/>
        <v>-2.8023881786343634</v>
      </c>
      <c r="AW327">
        <f t="shared" si="251"/>
        <v>-869.23844327994016</v>
      </c>
      <c r="AX327">
        <f t="shared" si="252"/>
        <v>-10075.554059725038</v>
      </c>
      <c r="AY327">
        <f t="shared" si="260"/>
        <v>-1.6568552648046018</v>
      </c>
      <c r="BA327">
        <f t="shared" si="237"/>
        <v>1.9315656486364352</v>
      </c>
      <c r="BB327">
        <f t="shared" si="253"/>
        <v>5.7181894642793774</v>
      </c>
      <c r="BC327">
        <f t="shared" si="254"/>
        <v>-1.1455329138297616</v>
      </c>
      <c r="BD327">
        <f t="shared" si="238"/>
        <v>-245.63420133076676</v>
      </c>
      <c r="BF327">
        <f t="shared" si="239"/>
        <v>-46.300426885823853</v>
      </c>
      <c r="BG327">
        <f t="shared" si="240"/>
        <v>-241.50299546695467</v>
      </c>
      <c r="BH327">
        <f t="shared" si="255"/>
        <v>-61.502995466954673</v>
      </c>
      <c r="BI327">
        <f t="shared" si="256"/>
        <v>-61.502995466954673</v>
      </c>
      <c r="BJ327">
        <f t="shared" si="241"/>
        <v>0</v>
      </c>
      <c r="BK327">
        <f t="shared" si="257"/>
        <v>0</v>
      </c>
      <c r="BM327">
        <f t="shared" si="258"/>
        <v>-52.018616350103237</v>
      </c>
      <c r="BN327">
        <f t="shared" si="242"/>
        <v>-175.86879413618794</v>
      </c>
      <c r="BQ327" s="56">
        <f t="shared" si="259"/>
        <v>22.620150264564511</v>
      </c>
      <c r="BR327" s="59"/>
      <c r="BS327" s="59"/>
      <c r="BT327" s="59">
        <v>147910.83900000001</v>
      </c>
      <c r="BU327" s="59">
        <v>9.9010099999999994</v>
      </c>
      <c r="BV327" s="59">
        <v>-135.72399999999999</v>
      </c>
      <c r="BY327" s="59"/>
      <c r="BZ327" s="59"/>
      <c r="CA327" s="59"/>
      <c r="CC327" s="59"/>
    </row>
    <row r="328" spans="1:81" x14ac:dyDescent="0.2">
      <c r="A328">
        <f t="shared" si="263"/>
        <v>570000</v>
      </c>
      <c r="B328">
        <f t="shared" si="243"/>
        <v>570</v>
      </c>
      <c r="C328">
        <f t="shared" si="212"/>
        <v>1.0024606938831007</v>
      </c>
      <c r="D328">
        <f t="shared" si="213"/>
        <v>7.0080790668456558E-2</v>
      </c>
      <c r="F328">
        <f t="shared" si="214"/>
        <v>1.6378537301878169E-4</v>
      </c>
      <c r="G328">
        <f t="shared" si="215"/>
        <v>2.6119903527710023E-3</v>
      </c>
      <c r="H328">
        <f t="shared" si="216"/>
        <v>-3.1389806596472294</v>
      </c>
      <c r="J328">
        <f t="shared" si="217"/>
        <v>15</v>
      </c>
      <c r="M328">
        <f t="shared" si="218"/>
        <v>2.1942914523284326E-3</v>
      </c>
      <c r="N328">
        <f t="shared" si="219"/>
        <v>-1.5707963250000001</v>
      </c>
      <c r="O328">
        <f t="shared" si="220"/>
        <v>111.94161193772889</v>
      </c>
      <c r="P328">
        <f t="shared" si="221"/>
        <v>1.5618629794578709</v>
      </c>
      <c r="Q328">
        <f t="shared" si="222"/>
        <v>97.305038207086227</v>
      </c>
      <c r="R328">
        <f t="shared" si="223"/>
        <v>1.5605191857350467</v>
      </c>
      <c r="S328">
        <f t="shared" si="224"/>
        <v>0.34168520873649838</v>
      </c>
      <c r="T328">
        <f t="shared" si="225"/>
        <v>-1.2220868832317939</v>
      </c>
      <c r="U328">
        <f t="shared" si="226"/>
        <v>0.3377463284508016</v>
      </c>
      <c r="V328">
        <f t="shared" si="227"/>
        <v>-1.2262748326307964</v>
      </c>
      <c r="X328">
        <f t="shared" si="244"/>
        <v>-43.358565257394197</v>
      </c>
      <c r="Y328">
        <f t="shared" si="228"/>
        <v>-227.21648334538858</v>
      </c>
      <c r="Z328">
        <f t="shared" si="245"/>
        <v>-47.216483345388582</v>
      </c>
      <c r="AC328">
        <v>1</v>
      </c>
      <c r="AD328">
        <f t="shared" si="229"/>
        <v>111.937145234355</v>
      </c>
      <c r="AE328">
        <f t="shared" si="230"/>
        <v>-4.8107212861495774E-2</v>
      </c>
      <c r="AF328">
        <f t="shared" si="231"/>
        <v>1.7262423293219999E-2</v>
      </c>
      <c r="AG328">
        <f t="shared" si="246"/>
        <v>721.28110927160969</v>
      </c>
      <c r="AH328">
        <f t="shared" si="247"/>
        <v>-2068.007674839384</v>
      </c>
      <c r="AJ328">
        <f t="shared" si="232"/>
        <v>26400</v>
      </c>
      <c r="AK328">
        <f t="shared" si="233"/>
        <v>72613.917998899196</v>
      </c>
      <c r="AL328">
        <v>1</v>
      </c>
      <c r="AM328">
        <f t="shared" si="234"/>
        <v>97.299899591328014</v>
      </c>
      <c r="AN328">
        <f t="shared" si="248"/>
        <v>748.99919260063211</v>
      </c>
      <c r="AO328">
        <f t="shared" si="249"/>
        <v>-263.62823512806114</v>
      </c>
      <c r="AQ328">
        <f t="shared" si="235"/>
        <v>7.6946693639047678E-3</v>
      </c>
      <c r="AR328">
        <f t="shared" si="236"/>
        <v>-8.7719230748514345</v>
      </c>
      <c r="AT328">
        <f t="shared" si="261"/>
        <v>-18134.854222239181</v>
      </c>
      <c r="AU328">
        <f t="shared" si="262"/>
        <v>-6342.9350411739788</v>
      </c>
      <c r="AV328">
        <f t="shared" si="250"/>
        <v>-2.8051273140052531</v>
      </c>
      <c r="AW328">
        <f t="shared" si="251"/>
        <v>-839.57439905573131</v>
      </c>
      <c r="AX328">
        <f t="shared" si="252"/>
        <v>-9990.7565830747571</v>
      </c>
      <c r="AY328">
        <f t="shared" si="260"/>
        <v>-1.6546344619420625</v>
      </c>
      <c r="BA328">
        <f t="shared" si="237"/>
        <v>1.9162358101743189</v>
      </c>
      <c r="BB328">
        <f t="shared" si="253"/>
        <v>5.6489790380229623</v>
      </c>
      <c r="BC328">
        <f t="shared" si="254"/>
        <v>-1.1504928520631905</v>
      </c>
      <c r="BD328">
        <f t="shared" si="238"/>
        <v>-245.91838485851252</v>
      </c>
      <c r="BF328">
        <f t="shared" si="239"/>
        <v>-46.522346435960529</v>
      </c>
      <c r="BG328">
        <f t="shared" si="240"/>
        <v>-241.75339530016831</v>
      </c>
      <c r="BH328">
        <f t="shared" si="255"/>
        <v>-61.753395300168307</v>
      </c>
      <c r="BI328">
        <f t="shared" si="256"/>
        <v>-61.753395300168307</v>
      </c>
      <c r="BJ328">
        <f t="shared" si="241"/>
        <v>0</v>
      </c>
      <c r="BK328">
        <f t="shared" si="257"/>
        <v>0</v>
      </c>
      <c r="BM328">
        <f t="shared" si="258"/>
        <v>-52.171325473983494</v>
      </c>
      <c r="BN328">
        <f t="shared" si="242"/>
        <v>-175.83501044165578</v>
      </c>
      <c r="BQ328" s="56">
        <f t="shared" si="259"/>
        <v>22.550939838308096</v>
      </c>
      <c r="BR328" s="59"/>
      <c r="BS328" s="59"/>
      <c r="BT328" s="59">
        <v>151356.125</v>
      </c>
      <c r="BU328" s="59">
        <v>10.0764</v>
      </c>
      <c r="BV328" s="59">
        <v>-136.34200000000001</v>
      </c>
      <c r="BY328" s="59"/>
      <c r="BZ328" s="59"/>
      <c r="CA328" s="59"/>
      <c r="CC328" s="59"/>
    </row>
    <row r="329" spans="1:81" x14ac:dyDescent="0.2">
      <c r="A329">
        <f t="shared" si="263"/>
        <v>575000</v>
      </c>
      <c r="B329">
        <f t="shared" si="243"/>
        <v>575</v>
      </c>
      <c r="C329">
        <f t="shared" ref="C329:C392" si="264">SQRT((A329/Fesr)^2+1)</f>
        <v>1.0025039991420888</v>
      </c>
      <c r="D329">
        <f t="shared" ref="D329:D392" si="265">ATAN(A329/Fesr)</f>
        <v>7.0693497191344989E-2</v>
      </c>
      <c r="F329">
        <f t="shared" ref="F329:F392" si="266">(Ro/(Ro+Rdcr))/SQRT((A329/(Q*Fo))^2+(1-(A329^2/Fo^2))^2)</f>
        <v>1.6094886906623679E-4</v>
      </c>
      <c r="G329">
        <f t="shared" ref="G329:G392" si="267">-ATAN(A329*Fo/(Q*(Fo^2-A329^2)))</f>
        <v>2.5892701476802724E-3</v>
      </c>
      <c r="H329">
        <f t="shared" ref="H329:H392" si="268">IF(G329&gt;0,G329-Pi,G329)</f>
        <v>-3.13900337985232</v>
      </c>
      <c r="J329">
        <f t="shared" ref="J329:J392" si="269">Vin/Vramp</f>
        <v>15</v>
      </c>
      <c r="M329">
        <f t="shared" ref="M329:M392" si="270">1/(2*Pi*_Rfb1*(Cc1ea_u+Cc2ea_u)*A329)</f>
        <v>2.1752106570907944E-3</v>
      </c>
      <c r="N329">
        <f t="shared" ref="N329:N392" si="271">-Pi/2</f>
        <v>-1.5707963250000001</v>
      </c>
      <c r="O329">
        <f t="shared" ref="O329:O392" si="272">SQRT(1+(A329/Fz1_u)^2)</f>
        <v>112.92347788111717</v>
      </c>
      <c r="P329">
        <f t="shared" ref="P329:P392" si="273">ATAN2(Fz1_u,A329)</f>
        <v>1.5619406566599878</v>
      </c>
      <c r="Q329">
        <f t="shared" ref="Q329:Q392" si="274">SQRT(1+(A329/Fz2_u)^2)</f>
        <v>98.158501416951964</v>
      </c>
      <c r="R329">
        <f t="shared" ref="R329:R392" si="275">ATAN2(Fz2_u,A329)</f>
        <v>1.5606085459684418</v>
      </c>
      <c r="S329">
        <f t="shared" ref="S329:S392" si="276">1/SQRT(1+(A329/Fp1_u)^2)</f>
        <v>0.33905692270659227</v>
      </c>
      <c r="T329">
        <f t="shared" ref="T329:T392" si="277">-ATAN2(Fp1_u,A329)</f>
        <v>-1.2248820675604331</v>
      </c>
      <c r="U329">
        <f t="shared" ref="U329:U392" si="278">1/SQRT(1+(A329/Fp2_u)^2)</f>
        <v>0.33514055990172242</v>
      </c>
      <c r="V329">
        <f t="shared" ref="V329:V392" si="279">-ATAN2(Fp2_u,A329)</f>
        <v>-1.2290419129468104</v>
      </c>
      <c r="X329">
        <f t="shared" si="244"/>
        <v>-43.568432076218599</v>
      </c>
      <c r="Y329">
        <f t="shared" ref="Y329:Y392" si="280">(180/Pi)*(D329+H329+N329+P329+R329+T329+V329)</f>
        <v>-227.49180336832086</v>
      </c>
      <c r="Z329">
        <f t="shared" si="245"/>
        <v>-47.491803368320859</v>
      </c>
      <c r="AC329">
        <v>1</v>
      </c>
      <c r="AD329">
        <f t="shared" ref="AD329:AD392" si="281">Rcea1_u*Cc1ea_u*A329*2*Pi</f>
        <v>112.91905001711251</v>
      </c>
      <c r="AE329">
        <f t="shared" ref="AE329:AE392" si="282">-Rcea1_u*Cc1ea_u*Cc2ea_u*(A329*2*Pi)^2</f>
        <v>-4.8954900745866545E-2</v>
      </c>
      <c r="AF329">
        <f t="shared" ref="AF329:AF392" si="283">(Cc2ea_u+Cc1ea_u)*A329*2*Pi</f>
        <v>1.741384805895E-2</v>
      </c>
      <c r="AG329">
        <f t="shared" si="246"/>
        <v>710.1944375411415</v>
      </c>
      <c r="AH329">
        <f t="shared" si="247"/>
        <v>-2053.9686621252031</v>
      </c>
      <c r="AJ329">
        <f t="shared" ref="AJ329:AJ392" si="284">_Rfb1</f>
        <v>26400</v>
      </c>
      <c r="AK329">
        <f t="shared" ref="AK329:AK392" si="285">_Rfb1*Rcea2_u*Cc3ea_u*A329*2*Pi</f>
        <v>73250.882191872006</v>
      </c>
      <c r="AL329">
        <v>1</v>
      </c>
      <c r="AM329">
        <f t="shared" ref="AM329:AM392" si="286">(_Rfb1+Rcea2_u)*Cc3ea_u*A329*2*Pi</f>
        <v>98.153407482480006</v>
      </c>
      <c r="AN329">
        <f t="shared" si="248"/>
        <v>748.95228164769378</v>
      </c>
      <c r="AO329">
        <f t="shared" si="249"/>
        <v>-261.33629362720717</v>
      </c>
      <c r="AQ329">
        <f t="shared" ref="AQ329:AQ392" si="287">Eadcg/(1+(Eadcg*A329/GBP)^2)</f>
        <v>7.5614309554397309E-3</v>
      </c>
      <c r="AR329">
        <f t="shared" ref="AR329:AR392" si="288">-(A329*Eadcg*Eadcg/GBP)/(1+(Eadcg*A329/GBP)^2)</f>
        <v>-8.6956455987556911</v>
      </c>
      <c r="AT329">
        <f t="shared" si="261"/>
        <v>-17855.213470586732</v>
      </c>
      <c r="AU329">
        <f t="shared" si="262"/>
        <v>-6191.1300772886971</v>
      </c>
      <c r="AV329">
        <f t="shared" si="250"/>
        <v>-2.8078243448783962</v>
      </c>
      <c r="AW329">
        <f t="shared" si="251"/>
        <v>-810.72467942930029</v>
      </c>
      <c r="AX329">
        <f t="shared" si="252"/>
        <v>-9907.3572049263694</v>
      </c>
      <c r="AY329">
        <f t="shared" si="260"/>
        <v>-1.6524449739292857</v>
      </c>
      <c r="BA329">
        <f t="shared" ref="BA329:BA392" si="289">SQRT(AT329^2+AU329^2)/SQRT(AW329^2+AX329^2)</f>
        <v>1.9011283387531914</v>
      </c>
      <c r="BB329">
        <f t="shared" si="253"/>
        <v>5.5802287121745238</v>
      </c>
      <c r="BC329">
        <f t="shared" si="254"/>
        <v>-1.1553793709491105</v>
      </c>
      <c r="BD329">
        <f t="shared" ref="BD329:BD392" si="290">BC329*180/Pi-180</f>
        <v>-246.19836176750664</v>
      </c>
      <c r="BF329">
        <f t="shared" ref="BF329:BF392" si="291">20*LOG(BA329*J329*F329*C329)</f>
        <v>-46.742465243641902</v>
      </c>
      <c r="BG329">
        <f t="shared" ref="BG329:BG392" si="292">(180/Pi)*(D329+H329+BC329)</f>
        <v>-241.99956848314355</v>
      </c>
      <c r="BH329">
        <f t="shared" si="255"/>
        <v>-61.999568483143548</v>
      </c>
      <c r="BI329">
        <f t="shared" si="256"/>
        <v>-61.999568483143548</v>
      </c>
      <c r="BJ329">
        <f t="shared" ref="BJ329:BJ392" si="293">SUM((BF330&lt;0)*(BF329&gt;0))*A329</f>
        <v>0</v>
      </c>
      <c r="BK329">
        <f t="shared" si="257"/>
        <v>0</v>
      </c>
      <c r="BM329">
        <f t="shared" si="258"/>
        <v>-52.322693955816426</v>
      </c>
      <c r="BN329">
        <f t="shared" ref="BN329:BN392" si="294">(H329+D329)*180/Pi</f>
        <v>-175.80120671563688</v>
      </c>
      <c r="BQ329" s="56">
        <f t="shared" si="259"/>
        <v>22.482189512459662</v>
      </c>
      <c r="BR329" s="59"/>
      <c r="BS329" s="59"/>
      <c r="BT329" s="59">
        <v>154881.66200000001</v>
      </c>
      <c r="BU329" s="59">
        <v>10.266</v>
      </c>
      <c r="BV329" s="59">
        <v>-136.816</v>
      </c>
      <c r="BY329" s="59"/>
      <c r="BZ329" s="59"/>
      <c r="CA329" s="59"/>
      <c r="CC329" s="59"/>
    </row>
    <row r="330" spans="1:81" x14ac:dyDescent="0.2">
      <c r="A330">
        <f t="shared" si="263"/>
        <v>580000</v>
      </c>
      <c r="B330">
        <f t="shared" ref="B330:B393" si="295">A330/1000</f>
        <v>580</v>
      </c>
      <c r="C330">
        <f t="shared" si="264"/>
        <v>1.0025476807177893</v>
      </c>
      <c r="D330">
        <f t="shared" si="265"/>
        <v>7.130615055226544E-2</v>
      </c>
      <c r="F330">
        <f t="shared" si="266"/>
        <v>1.581854214757657E-4</v>
      </c>
      <c r="G330">
        <f t="shared" si="267"/>
        <v>2.5669418552680262E-3</v>
      </c>
      <c r="H330">
        <f t="shared" si="268"/>
        <v>-3.1390257081447324</v>
      </c>
      <c r="J330">
        <f t="shared" si="269"/>
        <v>15</v>
      </c>
      <c r="M330">
        <f t="shared" si="270"/>
        <v>2.1564588410813907E-3</v>
      </c>
      <c r="N330">
        <f t="shared" si="271"/>
        <v>-1.5707963250000001</v>
      </c>
      <c r="O330">
        <f t="shared" si="272"/>
        <v>113.90534449411069</v>
      </c>
      <c r="P330">
        <f t="shared" si="273"/>
        <v>1.5620169947041254</v>
      </c>
      <c r="Q330">
        <f t="shared" si="274"/>
        <v>99.011965397125266</v>
      </c>
      <c r="R330">
        <f t="shared" si="275"/>
        <v>1.5606963656666917</v>
      </c>
      <c r="S330">
        <f t="shared" si="276"/>
        <v>0.33646619332262917</v>
      </c>
      <c r="T330">
        <f t="shared" si="277"/>
        <v>-1.2276345571898302</v>
      </c>
      <c r="U330">
        <f t="shared" si="278"/>
        <v>0.33257220316684466</v>
      </c>
      <c r="V330">
        <f t="shared" si="279"/>
        <v>-1.2317666027030298</v>
      </c>
      <c r="X330">
        <f t="shared" ref="X330:X393" si="296">20*LOG(C330*J330*O330*Q330*F330*M330*S330*U330)</f>
        <v>-43.776738188086163</v>
      </c>
      <c r="Y330">
        <f t="shared" si="280"/>
        <v>-227.76239395028244</v>
      </c>
      <c r="Z330">
        <f t="shared" ref="Z330:Z393" si="297">Y330+180</f>
        <v>-47.762393950282444</v>
      </c>
      <c r="AC330">
        <v>1</v>
      </c>
      <c r="AD330">
        <f t="shared" si="281"/>
        <v>113.90095479987001</v>
      </c>
      <c r="AE330">
        <f t="shared" si="282"/>
        <v>-4.9809992017873735E-2</v>
      </c>
      <c r="AF330">
        <f t="shared" si="283"/>
        <v>1.7565272824679998E-2</v>
      </c>
      <c r="AG330">
        <f t="shared" ref="AG330:AG359" si="298">AC330*AE330/(AE330^2+AF330^2)+AD330*AF330/(AE330^2+AF330^2)</f>
        <v>699.3509669036431</v>
      </c>
      <c r="AH330">
        <f t="shared" ref="AH330:AH359" si="299">AD330*AE330/(AE330^2+AF330^2)-AC330*AF330/(AE330^2+AF330^2)</f>
        <v>-2040.0859375673019</v>
      </c>
      <c r="AJ330">
        <f t="shared" si="284"/>
        <v>26400</v>
      </c>
      <c r="AK330">
        <f t="shared" si="285"/>
        <v>73887.846384844801</v>
      </c>
      <c r="AL330">
        <v>1</v>
      </c>
      <c r="AM330">
        <f t="shared" si="286"/>
        <v>99.006915373632012</v>
      </c>
      <c r="AN330">
        <f t="shared" ref="AN330:AN359" si="300">AJ330*AL330/(AL330^2+AM330^2)+AK330*AM330/(AL330^2+AM330^2)</f>
        <v>748.90657850705861</v>
      </c>
      <c r="AO330">
        <f t="shared" ref="AO330:AO359" si="301">AK330*AL330/(AL330^2+AM330^2)-AJ330*AM330/(AL330^2+AM330^2)</f>
        <v>-259.08385615985424</v>
      </c>
      <c r="AQ330">
        <f t="shared" si="287"/>
        <v>7.431623490172793E-3</v>
      </c>
      <c r="AR330">
        <f t="shared" si="288"/>
        <v>-8.6206832486004394</v>
      </c>
      <c r="AT330">
        <f t="shared" si="261"/>
        <v>-17581.737354618246</v>
      </c>
      <c r="AU330">
        <f t="shared" si="262"/>
        <v>-6044.044315854353</v>
      </c>
      <c r="AV330">
        <f t="shared" ref="AV330:AV393" si="302">ATAN2(AT330,AU330)</f>
        <v>-2.8104801928367329</v>
      </c>
      <c r="AW330">
        <f t="shared" ref="AW330:AW393" si="303">AG330-AH330*AO330/_Rfb2+AG330*AN330/_Rfb2+AN330-AO330*AR330+AQ330*AN330</f>
        <v>-782.65971652546727</v>
      </c>
      <c r="AX330">
        <f t="shared" ref="AX330:AX393" si="304">AH330+AH330*AN330/_Rfb2+AG330*AO330/_Rfb2+AO330+AO330*AQ330+AN330*AR330</f>
        <v>-9825.3218064249959</v>
      </c>
      <c r="AY330">
        <f t="shared" si="260"/>
        <v>-1.6502858948162602</v>
      </c>
      <c r="BA330">
        <f t="shared" si="289"/>
        <v>1.8862389274352733</v>
      </c>
      <c r="BB330">
        <f t="shared" ref="BB330:BB393" si="305">20*LOG(BA330)</f>
        <v>5.5119340680745115</v>
      </c>
      <c r="BC330">
        <f t="shared" ref="BC330:BC393" si="306">AV330-AY330</f>
        <v>-1.1601942980204727</v>
      </c>
      <c r="BD330">
        <f t="shared" si="290"/>
        <v>-246.4742367676742</v>
      </c>
      <c r="BF330">
        <f t="shared" si="291"/>
        <v>-46.960810898155643</v>
      </c>
      <c r="BG330">
        <f t="shared" si="292"/>
        <v>-242.24162034830616</v>
      </c>
      <c r="BH330">
        <f t="shared" ref="BH330:BH393" si="307">IF(BG330&gt;180,BG330-180,BG330+180)</f>
        <v>-62.241620348306157</v>
      </c>
      <c r="BI330">
        <f t="shared" ref="BI330:BI393" si="308">IF(BH330&gt;180,BH330-360,BH330)</f>
        <v>-62.241620348306157</v>
      </c>
      <c r="BJ330">
        <f t="shared" si="293"/>
        <v>0</v>
      </c>
      <c r="BK330">
        <f t="shared" ref="BK330:BK393" si="309">IF(BJ330&gt;0,BI330,0)</f>
        <v>0</v>
      </c>
      <c r="BM330">
        <f t="shared" ref="BM330:BM393" si="310">20*LOG(J330*F330*C330)</f>
        <v>-52.472744966230152</v>
      </c>
      <c r="BN330">
        <f t="shared" si="294"/>
        <v>-175.76738358063196</v>
      </c>
      <c r="BQ330" s="56">
        <f t="shared" ref="BQ330:BQ393" si="311">20*LOG(BA330*7)</f>
        <v>22.413894868359648</v>
      </c>
      <c r="BR330" s="59"/>
      <c r="BS330" s="59"/>
      <c r="BT330" s="59">
        <v>158489.31899999999</v>
      </c>
      <c r="BU330" s="59">
        <v>10.4788</v>
      </c>
      <c r="BV330" s="59">
        <v>-137.47</v>
      </c>
      <c r="BY330" s="59"/>
      <c r="BZ330" s="59"/>
      <c r="CA330" s="59"/>
      <c r="CC330" s="59"/>
    </row>
    <row r="331" spans="1:81" x14ac:dyDescent="0.2">
      <c r="A331">
        <f t="shared" si="263"/>
        <v>585000</v>
      </c>
      <c r="B331">
        <f t="shared" si="295"/>
        <v>585</v>
      </c>
      <c r="C331">
        <f t="shared" si="264"/>
        <v>1.0025917385610152</v>
      </c>
      <c r="D331">
        <f t="shared" si="265"/>
        <v>7.1918750298285095E-2</v>
      </c>
      <c r="F331">
        <f t="shared" si="266"/>
        <v>1.5549254266170474E-4</v>
      </c>
      <c r="G331">
        <f t="shared" si="267"/>
        <v>2.5449954202456321E-3</v>
      </c>
      <c r="H331">
        <f t="shared" si="268"/>
        <v>-3.1390476545797545</v>
      </c>
      <c r="J331">
        <f t="shared" si="269"/>
        <v>15</v>
      </c>
      <c r="M331">
        <f t="shared" si="270"/>
        <v>2.138027568935396E-3</v>
      </c>
      <c r="N331">
        <f t="shared" si="271"/>
        <v>-1.5707963250000001</v>
      </c>
      <c r="O331">
        <f t="shared" si="272"/>
        <v>114.88721175954142</v>
      </c>
      <c r="P331">
        <f t="shared" si="273"/>
        <v>1.5620920279241532</v>
      </c>
      <c r="Q331">
        <f t="shared" si="274"/>
        <v>99.865430127856627</v>
      </c>
      <c r="R331">
        <f t="shared" si="275"/>
        <v>1.5607826843253476</v>
      </c>
      <c r="S331">
        <f t="shared" si="276"/>
        <v>0.33391228265586714</v>
      </c>
      <c r="T331">
        <f t="shared" si="277"/>
        <v>-1.2303452821408218</v>
      </c>
      <c r="U331">
        <f t="shared" si="278"/>
        <v>0.33004051779185389</v>
      </c>
      <c r="V331">
        <f t="shared" si="279"/>
        <v>-1.2344498290622077</v>
      </c>
      <c r="X331">
        <f t="shared" si="296"/>
        <v>-43.983504646592884</v>
      </c>
      <c r="Y331">
        <f t="shared" si="280"/>
        <v>-228.02835787201744</v>
      </c>
      <c r="Z331">
        <f t="shared" si="297"/>
        <v>-48.028357872017438</v>
      </c>
      <c r="AC331">
        <v>1</v>
      </c>
      <c r="AD331">
        <f t="shared" si="281"/>
        <v>114.88285958262749</v>
      </c>
      <c r="AE331">
        <f t="shared" si="282"/>
        <v>-5.0672486677517364E-2</v>
      </c>
      <c r="AF331">
        <f t="shared" si="283"/>
        <v>1.7716697590409999E-2</v>
      </c>
      <c r="AG331">
        <f t="shared" si="298"/>
        <v>688.74396158127433</v>
      </c>
      <c r="AH331">
        <f t="shared" si="299"/>
        <v>-2026.3578488171759</v>
      </c>
      <c r="AJ331">
        <f t="shared" si="284"/>
        <v>26400</v>
      </c>
      <c r="AK331">
        <f t="shared" si="285"/>
        <v>74524.81057781761</v>
      </c>
      <c r="AL331">
        <v>1</v>
      </c>
      <c r="AM331">
        <f t="shared" si="286"/>
        <v>99.860423264784018</v>
      </c>
      <c r="AN331">
        <f t="shared" si="300"/>
        <v>748.86204206990635</v>
      </c>
      <c r="AO331">
        <f t="shared" si="301"/>
        <v>-256.8699102137295</v>
      </c>
      <c r="AQ331">
        <f t="shared" si="287"/>
        <v>7.3051301737671317E-3</v>
      </c>
      <c r="AR331">
        <f t="shared" si="288"/>
        <v>-8.5470023033075435</v>
      </c>
      <c r="AT331">
        <f t="shared" si="261"/>
        <v>-17314.253836869972</v>
      </c>
      <c r="AU331">
        <f t="shared" si="262"/>
        <v>-5901.4990338885582</v>
      </c>
      <c r="AV331">
        <f t="shared" si="302"/>
        <v>-2.81309575408127</v>
      </c>
      <c r="AW331">
        <f t="shared" si="303"/>
        <v>-755.35126911738053</v>
      </c>
      <c r="AX331">
        <f t="shared" si="304"/>
        <v>-9744.6173732195966</v>
      </c>
      <c r="AY331">
        <f t="shared" ref="AY331:AY394" si="312">ATAN2(AW331,AX331)</f>
        <v>-1.6481563523673928</v>
      </c>
      <c r="BA331">
        <f t="shared" si="289"/>
        <v>1.8715633578581339</v>
      </c>
      <c r="BB331">
        <f t="shared" si="305"/>
        <v>5.4440906765901094</v>
      </c>
      <c r="BC331">
        <f t="shared" si="306"/>
        <v>-1.1649394017138772</v>
      </c>
      <c r="BD331">
        <f t="shared" si="290"/>
        <v>-246.74611118296889</v>
      </c>
      <c r="BF331">
        <f t="shared" si="291"/>
        <v>-47.177410402236745</v>
      </c>
      <c r="BG331">
        <f t="shared" si="292"/>
        <v>-242.47965282168656</v>
      </c>
      <c r="BH331">
        <f t="shared" si="307"/>
        <v>-62.479652821686557</v>
      </c>
      <c r="BI331">
        <f t="shared" si="308"/>
        <v>-62.479652821686557</v>
      </c>
      <c r="BJ331">
        <f t="shared" si="293"/>
        <v>0</v>
      </c>
      <c r="BK331">
        <f t="shared" si="309"/>
        <v>0</v>
      </c>
      <c r="BM331">
        <f t="shared" si="310"/>
        <v>-52.62150107882686</v>
      </c>
      <c r="BN331">
        <f t="shared" si="294"/>
        <v>-175.73354163871772</v>
      </c>
      <c r="BQ331" s="56">
        <f t="shared" si="311"/>
        <v>22.346051476875246</v>
      </c>
      <c r="BR331" s="59"/>
      <c r="BS331" s="59"/>
      <c r="BT331" s="59">
        <v>162181.01</v>
      </c>
      <c r="BU331" s="59">
        <v>10.741899999999999</v>
      </c>
      <c r="BV331" s="59">
        <v>-137.46899999999999</v>
      </c>
      <c r="BY331" s="59"/>
      <c r="BZ331" s="59"/>
      <c r="CA331" s="59"/>
      <c r="CC331" s="59"/>
    </row>
    <row r="332" spans="1:81" x14ac:dyDescent="0.2">
      <c r="A332">
        <f t="shared" si="263"/>
        <v>590000</v>
      </c>
      <c r="B332">
        <f t="shared" si="295"/>
        <v>590</v>
      </c>
      <c r="C332">
        <f t="shared" si="264"/>
        <v>1.0026361726221649</v>
      </c>
      <c r="D332">
        <f t="shared" si="265"/>
        <v>7.2531295976711305E-2</v>
      </c>
      <c r="F332">
        <f t="shared" si="266"/>
        <v>1.5286785002783921E-4</v>
      </c>
      <c r="G332">
        <f t="shared" si="267"/>
        <v>2.5234211284430644E-3</v>
      </c>
      <c r="H332">
        <f t="shared" si="268"/>
        <v>-3.1390692288715569</v>
      </c>
      <c r="J332">
        <f t="shared" si="269"/>
        <v>15</v>
      </c>
      <c r="M332">
        <f t="shared" si="270"/>
        <v>2.1199086912325536E-3</v>
      </c>
      <c r="N332">
        <f t="shared" si="271"/>
        <v>-1.5707963250000001</v>
      </c>
      <c r="O332">
        <f t="shared" si="272"/>
        <v>115.8690796608232</v>
      </c>
      <c r="P332">
        <f t="shared" si="273"/>
        <v>1.562165789490229</v>
      </c>
      <c r="Q332">
        <f t="shared" si="274"/>
        <v>100.71889559006601</v>
      </c>
      <c r="R332">
        <f t="shared" si="275"/>
        <v>1.5608675401013519</v>
      </c>
      <c r="S332">
        <f t="shared" si="276"/>
        <v>0.33139446996485838</v>
      </c>
      <c r="T332">
        <f t="shared" si="277"/>
        <v>-1.2330151468798827</v>
      </c>
      <c r="U332">
        <f t="shared" si="278"/>
        <v>0.32754478077622889</v>
      </c>
      <c r="V332">
        <f t="shared" si="279"/>
        <v>-1.237092493571079</v>
      </c>
      <c r="X332">
        <f t="shared" si="296"/>
        <v>-44.188752123018695</v>
      </c>
      <c r="Y332">
        <f t="shared" si="280"/>
        <v>-228.28979510623719</v>
      </c>
      <c r="Z332">
        <f t="shared" si="297"/>
        <v>-48.289795106237193</v>
      </c>
      <c r="AC332">
        <v>1</v>
      </c>
      <c r="AD332">
        <f t="shared" si="281"/>
        <v>115.864764365385</v>
      </c>
      <c r="AE332">
        <f t="shared" si="282"/>
        <v>-5.1542384724797399E-2</v>
      </c>
      <c r="AF332">
        <f t="shared" si="283"/>
        <v>1.786812235614E-2</v>
      </c>
      <c r="AG332">
        <f t="shared" si="298"/>
        <v>678.36690462907143</v>
      </c>
      <c r="AH332">
        <f t="shared" si="299"/>
        <v>-2012.7827236756671</v>
      </c>
      <c r="AJ332">
        <f t="shared" si="284"/>
        <v>26400</v>
      </c>
      <c r="AK332">
        <f t="shared" si="285"/>
        <v>75161.774770790405</v>
      </c>
      <c r="AL332">
        <v>1</v>
      </c>
      <c r="AM332">
        <f t="shared" si="286"/>
        <v>100.71393115593602</v>
      </c>
      <c r="AN332">
        <f t="shared" si="300"/>
        <v>748.81863296155518</v>
      </c>
      <c r="AO332">
        <f t="shared" si="301"/>
        <v>-254.69347758179111</v>
      </c>
      <c r="AQ332">
        <f t="shared" si="287"/>
        <v>7.1818391397305802E-3</v>
      </c>
      <c r="AR332">
        <f t="shared" si="288"/>
        <v>-8.4745701848820847</v>
      </c>
      <c r="AT332">
        <f t="shared" si="261"/>
        <v>-17052.596536720801</v>
      </c>
      <c r="AU332">
        <f t="shared" si="262"/>
        <v>-5763.3234261249454</v>
      </c>
      <c r="AV332">
        <f t="shared" si="302"/>
        <v>-2.8156719002464015</v>
      </c>
      <c r="AW332">
        <f t="shared" si="303"/>
        <v>-728.77235217794237</v>
      </c>
      <c r="AX332">
        <f t="shared" si="304"/>
        <v>-9665.2119506284344</v>
      </c>
      <c r="AY332">
        <f t="shared" si="312"/>
        <v>-1.6460555065670583</v>
      </c>
      <c r="BA332">
        <f t="shared" si="289"/>
        <v>1.8570974992692055</v>
      </c>
      <c r="BB332">
        <f t="shared" si="305"/>
        <v>5.37669410369225</v>
      </c>
      <c r="BC332">
        <f t="shared" si="306"/>
        <v>-1.1696163936793431</v>
      </c>
      <c r="BD332">
        <f t="shared" si="290"/>
        <v>-247.01408308371288</v>
      </c>
      <c r="BF332">
        <f t="shared" si="291"/>
        <v>-47.392290186831225</v>
      </c>
      <c r="BG332">
        <f t="shared" si="292"/>
        <v>-242.71376455612534</v>
      </c>
      <c r="BH332">
        <f t="shared" si="307"/>
        <v>-62.713764556125341</v>
      </c>
      <c r="BI332">
        <f t="shared" si="308"/>
        <v>-62.713764556125341</v>
      </c>
      <c r="BJ332">
        <f t="shared" si="293"/>
        <v>0</v>
      </c>
      <c r="BK332">
        <f t="shared" si="309"/>
        <v>0</v>
      </c>
      <c r="BM332">
        <f t="shared" si="310"/>
        <v>-52.768984290523477</v>
      </c>
      <c r="BN332">
        <f t="shared" si="294"/>
        <v>-175.69968147241246</v>
      </c>
      <c r="BQ332" s="56">
        <f t="shared" si="311"/>
        <v>22.27865490397739</v>
      </c>
      <c r="BR332" s="59"/>
      <c r="BS332" s="59"/>
      <c r="BT332" s="59">
        <v>165958.69099999999</v>
      </c>
      <c r="BU332" s="59">
        <v>11.0235</v>
      </c>
      <c r="BV332" s="59">
        <v>-138.31200000000001</v>
      </c>
      <c r="BY332" s="59"/>
      <c r="BZ332" s="59"/>
      <c r="CA332" s="59"/>
      <c r="CC332" s="59"/>
    </row>
    <row r="333" spans="1:81" x14ac:dyDescent="0.2">
      <c r="A333">
        <f t="shared" si="263"/>
        <v>595000</v>
      </c>
      <c r="B333">
        <f t="shared" si="295"/>
        <v>595</v>
      </c>
      <c r="C333">
        <f t="shared" si="264"/>
        <v>1.0026809828512215</v>
      </c>
      <c r="D333">
        <f t="shared" si="265"/>
        <v>7.3143787135093716E-2</v>
      </c>
      <c r="F333">
        <f t="shared" si="266"/>
        <v>1.5030906069434517E-4</v>
      </c>
      <c r="G333">
        <f t="shared" si="267"/>
        <v>2.5022095924631736E-3</v>
      </c>
      <c r="H333">
        <f t="shared" si="268"/>
        <v>-3.139090440407537</v>
      </c>
      <c r="J333">
        <f t="shared" si="269"/>
        <v>15</v>
      </c>
      <c r="M333">
        <f t="shared" si="270"/>
        <v>2.1020943324827003E-3</v>
      </c>
      <c r="N333">
        <f t="shared" si="271"/>
        <v>-1.5707963250000001</v>
      </c>
      <c r="O333">
        <f t="shared" si="272"/>
        <v>116.85094818192738</v>
      </c>
      <c r="P333">
        <f t="shared" si="273"/>
        <v>1.5622383114576845</v>
      </c>
      <c r="Q333">
        <f t="shared" si="274"/>
        <v>101.57236176531457</v>
      </c>
      <c r="R333">
        <f t="shared" si="275"/>
        <v>1.5609509698692721</v>
      </c>
      <c r="S333">
        <f t="shared" si="276"/>
        <v>0.32891205128526224</v>
      </c>
      <c r="T333">
        <f t="shared" si="277"/>
        <v>-1.2356450311416498</v>
      </c>
      <c r="U333">
        <f t="shared" si="278"/>
        <v>0.32508428614647711</v>
      </c>
      <c r="V333">
        <f t="shared" si="279"/>
        <v>-1.2396954729910976</v>
      </c>
      <c r="X333">
        <f t="shared" si="296"/>
        <v>-44.392500914266442</v>
      </c>
      <c r="Y333">
        <f t="shared" si="280"/>
        <v>-228.54680290714398</v>
      </c>
      <c r="Z333">
        <f t="shared" si="297"/>
        <v>-48.546802907143984</v>
      </c>
      <c r="AC333">
        <v>1</v>
      </c>
      <c r="AD333">
        <f t="shared" si="281"/>
        <v>116.84666914814251</v>
      </c>
      <c r="AE333">
        <f t="shared" si="282"/>
        <v>-5.2419686159713874E-2</v>
      </c>
      <c r="AF333">
        <f t="shared" si="283"/>
        <v>1.8019547121869997E-2</v>
      </c>
      <c r="AG333">
        <f t="shared" si="298"/>
        <v>668.2134900658998</v>
      </c>
      <c r="AH333">
        <f t="shared" si="299"/>
        <v>-1999.3588736320448</v>
      </c>
      <c r="AJ333">
        <f t="shared" si="284"/>
        <v>26400</v>
      </c>
      <c r="AK333">
        <f t="shared" si="285"/>
        <v>75798.738963763215</v>
      </c>
      <c r="AL333">
        <v>1</v>
      </c>
      <c r="AM333">
        <f t="shared" si="286"/>
        <v>101.56743904708802</v>
      </c>
      <c r="AN333">
        <f t="shared" si="300"/>
        <v>748.7763134544183</v>
      </c>
      <c r="AO333">
        <f t="shared" si="301"/>
        <v>-252.55361292168973</v>
      </c>
      <c r="AQ333">
        <f t="shared" si="287"/>
        <v>7.0616432020032469E-3</v>
      </c>
      <c r="AR333">
        <f t="shared" si="288"/>
        <v>-8.4033554103838632</v>
      </c>
      <c r="AT333">
        <f t="shared" si="261"/>
        <v>-16796.604522785219</v>
      </c>
      <c r="AU333">
        <f t="shared" si="262"/>
        <v>-5629.354206035111</v>
      </c>
      <c r="AV333">
        <f t="shared" si="302"/>
        <v>-2.818209479186558</v>
      </c>
      <c r="AW333">
        <f t="shared" si="303"/>
        <v>-702.89717073015242</v>
      </c>
      <c r="AX333">
        <f t="shared" si="304"/>
        <v>-9587.0746010106195</v>
      </c>
      <c r="AY333">
        <f t="shared" si="312"/>
        <v>-1.6439825482004125</v>
      </c>
      <c r="BA333">
        <f t="shared" si="289"/>
        <v>1.842837307459156</v>
      </c>
      <c r="BB333">
        <f t="shared" si="305"/>
        <v>5.309739915542063</v>
      </c>
      <c r="BC333">
        <f t="shared" si="306"/>
        <v>-1.1742269309861455</v>
      </c>
      <c r="BD333">
        <f t="shared" si="290"/>
        <v>-247.27824741298213</v>
      </c>
      <c r="BF333">
        <f t="shared" si="291"/>
        <v>-47.605476125491393</v>
      </c>
      <c r="BG333">
        <f t="shared" si="292"/>
        <v>-242.94405105848011</v>
      </c>
      <c r="BH333">
        <f t="shared" si="307"/>
        <v>-62.944051058480113</v>
      </c>
      <c r="BI333">
        <f t="shared" si="308"/>
        <v>-62.944051058480113</v>
      </c>
      <c r="BJ333">
        <f t="shared" si="293"/>
        <v>0</v>
      </c>
      <c r="BK333">
        <f t="shared" si="309"/>
        <v>0</v>
      </c>
      <c r="BM333">
        <f t="shared" si="310"/>
        <v>-52.915216041033453</v>
      </c>
      <c r="BN333">
        <f t="shared" si="294"/>
        <v>-175.66580364549802</v>
      </c>
      <c r="BQ333" s="56">
        <f t="shared" si="311"/>
        <v>22.211700715827199</v>
      </c>
      <c r="BR333" s="59"/>
      <c r="BS333" s="59"/>
      <c r="BT333" s="59">
        <v>169824.36499999999</v>
      </c>
      <c r="BU333" s="59">
        <v>11.234299999999999</v>
      </c>
      <c r="BV333" s="59">
        <v>-140.114</v>
      </c>
      <c r="BY333" s="59"/>
      <c r="BZ333" s="59"/>
      <c r="CA333" s="59"/>
      <c r="CC333" s="59"/>
    </row>
    <row r="334" spans="1:81" x14ac:dyDescent="0.2">
      <c r="A334">
        <f t="shared" si="263"/>
        <v>600000</v>
      </c>
      <c r="B334">
        <f t="shared" si="295"/>
        <v>600</v>
      </c>
      <c r="C334">
        <f t="shared" si="264"/>
        <v>1.002726169197754</v>
      </c>
      <c r="D334">
        <f t="shared" si="265"/>
        <v>7.3756223321226055E-2</v>
      </c>
      <c r="F334">
        <f t="shared" si="266"/>
        <v>1.4781398653115603E-4</v>
      </c>
      <c r="G334">
        <f t="shared" si="267"/>
        <v>2.4813517380539835E-3</v>
      </c>
      <c r="H334">
        <f t="shared" si="268"/>
        <v>-3.139111298261946</v>
      </c>
      <c r="J334">
        <f t="shared" si="269"/>
        <v>15</v>
      </c>
      <c r="M334">
        <f t="shared" si="270"/>
        <v>2.084576879712011E-3</v>
      </c>
      <c r="N334">
        <f t="shared" si="271"/>
        <v>-1.5707963250000001</v>
      </c>
      <c r="O334">
        <f t="shared" si="272"/>
        <v>117.83281730735955</v>
      </c>
      <c r="P334">
        <f t="shared" si="273"/>
        <v>1.5623096248134714</v>
      </c>
      <c r="Q334">
        <f t="shared" si="274"/>
        <v>102.42582863577806</v>
      </c>
      <c r="R334">
        <f t="shared" si="275"/>
        <v>1.5610330092747211</v>
      </c>
      <c r="S334">
        <f t="shared" si="276"/>
        <v>0.32646433902641414</v>
      </c>
      <c r="T334">
        <f t="shared" si="277"/>
        <v>-1.2382357907222092</v>
      </c>
      <c r="U334">
        <f t="shared" si="278"/>
        <v>0.32265834453708669</v>
      </c>
      <c r="V334">
        <f t="shared" si="279"/>
        <v>-1.242259620099319</v>
      </c>
      <c r="X334">
        <f t="shared" si="296"/>
        <v>-44.594770950644431</v>
      </c>
      <c r="Y334">
        <f t="shared" si="280"/>
        <v>-228.79947589682899</v>
      </c>
      <c r="Z334">
        <f t="shared" si="297"/>
        <v>-48.799475896828994</v>
      </c>
      <c r="AC334">
        <v>1</v>
      </c>
      <c r="AD334">
        <f t="shared" si="281"/>
        <v>117.82857393090001</v>
      </c>
      <c r="AE334">
        <f t="shared" si="282"/>
        <v>-5.3304390982266782E-2</v>
      </c>
      <c r="AF334">
        <f t="shared" si="283"/>
        <v>1.8170971887599998E-2</v>
      </c>
      <c r="AG334">
        <f t="shared" si="298"/>
        <v>658.27761529901659</v>
      </c>
      <c r="AH334">
        <f t="shared" si="299"/>
        <v>-1986.0845971260585</v>
      </c>
      <c r="AJ334">
        <f t="shared" si="284"/>
        <v>26400</v>
      </c>
      <c r="AK334">
        <f t="shared" si="285"/>
        <v>76435.70315673601</v>
      </c>
      <c r="AL334">
        <v>1</v>
      </c>
      <c r="AM334">
        <f t="shared" si="286"/>
        <v>102.42094693824002</v>
      </c>
      <c r="AN334">
        <f t="shared" si="300"/>
        <v>748.73504738601059</v>
      </c>
      <c r="AO334">
        <f t="shared" si="301"/>
        <v>-250.44940238720636</v>
      </c>
      <c r="AQ334">
        <f t="shared" si="287"/>
        <v>6.9444396219169296E-3</v>
      </c>
      <c r="AR334">
        <f t="shared" si="288"/>
        <v>-8.3333275463003158</v>
      </c>
      <c r="AT334">
        <f t="shared" si="261"/>
        <v>-16546.122113359444</v>
      </c>
      <c r="AU334">
        <f t="shared" si="262"/>
        <v>-5499.4352292529384</v>
      </c>
      <c r="AV334">
        <f t="shared" si="302"/>
        <v>-2.8207093157352086</v>
      </c>
      <c r="AW334">
        <f t="shared" si="303"/>
        <v>-677.70105770122018</v>
      </c>
      <c r="AX334">
        <f t="shared" si="304"/>
        <v>-9510.1753632152522</v>
      </c>
      <c r="AY334">
        <f t="shared" si="312"/>
        <v>-1.6419366975053136</v>
      </c>
      <c r="BA334">
        <f t="shared" si="289"/>
        <v>1.8287788236089177</v>
      </c>
      <c r="BB334">
        <f t="shared" si="305"/>
        <v>5.2432236831256107</v>
      </c>
      <c r="BC334">
        <f t="shared" si="306"/>
        <v>-1.178772618229895</v>
      </c>
      <c r="BD334">
        <f t="shared" si="290"/>
        <v>-247.53869610733304</v>
      </c>
      <c r="BF334">
        <f t="shared" si="291"/>
        <v>-47.816993548406884</v>
      </c>
      <c r="BG334">
        <f t="shared" si="292"/>
        <v>-243.17060481113316</v>
      </c>
      <c r="BH334">
        <f t="shared" si="307"/>
        <v>-63.17060481113316</v>
      </c>
      <c r="BI334">
        <f t="shared" si="308"/>
        <v>-63.17060481113316</v>
      </c>
      <c r="BJ334">
        <f t="shared" si="293"/>
        <v>0</v>
      </c>
      <c r="BK334">
        <f t="shared" si="309"/>
        <v>0</v>
      </c>
      <c r="BM334">
        <f t="shared" si="310"/>
        <v>-53.060217231532491</v>
      </c>
      <c r="BN334">
        <f t="shared" si="294"/>
        <v>-175.63190870380015</v>
      </c>
      <c r="BQ334" s="56">
        <f t="shared" si="311"/>
        <v>22.145184483410745</v>
      </c>
      <c r="BR334" s="59"/>
      <c r="BS334" s="59"/>
      <c r="BT334" s="59">
        <v>173780.08300000001</v>
      </c>
      <c r="BU334" s="59">
        <v>11.3918</v>
      </c>
      <c r="BV334" s="59">
        <v>-141.173</v>
      </c>
      <c r="BY334" s="59"/>
      <c r="BZ334" s="59"/>
      <c r="CA334" s="59"/>
      <c r="CC334" s="59"/>
    </row>
    <row r="335" spans="1:81" x14ac:dyDescent="0.2">
      <c r="A335">
        <f t="shared" si="263"/>
        <v>605000</v>
      </c>
      <c r="B335">
        <f t="shared" si="295"/>
        <v>605</v>
      </c>
      <c r="C335">
        <f t="shared" si="264"/>
        <v>1.0027717316109177</v>
      </c>
      <c r="D335">
        <f t="shared" si="265"/>
        <v>7.4368604083148188E-2</v>
      </c>
      <c r="F335">
        <f t="shared" si="266"/>
        <v>1.4538052947757067E-4</v>
      </c>
      <c r="G335">
        <f t="shared" si="267"/>
        <v>2.4608387911574567E-3</v>
      </c>
      <c r="H335">
        <f t="shared" si="268"/>
        <v>-3.1391318112088427</v>
      </c>
      <c r="J335">
        <f t="shared" si="269"/>
        <v>15</v>
      </c>
      <c r="M335">
        <f t="shared" si="270"/>
        <v>2.0673489716152176E-3</v>
      </c>
      <c r="N335">
        <f t="shared" si="271"/>
        <v>-1.5707963250000001</v>
      </c>
      <c r="O335">
        <f t="shared" si="272"/>
        <v>118.81468702213741</v>
      </c>
      <c r="P335">
        <f t="shared" si="273"/>
        <v>1.5623797595203024</v>
      </c>
      <c r="Q335">
        <f t="shared" si="274"/>
        <v>103.27929618422141</v>
      </c>
      <c r="R335">
        <f t="shared" si="275"/>
        <v>1.5611136927851328</v>
      </c>
      <c r="S335">
        <f t="shared" si="276"/>
        <v>0.32405066157490792</v>
      </c>
      <c r="T335">
        <f t="shared" si="277"/>
        <v>-1.2407882582442238</v>
      </c>
      <c r="U335">
        <f t="shared" si="278"/>
        <v>0.32026628277939767</v>
      </c>
      <c r="V335">
        <f t="shared" si="279"/>
        <v>-1.244785764460548</v>
      </c>
      <c r="X335">
        <f t="shared" si="296"/>
        <v>-44.795581803493747</v>
      </c>
      <c r="Y335">
        <f t="shared" si="280"/>
        <v>-229.04790614865536</v>
      </c>
      <c r="Z335">
        <f t="shared" si="297"/>
        <v>-49.047906148655358</v>
      </c>
      <c r="AC335">
        <v>1</v>
      </c>
      <c r="AD335">
        <f t="shared" si="281"/>
        <v>118.81047871365749</v>
      </c>
      <c r="AE335">
        <f t="shared" si="282"/>
        <v>-5.4196499192456102E-2</v>
      </c>
      <c r="AF335">
        <f t="shared" si="283"/>
        <v>1.8322396653329999E-2</v>
      </c>
      <c r="AG335">
        <f t="shared" si="298"/>
        <v>648.55337383213123</v>
      </c>
      <c r="AH335">
        <f t="shared" si="299"/>
        <v>-1972.958182552381</v>
      </c>
      <c r="AJ335">
        <f t="shared" si="284"/>
        <v>26400</v>
      </c>
      <c r="AK335">
        <f t="shared" si="285"/>
        <v>77072.667349708805</v>
      </c>
      <c r="AL335">
        <v>1</v>
      </c>
      <c r="AM335">
        <f t="shared" si="286"/>
        <v>103.27445482939201</v>
      </c>
      <c r="AN335">
        <f t="shared" si="300"/>
        <v>748.69480008168159</v>
      </c>
      <c r="AO335">
        <f t="shared" si="301"/>
        <v>-248.379962327508</v>
      </c>
      <c r="AQ335">
        <f t="shared" si="287"/>
        <v>6.8301298885800913E-3</v>
      </c>
      <c r="AR335">
        <f t="shared" si="288"/>
        <v>-8.264457165181911</v>
      </c>
      <c r="AT335">
        <f t="shared" si="261"/>
        <v>-16300.998684616356</v>
      </c>
      <c r="AU335">
        <f t="shared" si="262"/>
        <v>-5373.4171380214293</v>
      </c>
      <c r="AV335">
        <f t="shared" si="302"/>
        <v>-2.8231722124372052</v>
      </c>
      <c r="AW335">
        <f t="shared" si="303"/>
        <v>-653.16041550776208</v>
      </c>
      <c r="AX335">
        <f t="shared" si="304"/>
        <v>-9434.4852139884078</v>
      </c>
      <c r="AY335">
        <f t="shared" si="312"/>
        <v>-1.6399172028914475</v>
      </c>
      <c r="BA335">
        <f t="shared" si="289"/>
        <v>1.8149181730635586</v>
      </c>
      <c r="BB335">
        <f t="shared" si="305"/>
        <v>5.1771409864722546</v>
      </c>
      <c r="BC335">
        <f t="shared" si="306"/>
        <v>-1.1832550095457577</v>
      </c>
      <c r="BD335">
        <f t="shared" si="290"/>
        <v>-247.79551821215153</v>
      </c>
      <c r="BF335">
        <f t="shared" si="291"/>
        <v>-48.026867256076869</v>
      </c>
      <c r="BG335">
        <f t="shared" si="292"/>
        <v>-243.39351538808233</v>
      </c>
      <c r="BH335">
        <f t="shared" si="307"/>
        <v>-63.393515388082335</v>
      </c>
      <c r="BI335">
        <f t="shared" si="308"/>
        <v>-63.393515388082335</v>
      </c>
      <c r="BJ335">
        <f t="shared" si="293"/>
        <v>0</v>
      </c>
      <c r="BK335">
        <f t="shared" si="309"/>
        <v>0</v>
      </c>
      <c r="BM335">
        <f t="shared" si="310"/>
        <v>-53.204008242549122</v>
      </c>
      <c r="BN335">
        <f t="shared" si="294"/>
        <v>-175.5979971759308</v>
      </c>
      <c r="BQ335" s="56">
        <f t="shared" si="311"/>
        <v>22.079101786757391</v>
      </c>
      <c r="BR335" s="59"/>
      <c r="BS335" s="59"/>
      <c r="BT335" s="59">
        <v>177827.94099999999</v>
      </c>
      <c r="BU335" s="59">
        <v>11.612500000000001</v>
      </c>
      <c r="BV335" s="59">
        <v>-141.86199999999999</v>
      </c>
      <c r="BY335" s="59"/>
      <c r="BZ335" s="59"/>
      <c r="CA335" s="59"/>
      <c r="CC335" s="59"/>
    </row>
    <row r="336" spans="1:81" x14ac:dyDescent="0.2">
      <c r="A336">
        <f t="shared" si="263"/>
        <v>610000</v>
      </c>
      <c r="B336">
        <f t="shared" si="295"/>
        <v>610</v>
      </c>
      <c r="C336">
        <f t="shared" si="264"/>
        <v>1.0028176700394529</v>
      </c>
      <c r="D336">
        <f t="shared" si="265"/>
        <v>7.4980928969148083E-2</v>
      </c>
      <c r="F336">
        <f t="shared" si="266"/>
        <v>1.430066771294021E-4</v>
      </c>
      <c r="G336">
        <f t="shared" si="267"/>
        <v>2.4406622655958319E-3</v>
      </c>
      <c r="H336">
        <f t="shared" si="268"/>
        <v>-3.1391519877344045</v>
      </c>
      <c r="J336">
        <f t="shared" si="269"/>
        <v>15</v>
      </c>
      <c r="M336">
        <f t="shared" si="270"/>
        <v>2.0504034882413225E-3</v>
      </c>
      <c r="N336">
        <f t="shared" si="271"/>
        <v>-1.5707963250000001</v>
      </c>
      <c r="O336">
        <f t="shared" si="272"/>
        <v>119.79655731176987</v>
      </c>
      <c r="P336">
        <f t="shared" si="273"/>
        <v>1.5624487445586217</v>
      </c>
      <c r="Q336">
        <f t="shared" si="274"/>
        <v>104.1327643939745</v>
      </c>
      <c r="R336">
        <f t="shared" si="275"/>
        <v>1.5611930537380372</v>
      </c>
      <c r="S336">
        <f t="shared" si="276"/>
        <v>0.32167036290539996</v>
      </c>
      <c r="T336">
        <f t="shared" si="277"/>
        <v>-1.2433032438949312</v>
      </c>
      <c r="U336">
        <f t="shared" si="278"/>
        <v>0.31790744349854977</v>
      </c>
      <c r="V336">
        <f t="shared" si="279"/>
        <v>-1.2472747131718265</v>
      </c>
      <c r="X336">
        <f t="shared" si="296"/>
        <v>-44.994952692662054</v>
      </c>
      <c r="Y336">
        <f t="shared" si="280"/>
        <v>-229.29218326773332</v>
      </c>
      <c r="Z336">
        <f t="shared" si="297"/>
        <v>-49.292183267733321</v>
      </c>
      <c r="AC336">
        <v>1</v>
      </c>
      <c r="AD336">
        <f t="shared" si="281"/>
        <v>119.792383496415</v>
      </c>
      <c r="AE336">
        <f t="shared" si="282"/>
        <v>-5.5096010790281855E-2</v>
      </c>
      <c r="AF336">
        <f t="shared" si="283"/>
        <v>1.847382141906E-2</v>
      </c>
      <c r="AG336">
        <f t="shared" si="298"/>
        <v>639.03504824706306</v>
      </c>
      <c r="AH336">
        <f t="shared" si="299"/>
        <v>-1959.9779110255604</v>
      </c>
      <c r="AJ336">
        <f t="shared" si="284"/>
        <v>26400</v>
      </c>
      <c r="AK336">
        <f t="shared" si="285"/>
        <v>77709.6315426816</v>
      </c>
      <c r="AL336">
        <v>1</v>
      </c>
      <c r="AM336">
        <f t="shared" si="286"/>
        <v>104.12796272054402</v>
      </c>
      <c r="AN336">
        <f t="shared" si="300"/>
        <v>748.65553828176007</v>
      </c>
      <c r="AO336">
        <f t="shared" si="301"/>
        <v>-246.34443805033109</v>
      </c>
      <c r="AQ336">
        <f t="shared" si="287"/>
        <v>6.7186195118116689E-3</v>
      </c>
      <c r="AR336">
        <f t="shared" si="288"/>
        <v>-8.1967158044102355</v>
      </c>
      <c r="AT336">
        <f t="shared" si="261"/>
        <v>-16061.088486254284</v>
      </c>
      <c r="AU336">
        <f t="shared" si="262"/>
        <v>-5251.1570253744958</v>
      </c>
      <c r="AV336">
        <f t="shared" si="302"/>
        <v>-2.8255989502554191</v>
      </c>
      <c r="AW336">
        <f t="shared" si="303"/>
        <v>-629.2526611199695</v>
      </c>
      <c r="AX336">
        <f t="shared" si="304"/>
        <v>-9359.9760312261642</v>
      </c>
      <c r="AY336">
        <f t="shared" si="312"/>
        <v>-1.6379233397229727</v>
      </c>
      <c r="BA336">
        <f t="shared" si="289"/>
        <v>1.8012515640448545</v>
      </c>
      <c r="BB336">
        <f t="shared" si="305"/>
        <v>5.1114874184895456</v>
      </c>
      <c r="BC336">
        <f t="shared" si="306"/>
        <v>-1.1876756105324464</v>
      </c>
      <c r="BD336">
        <f t="shared" si="290"/>
        <v>-248.04879999188955</v>
      </c>
      <c r="BF336">
        <f t="shared" si="291"/>
        <v>-48.235121532628888</v>
      </c>
      <c r="BG336">
        <f t="shared" si="292"/>
        <v>-243.6128695658829</v>
      </c>
      <c r="BH336">
        <f t="shared" si="307"/>
        <v>-63.612869565882903</v>
      </c>
      <c r="BI336">
        <f t="shared" si="308"/>
        <v>-63.612869565882903</v>
      </c>
      <c r="BJ336">
        <f t="shared" si="293"/>
        <v>0</v>
      </c>
      <c r="BK336">
        <f t="shared" si="309"/>
        <v>0</v>
      </c>
      <c r="BM336">
        <f t="shared" si="310"/>
        <v>-53.346608951118441</v>
      </c>
      <c r="BN336">
        <f t="shared" si="294"/>
        <v>-175.56406957399335</v>
      </c>
      <c r="BQ336" s="56">
        <f t="shared" si="311"/>
        <v>22.01344821877468</v>
      </c>
      <c r="BR336" s="59"/>
      <c r="BS336" s="59"/>
      <c r="BT336" s="59">
        <v>181970.08600000001</v>
      </c>
      <c r="BU336" s="59">
        <v>11.8933</v>
      </c>
      <c r="BV336" s="59">
        <v>-143.41399999999999</v>
      </c>
      <c r="BY336" s="59"/>
      <c r="BZ336" s="59"/>
      <c r="CA336" s="59"/>
      <c r="CC336" s="59"/>
    </row>
    <row r="337" spans="1:81" x14ac:dyDescent="0.2">
      <c r="A337">
        <f t="shared" si="263"/>
        <v>615000</v>
      </c>
      <c r="B337">
        <f t="shared" si="295"/>
        <v>615</v>
      </c>
      <c r="C337">
        <f t="shared" si="264"/>
        <v>1.0028639844316871</v>
      </c>
      <c r="D337">
        <f t="shared" si="265"/>
        <v>7.5593197527763709E-2</v>
      </c>
      <c r="F337">
        <f t="shared" si="266"/>
        <v>1.4069049857632992E-4</v>
      </c>
      <c r="G337">
        <f t="shared" si="267"/>
        <v>2.4208139513592344E-3</v>
      </c>
      <c r="H337">
        <f t="shared" si="268"/>
        <v>-3.1391718360486411</v>
      </c>
      <c r="J337">
        <f t="shared" si="269"/>
        <v>15</v>
      </c>
      <c r="M337">
        <f t="shared" si="270"/>
        <v>2.0337335411824498E-3</v>
      </c>
      <c r="N337">
        <f t="shared" si="271"/>
        <v>-1.5707963250000001</v>
      </c>
      <c r="O337">
        <f t="shared" si="272"/>
        <v>120.77842816223711</v>
      </c>
      <c r="P337">
        <f t="shared" si="273"/>
        <v>1.5625166079665302</v>
      </c>
      <c r="Q337">
        <f t="shared" si="274"/>
        <v>104.98623324890931</v>
      </c>
      <c r="R337">
        <f t="shared" si="275"/>
        <v>1.5612711243869837</v>
      </c>
      <c r="S337">
        <f t="shared" si="276"/>
        <v>0.31932280219880427</v>
      </c>
      <c r="T337">
        <f t="shared" si="277"/>
        <v>-1.2457815361380231</v>
      </c>
      <c r="U337">
        <f t="shared" si="278"/>
        <v>0.31558118471862501</v>
      </c>
      <c r="V337">
        <f t="shared" si="279"/>
        <v>-1.2497272515803</v>
      </c>
      <c r="X337">
        <f t="shared" si="296"/>
        <v>-45.192902493825301</v>
      </c>
      <c r="Y337">
        <f t="shared" si="280"/>
        <v>-229.53239446859018</v>
      </c>
      <c r="Z337">
        <f t="shared" si="297"/>
        <v>-49.532394468590184</v>
      </c>
      <c r="AC337">
        <v>1</v>
      </c>
      <c r="AD337">
        <f t="shared" si="281"/>
        <v>120.7742882791725</v>
      </c>
      <c r="AE337">
        <f t="shared" si="282"/>
        <v>-5.6002925775744034E-2</v>
      </c>
      <c r="AF337">
        <f t="shared" si="283"/>
        <v>1.8625246184789997E-2</v>
      </c>
      <c r="AG337">
        <f t="shared" si="298"/>
        <v>629.71710344929204</v>
      </c>
      <c r="AH337">
        <f t="shared" si="299"/>
        <v>-1947.1420589223283</v>
      </c>
      <c r="AJ337">
        <f t="shared" si="284"/>
        <v>26400</v>
      </c>
      <c r="AK337">
        <f t="shared" si="285"/>
        <v>78346.59573565441</v>
      </c>
      <c r="AL337">
        <v>1</v>
      </c>
      <c r="AM337">
        <f t="shared" si="286"/>
        <v>104.98147061169601</v>
      </c>
      <c r="AN337">
        <f t="shared" si="300"/>
        <v>748.61723007282808</v>
      </c>
      <c r="AO337">
        <f t="shared" si="301"/>
        <v>-244.34200264545871</v>
      </c>
      <c r="AQ337">
        <f t="shared" si="287"/>
        <v>6.6098178268108754E-3</v>
      </c>
      <c r="AR337">
        <f t="shared" si="288"/>
        <v>-8.1300759269773764</v>
      </c>
      <c r="AT337">
        <f t="shared" si="261"/>
        <v>-15826.250464313358</v>
      </c>
      <c r="AU337">
        <f t="shared" si="262"/>
        <v>-5132.5181178514094</v>
      </c>
      <c r="AV337">
        <f t="shared" si="302"/>
        <v>-2.8279902892526096</v>
      </c>
      <c r="AW337">
        <f t="shared" si="303"/>
        <v>-605.95617437149156</v>
      </c>
      <c r="AX337">
        <f t="shared" si="304"/>
        <v>-9286.6205589693163</v>
      </c>
      <c r="AY337">
        <f t="shared" si="312"/>
        <v>-1.6359544091612201</v>
      </c>
      <c r="BA337">
        <f t="shared" si="289"/>
        <v>1.7877752863131386</v>
      </c>
      <c r="BB337">
        <f t="shared" si="305"/>
        <v>5.0462585884447</v>
      </c>
      <c r="BC337">
        <f t="shared" si="306"/>
        <v>-1.1920358800913895</v>
      </c>
      <c r="BD337">
        <f t="shared" si="290"/>
        <v>-248.29862503544183</v>
      </c>
      <c r="BF337">
        <f t="shared" si="291"/>
        <v>-48.441780158790174</v>
      </c>
      <c r="BG337">
        <f t="shared" si="292"/>
        <v>-243.82875142969539</v>
      </c>
      <c r="BH337">
        <f t="shared" si="307"/>
        <v>-63.828751429695387</v>
      </c>
      <c r="BI337">
        <f t="shared" si="308"/>
        <v>-63.828751429695387</v>
      </c>
      <c r="BJ337">
        <f t="shared" si="293"/>
        <v>0</v>
      </c>
      <c r="BK337">
        <f t="shared" si="309"/>
        <v>0</v>
      </c>
      <c r="BM337">
        <f t="shared" si="310"/>
        <v>-53.488038747234874</v>
      </c>
      <c r="BN337">
        <f t="shared" si="294"/>
        <v>-175.53012639425356</v>
      </c>
      <c r="BQ337" s="56">
        <f t="shared" si="311"/>
        <v>21.948219388729836</v>
      </c>
      <c r="BR337" s="59"/>
      <c r="BS337" s="59"/>
      <c r="BT337" s="59">
        <v>186208.71400000001</v>
      </c>
      <c r="BU337" s="59">
        <v>12.027799999999999</v>
      </c>
      <c r="BV337" s="59">
        <v>-144.279</v>
      </c>
      <c r="BY337" s="59"/>
      <c r="BZ337" s="59"/>
      <c r="CA337" s="59"/>
      <c r="CC337" s="59"/>
    </row>
    <row r="338" spans="1:81" x14ac:dyDescent="0.2">
      <c r="A338">
        <f t="shared" si="263"/>
        <v>620000</v>
      </c>
      <c r="B338">
        <f t="shared" si="295"/>
        <v>620</v>
      </c>
      <c r="C338">
        <f t="shared" si="264"/>
        <v>1.0029106747355345</v>
      </c>
      <c r="D338">
        <f t="shared" si="265"/>
        <v>7.6205409307785008E-2</v>
      </c>
      <c r="F338">
        <f t="shared" si="266"/>
        <v>1.3843014047337307E-4</v>
      </c>
      <c r="G338">
        <f t="shared" si="267"/>
        <v>2.4012859034605667E-3</v>
      </c>
      <c r="H338">
        <f t="shared" si="268"/>
        <v>-3.1391913640965394</v>
      </c>
      <c r="J338">
        <f t="shared" si="269"/>
        <v>15</v>
      </c>
      <c r="M338">
        <f t="shared" si="270"/>
        <v>2.0173324642374299E-3</v>
      </c>
      <c r="N338">
        <f t="shared" si="271"/>
        <v>-1.5707963250000001</v>
      </c>
      <c r="O338">
        <f t="shared" si="272"/>
        <v>121.76029955997141</v>
      </c>
      <c r="P338">
        <f t="shared" si="273"/>
        <v>1.562583376877777</v>
      </c>
      <c r="Q338">
        <f t="shared" si="274"/>
        <v>105.83970273341805</v>
      </c>
      <c r="R338">
        <f t="shared" si="275"/>
        <v>1.5613479359452422</v>
      </c>
      <c r="S338">
        <f t="shared" si="276"/>
        <v>0.31700735346800296</v>
      </c>
      <c r="T338">
        <f t="shared" si="277"/>
        <v>-1.2482239024003647</v>
      </c>
      <c r="U338">
        <f t="shared" si="278"/>
        <v>0.31328687947606476</v>
      </c>
      <c r="V338">
        <f t="shared" si="279"/>
        <v>-1.2521441439754655</v>
      </c>
      <c r="X338">
        <f t="shared" si="296"/>
        <v>-45.389449745659221</v>
      </c>
      <c r="Y338">
        <f t="shared" si="280"/>
        <v>-229.76862465013784</v>
      </c>
      <c r="Z338">
        <f t="shared" si="297"/>
        <v>-49.768624650137838</v>
      </c>
      <c r="AC338">
        <v>1</v>
      </c>
      <c r="AD338">
        <f t="shared" si="281"/>
        <v>121.75619306193001</v>
      </c>
      <c r="AE338">
        <f t="shared" si="282"/>
        <v>-5.6917244148842645E-2</v>
      </c>
      <c r="AF338">
        <f t="shared" si="283"/>
        <v>1.8776670950519998E-2</v>
      </c>
      <c r="AG338">
        <f t="shared" si="298"/>
        <v>620.59418016793484</v>
      </c>
      <c r="AH338">
        <f t="shared" si="299"/>
        <v>-1934.4489002169619</v>
      </c>
      <c r="AJ338">
        <f t="shared" si="284"/>
        <v>26400</v>
      </c>
      <c r="AK338">
        <f t="shared" si="285"/>
        <v>78983.559928627204</v>
      </c>
      <c r="AL338">
        <v>1</v>
      </c>
      <c r="AM338">
        <f t="shared" si="286"/>
        <v>105.83497850284802</v>
      </c>
      <c r="AN338">
        <f t="shared" si="300"/>
        <v>748.57984482285622</v>
      </c>
      <c r="AO338">
        <f t="shared" si="301"/>
        <v>-242.37185586508971</v>
      </c>
      <c r="AQ338">
        <f t="shared" si="287"/>
        <v>6.5036378098089166E-3</v>
      </c>
      <c r="AR338">
        <f t="shared" si="288"/>
        <v>-8.0645108841630559</v>
      </c>
      <c r="AT338">
        <f t="shared" si="261"/>
        <v>-15596.348090882255</v>
      </c>
      <c r="AU338">
        <f t="shared" si="262"/>
        <v>-5017.3694756211535</v>
      </c>
      <c r="AV338">
        <f t="shared" si="302"/>
        <v>-2.8303469692494074</v>
      </c>
      <c r="AW338">
        <f t="shared" si="303"/>
        <v>-583.25024929912752</v>
      </c>
      <c r="AX338">
        <f t="shared" si="304"/>
        <v>-9214.3923740422397</v>
      </c>
      <c r="AY338">
        <f t="shared" si="312"/>
        <v>-1.6340097370641813</v>
      </c>
      <c r="BA338">
        <f t="shared" si="289"/>
        <v>1.774485709787875</v>
      </c>
      <c r="BB338">
        <f t="shared" si="305"/>
        <v>4.9814501251204071</v>
      </c>
      <c r="BC338">
        <f t="shared" si="306"/>
        <v>-1.1963372321852261</v>
      </c>
      <c r="BD338">
        <f t="shared" si="290"/>
        <v>-248.54507435690005</v>
      </c>
      <c r="BF338">
        <f t="shared" si="291"/>
        <v>-48.646866424518159</v>
      </c>
      <c r="BG338">
        <f t="shared" si="292"/>
        <v>-244.04124247467806</v>
      </c>
      <c r="BH338">
        <f t="shared" si="307"/>
        <v>-64.041242474678057</v>
      </c>
      <c r="BI338">
        <f t="shared" si="308"/>
        <v>-64.041242474678057</v>
      </c>
      <c r="BJ338">
        <f t="shared" si="293"/>
        <v>0</v>
      </c>
      <c r="BK338">
        <f t="shared" si="309"/>
        <v>0</v>
      </c>
      <c r="BM338">
        <f t="shared" si="310"/>
        <v>-53.628316549638569</v>
      </c>
      <c r="BN338">
        <f t="shared" si="294"/>
        <v>-175.49616811777801</v>
      </c>
      <c r="BQ338" s="56">
        <f t="shared" si="311"/>
        <v>21.883410925405546</v>
      </c>
      <c r="BR338" s="59"/>
      <c r="BS338" s="59"/>
      <c r="BT338" s="59">
        <v>190546.07199999999</v>
      </c>
      <c r="BU338" s="59">
        <v>12.182600000000001</v>
      </c>
      <c r="BV338" s="59">
        <v>-145.40799999999999</v>
      </c>
      <c r="BY338" s="59"/>
      <c r="BZ338" s="59"/>
      <c r="CA338" s="59"/>
      <c r="CC338" s="59"/>
    </row>
    <row r="339" spans="1:81" x14ac:dyDescent="0.2">
      <c r="A339">
        <f t="shared" si="263"/>
        <v>625000</v>
      </c>
      <c r="B339">
        <f t="shared" si="295"/>
        <v>625</v>
      </c>
      <c r="C339">
        <f t="shared" si="264"/>
        <v>1.0029577408984962</v>
      </c>
      <c r="D339">
        <f t="shared" si="265"/>
        <v>7.6817563858255902E-2</v>
      </c>
      <c r="F339">
        <f t="shared" si="266"/>
        <v>1.362238233315541E-4</v>
      </c>
      <c r="G339">
        <f t="shared" si="267"/>
        <v>2.382070431325883E-3</v>
      </c>
      <c r="H339">
        <f t="shared" si="268"/>
        <v>-3.1392105795686742</v>
      </c>
      <c r="J339">
        <f t="shared" si="269"/>
        <v>15</v>
      </c>
      <c r="M339">
        <f t="shared" si="270"/>
        <v>2.0011938045235308E-3</v>
      </c>
      <c r="N339">
        <f t="shared" si="271"/>
        <v>-1.5707963250000001</v>
      </c>
      <c r="O339">
        <f t="shared" si="272"/>
        <v>122.7421714918393</v>
      </c>
      <c r="P339">
        <f t="shared" si="273"/>
        <v>1.5626490775579285</v>
      </c>
      <c r="Q339">
        <f t="shared" si="274"/>
        <v>106.69317283239226</v>
      </c>
      <c r="R339">
        <f t="shared" si="275"/>
        <v>1.5614235186274064</v>
      </c>
      <c r="S339">
        <f t="shared" si="276"/>
        <v>0.31472340519116604</v>
      </c>
      <c r="T339">
        <f t="shared" si="277"/>
        <v>-1.2506310897344957</v>
      </c>
      <c r="U339">
        <f t="shared" si="278"/>
        <v>0.31102391544141256</v>
      </c>
      <c r="V339">
        <f t="shared" si="279"/>
        <v>-1.2545261342567648</v>
      </c>
      <c r="X339">
        <f t="shared" si="296"/>
        <v>-45.584612656862319</v>
      </c>
      <c r="Y339">
        <f t="shared" si="280"/>
        <v>-230.00095646803285</v>
      </c>
      <c r="Z339">
        <f t="shared" si="297"/>
        <v>-50.000956468032854</v>
      </c>
      <c r="AC339">
        <v>1</v>
      </c>
      <c r="AD339">
        <f t="shared" si="281"/>
        <v>122.73809784468749</v>
      </c>
      <c r="AE339">
        <f t="shared" si="282"/>
        <v>-5.7838965909577676E-2</v>
      </c>
      <c r="AF339">
        <f t="shared" si="283"/>
        <v>1.8928095716249999E-2</v>
      </c>
      <c r="AG339">
        <f t="shared" si="298"/>
        <v>611.66108870090477</v>
      </c>
      <c r="AH339">
        <f t="shared" si="299"/>
        <v>-1921.896708624311</v>
      </c>
      <c r="AJ339">
        <f t="shared" si="284"/>
        <v>26400</v>
      </c>
      <c r="AK339">
        <f t="shared" si="285"/>
        <v>79620.524121599999</v>
      </c>
      <c r="AL339">
        <v>1</v>
      </c>
      <c r="AM339">
        <f t="shared" si="286"/>
        <v>106.68848639400001</v>
      </c>
      <c r="AN339">
        <f t="shared" si="300"/>
        <v>748.54335311995919</v>
      </c>
      <c r="AO339">
        <f t="shared" si="301"/>
        <v>-240.43322305791597</v>
      </c>
      <c r="AQ339">
        <f t="shared" si="287"/>
        <v>6.3999959040026214E-3</v>
      </c>
      <c r="AR339">
        <f t="shared" si="288"/>
        <v>-7.9999948800032765</v>
      </c>
      <c r="AT339">
        <f t="shared" si="261"/>
        <v>-15371.249200427314</v>
      </c>
      <c r="AU339">
        <f t="shared" si="262"/>
        <v>-4905.5857089675801</v>
      </c>
      <c r="AV339">
        <f t="shared" si="302"/>
        <v>-2.8326697104592959</v>
      </c>
      <c r="AW339">
        <f t="shared" si="303"/>
        <v>-561.11504831231559</v>
      </c>
      <c r="AX339">
        <f t="shared" si="304"/>
        <v>-9143.2658542447207</v>
      </c>
      <c r="AY339">
        <f t="shared" si="312"/>
        <v>-1.6320886729397122</v>
      </c>
      <c r="BA339">
        <f t="shared" si="289"/>
        <v>1.7613792831354007</v>
      </c>
      <c r="BB339">
        <f t="shared" si="305"/>
        <v>4.9170576796705863</v>
      </c>
      <c r="BC339">
        <f t="shared" si="306"/>
        <v>-1.2005810375195838</v>
      </c>
      <c r="BD339">
        <f t="shared" si="290"/>
        <v>-248.7882264919117</v>
      </c>
      <c r="BF339">
        <f t="shared" si="291"/>
        <v>-48.850403141296333</v>
      </c>
      <c r="BG339">
        <f t="shared" si="292"/>
        <v>-244.25042170295387</v>
      </c>
      <c r="BH339">
        <f t="shared" si="307"/>
        <v>-64.250421702953872</v>
      </c>
      <c r="BI339">
        <f t="shared" si="308"/>
        <v>-64.250421702953872</v>
      </c>
      <c r="BJ339">
        <f t="shared" si="293"/>
        <v>0</v>
      </c>
      <c r="BK339">
        <f t="shared" si="309"/>
        <v>0</v>
      </c>
      <c r="BM339">
        <f t="shared" si="310"/>
        <v>-53.767460820966917</v>
      </c>
      <c r="BN339">
        <f t="shared" si="294"/>
        <v>-175.46219521104217</v>
      </c>
      <c r="BQ339" s="56">
        <f t="shared" si="311"/>
        <v>21.819018479955723</v>
      </c>
      <c r="BR339" s="59"/>
      <c r="BS339" s="59"/>
      <c r="BT339" s="59">
        <v>194984.46</v>
      </c>
      <c r="BU339" s="59">
        <v>12.458399999999999</v>
      </c>
      <c r="BV339" s="59">
        <v>-146.886</v>
      </c>
      <c r="BY339" s="59"/>
      <c r="BZ339" s="59"/>
      <c r="CA339" s="59"/>
      <c r="CC339" s="59"/>
    </row>
    <row r="340" spans="1:81" x14ac:dyDescent="0.2">
      <c r="A340">
        <f t="shared" si="263"/>
        <v>630000</v>
      </c>
      <c r="B340">
        <f t="shared" si="295"/>
        <v>630</v>
      </c>
      <c r="C340">
        <f t="shared" si="264"/>
        <v>1.0030051828676601</v>
      </c>
      <c r="D340">
        <f t="shared" si="265"/>
        <v>7.7429660728476138E-2</v>
      </c>
      <c r="F340">
        <f t="shared" si="266"/>
        <v>1.3406983801388713E-4</v>
      </c>
      <c r="G340">
        <f t="shared" si="267"/>
        <v>2.363160088690456E-3</v>
      </c>
      <c r="H340">
        <f t="shared" si="268"/>
        <v>-3.1392294899113096</v>
      </c>
      <c r="J340">
        <f t="shared" si="269"/>
        <v>15</v>
      </c>
      <c r="M340">
        <f t="shared" si="270"/>
        <v>1.9853113140114393E-3</v>
      </c>
      <c r="N340">
        <f t="shared" si="271"/>
        <v>-1.5707963250000001</v>
      </c>
      <c r="O340">
        <f t="shared" si="272"/>
        <v>123.72404394512411</v>
      </c>
      <c r="P340">
        <f t="shared" si="273"/>
        <v>1.5627137354388163</v>
      </c>
      <c r="Q340">
        <f t="shared" si="274"/>
        <v>107.54664353120307</v>
      </c>
      <c r="R340">
        <f t="shared" si="275"/>
        <v>1.5614979016890171</v>
      </c>
      <c r="S340">
        <f t="shared" si="276"/>
        <v>0.3124703599527433</v>
      </c>
      <c r="T340">
        <f t="shared" si="277"/>
        <v>-1.2530038254578051</v>
      </c>
      <c r="U340">
        <f t="shared" si="278"/>
        <v>0.30879169454940075</v>
      </c>
      <c r="V340">
        <f t="shared" si="279"/>
        <v>-1.2568739465774581</v>
      </c>
      <c r="X340">
        <f t="shared" si="296"/>
        <v>-45.778409113032417</v>
      </c>
      <c r="Y340">
        <f t="shared" si="280"/>
        <v>-230.22947040452468</v>
      </c>
      <c r="Z340">
        <f t="shared" si="297"/>
        <v>-50.229470404524676</v>
      </c>
      <c r="AC340">
        <v>1</v>
      </c>
      <c r="AD340">
        <f t="shared" si="281"/>
        <v>123.720002627445</v>
      </c>
      <c r="AE340">
        <f t="shared" si="282"/>
        <v>-5.8768091057949119E-2</v>
      </c>
      <c r="AF340">
        <f t="shared" si="283"/>
        <v>1.9079520481979997E-2</v>
      </c>
      <c r="AG340">
        <f t="shared" si="298"/>
        <v>602.91280289626934</v>
      </c>
      <c r="AH340">
        <f t="shared" si="299"/>
        <v>-1909.4837595640931</v>
      </c>
      <c r="AJ340">
        <f t="shared" si="284"/>
        <v>26400</v>
      </c>
      <c r="AK340">
        <f t="shared" si="285"/>
        <v>80257.488314572809</v>
      </c>
      <c r="AL340">
        <v>1</v>
      </c>
      <c r="AM340">
        <f t="shared" si="286"/>
        <v>107.54199428515201</v>
      </c>
      <c r="AN340">
        <f t="shared" si="300"/>
        <v>748.50772671453569</v>
      </c>
      <c r="AO340">
        <f t="shared" si="301"/>
        <v>-238.52535415392686</v>
      </c>
      <c r="AQ340">
        <f t="shared" si="287"/>
        <v>6.2988118551197689E-3</v>
      </c>
      <c r="AR340">
        <f t="shared" si="288"/>
        <v>-7.9365029374509088</v>
      </c>
      <c r="AT340">
        <f t="shared" si="261"/>
        <v>-15150.825832484743</v>
      </c>
      <c r="AU340">
        <f t="shared" si="262"/>
        <v>-4797.0467101549029</v>
      </c>
      <c r="AV340">
        <f t="shared" si="302"/>
        <v>-2.8349592141014193</v>
      </c>
      <c r="AW340">
        <f t="shared" si="303"/>
        <v>-539.53155900706417</v>
      </c>
      <c r="AX340">
        <f t="shared" si="304"/>
        <v>-9073.2161480113846</v>
      </c>
      <c r="AY340">
        <f t="shared" si="312"/>
        <v>-1.6301905889495509</v>
      </c>
      <c r="BA340">
        <f t="shared" si="289"/>
        <v>1.748452532331346</v>
      </c>
      <c r="BB340">
        <f t="shared" si="305"/>
        <v>4.8530769281995916</v>
      </c>
      <c r="BC340">
        <f t="shared" si="306"/>
        <v>-1.2047686251518683</v>
      </c>
      <c r="BD340">
        <f t="shared" si="290"/>
        <v>-249.02815758985696</v>
      </c>
      <c r="BF340">
        <f t="shared" si="291"/>
        <v>-49.052412654102596</v>
      </c>
      <c r="BG340">
        <f t="shared" si="292"/>
        <v>-244.45636571636561</v>
      </c>
      <c r="BH340">
        <f t="shared" si="307"/>
        <v>-64.45636571636561</v>
      </c>
      <c r="BI340">
        <f t="shared" si="308"/>
        <v>-64.45636571636561</v>
      </c>
      <c r="BJ340">
        <f t="shared" si="293"/>
        <v>0</v>
      </c>
      <c r="BK340">
        <f t="shared" si="309"/>
        <v>0</v>
      </c>
      <c r="BM340">
        <f t="shared" si="310"/>
        <v>-53.905489582302188</v>
      </c>
      <c r="BN340">
        <f t="shared" si="294"/>
        <v>-175.42820812650868</v>
      </c>
      <c r="BQ340" s="56">
        <f t="shared" si="311"/>
        <v>21.755037728484727</v>
      </c>
      <c r="BR340" s="59"/>
      <c r="BS340" s="59"/>
      <c r="BT340" s="59">
        <v>199526.231</v>
      </c>
      <c r="BU340" s="59">
        <v>12.6511</v>
      </c>
      <c r="BV340" s="59">
        <v>-147.23699999999999</v>
      </c>
      <c r="BY340" s="59"/>
      <c r="BZ340" s="59"/>
      <c r="CA340" s="59"/>
      <c r="CC340" s="59"/>
    </row>
    <row r="341" spans="1:81" x14ac:dyDescent="0.2">
      <c r="A341">
        <f t="shared" si="263"/>
        <v>635000</v>
      </c>
      <c r="B341">
        <f t="shared" si="295"/>
        <v>635</v>
      </c>
      <c r="C341">
        <f t="shared" si="264"/>
        <v>1.0030530005897023</v>
      </c>
      <c r="D341">
        <f t="shared" si="265"/>
        <v>7.8041699468003281E-2</v>
      </c>
      <c r="F341">
        <f t="shared" si="266"/>
        <v>1.3196654242380289E-4</v>
      </c>
      <c r="G341">
        <f t="shared" si="267"/>
        <v>2.3445476639726496E-3</v>
      </c>
      <c r="H341">
        <f t="shared" si="268"/>
        <v>-3.1392481023360275</v>
      </c>
      <c r="J341">
        <f t="shared" si="269"/>
        <v>15</v>
      </c>
      <c r="M341">
        <f t="shared" si="270"/>
        <v>1.969678941460168E-3</v>
      </c>
      <c r="N341">
        <f t="shared" si="271"/>
        <v>-1.5707963250000001</v>
      </c>
      <c r="O341">
        <f t="shared" si="272"/>
        <v>124.70591690750975</v>
      </c>
      <c r="P341">
        <f t="shared" si="273"/>
        <v>1.5627773751513565</v>
      </c>
      <c r="Q341">
        <f t="shared" si="274"/>
        <v>108.4001148156824</v>
      </c>
      <c r="R341">
        <f t="shared" si="275"/>
        <v>1.561571113464314</v>
      </c>
      <c r="S341">
        <f t="shared" si="276"/>
        <v>0.31024763409216038</v>
      </c>
      <c r="T341">
        <f t="shared" si="277"/>
        <v>-1.255342817769258</v>
      </c>
      <c r="U341">
        <f t="shared" si="278"/>
        <v>0.30658963263737837</v>
      </c>
      <c r="V341">
        <f t="shared" si="279"/>
        <v>-1.2591882859656667</v>
      </c>
      <c r="X341">
        <f t="shared" si="296"/>
        <v>-45.970856683398686</v>
      </c>
      <c r="Y341">
        <f t="shared" si="280"/>
        <v>-230.45424483588283</v>
      </c>
      <c r="Z341">
        <f t="shared" si="297"/>
        <v>-50.454244835882832</v>
      </c>
      <c r="AC341">
        <v>1</v>
      </c>
      <c r="AD341">
        <f t="shared" si="281"/>
        <v>124.70190741020249</v>
      </c>
      <c r="AE341">
        <f t="shared" si="282"/>
        <v>-5.9704619593957002E-2</v>
      </c>
      <c r="AF341">
        <f t="shared" si="283"/>
        <v>1.9230945247709998E-2</v>
      </c>
      <c r="AG341">
        <f t="shared" si="298"/>
        <v>594.34445436105989</v>
      </c>
      <c r="AH341">
        <f t="shared" si="299"/>
        <v>-1897.2083319591184</v>
      </c>
      <c r="AJ341">
        <f t="shared" si="284"/>
        <v>26400</v>
      </c>
      <c r="AK341">
        <f t="shared" si="285"/>
        <v>80894.452507545604</v>
      </c>
      <c r="AL341">
        <v>1</v>
      </c>
      <c r="AM341">
        <f t="shared" si="286"/>
        <v>108.39550217630401</v>
      </c>
      <c r="AN341">
        <f t="shared" si="300"/>
        <v>748.47293846458672</v>
      </c>
      <c r="AO341">
        <f t="shared" si="301"/>
        <v>-236.64752269714575</v>
      </c>
      <c r="AQ341">
        <f t="shared" si="287"/>
        <v>6.2000085560118077E-3</v>
      </c>
      <c r="AR341">
        <f t="shared" si="288"/>
        <v>-7.874010866134995</v>
      </c>
      <c r="AT341">
        <f t="shared" si="261"/>
        <v>-14934.95408046569</v>
      </c>
      <c r="AU341">
        <f t="shared" si="262"/>
        <v>-4691.6373997567434</v>
      </c>
      <c r="AV341">
        <f t="shared" si="302"/>
        <v>-2.8372161629920298</v>
      </c>
      <c r="AW341">
        <f t="shared" si="303"/>
        <v>-518.48155345240548</v>
      </c>
      <c r="AX341">
        <f t="shared" si="304"/>
        <v>-9004.2191454588101</v>
      </c>
      <c r="AY341">
        <f t="shared" si="312"/>
        <v>-1.6283148789614257</v>
      </c>
      <c r="BA341">
        <f t="shared" si="289"/>
        <v>1.7357020592044288</v>
      </c>
      <c r="BB341">
        <f t="shared" si="305"/>
        <v>4.7895035740866536</v>
      </c>
      <c r="BC341">
        <f t="shared" si="306"/>
        <v>-1.2089012840306042</v>
      </c>
      <c r="BD341">
        <f t="shared" si="290"/>
        <v>-249.26494150204633</v>
      </c>
      <c r="BF341">
        <f t="shared" si="291"/>
        <v>-49.252916853056846</v>
      </c>
      <c r="BG341">
        <f t="shared" si="292"/>
        <v>-244.65914880522558</v>
      </c>
      <c r="BH341">
        <f t="shared" si="307"/>
        <v>-64.659148805225584</v>
      </c>
      <c r="BI341">
        <f t="shared" si="308"/>
        <v>-64.659148805225584</v>
      </c>
      <c r="BJ341">
        <f t="shared" si="293"/>
        <v>0</v>
      </c>
      <c r="BK341">
        <f t="shared" si="309"/>
        <v>0</v>
      </c>
      <c r="BM341">
        <f t="shared" si="310"/>
        <v>-54.042420427143504</v>
      </c>
      <c r="BN341">
        <f t="shared" si="294"/>
        <v>-175.39420730317926</v>
      </c>
      <c r="BQ341" s="56">
        <f t="shared" si="311"/>
        <v>21.69146437437179</v>
      </c>
      <c r="BR341" s="59"/>
      <c r="BS341" s="59"/>
      <c r="BT341" s="59">
        <v>204173.79399999999</v>
      </c>
      <c r="BU341" s="59">
        <v>12.903600000000001</v>
      </c>
      <c r="BV341" s="59">
        <v>-148.923</v>
      </c>
      <c r="BY341" s="59"/>
      <c r="BZ341" s="59"/>
      <c r="CA341" s="59"/>
      <c r="CC341" s="59"/>
    </row>
    <row r="342" spans="1:81" x14ac:dyDescent="0.2">
      <c r="A342">
        <f t="shared" si="263"/>
        <v>640000</v>
      </c>
      <c r="B342">
        <f t="shared" si="295"/>
        <v>640</v>
      </c>
      <c r="C342">
        <f t="shared" si="264"/>
        <v>1.0031011940108863</v>
      </c>
      <c r="D342">
        <f t="shared" si="265"/>
        <v>7.8653679626654663E-2</v>
      </c>
      <c r="F342">
        <f t="shared" si="266"/>
        <v>1.2991235837402567E-4</v>
      </c>
      <c r="G342">
        <f t="shared" si="267"/>
        <v>2.3262261710994174E-3</v>
      </c>
      <c r="H342">
        <f t="shared" si="268"/>
        <v>-3.139266423828901</v>
      </c>
      <c r="J342">
        <f t="shared" si="269"/>
        <v>15</v>
      </c>
      <c r="M342">
        <f t="shared" si="270"/>
        <v>1.9542908247300104E-3</v>
      </c>
      <c r="N342">
        <f t="shared" si="271"/>
        <v>-1.5707963250000001</v>
      </c>
      <c r="O342">
        <f t="shared" si="272"/>
        <v>125.68779036706488</v>
      </c>
      <c r="P342">
        <f t="shared" si="273"/>
        <v>1.5628400205568316</v>
      </c>
      <c r="Q342">
        <f t="shared" si="274"/>
        <v>109.25358667210475</v>
      </c>
      <c r="R342">
        <f t="shared" si="275"/>
        <v>1.5616431814022163</v>
      </c>
      <c r="S342">
        <f t="shared" si="276"/>
        <v>0.30805465736023058</v>
      </c>
      <c r="T342">
        <f t="shared" si="277"/>
        <v>-1.2576487563445011</v>
      </c>
      <c r="U342">
        <f t="shared" si="278"/>
        <v>0.30441715909205252</v>
      </c>
      <c r="V342">
        <f t="shared" si="279"/>
        <v>-1.261469838923456</v>
      </c>
      <c r="X342">
        <f t="shared" si="296"/>
        <v>-46.161972627411174</v>
      </c>
      <c r="Y342">
        <f t="shared" si="280"/>
        <v>-230.67535609749018</v>
      </c>
      <c r="Z342">
        <f t="shared" si="297"/>
        <v>-50.67535609749018</v>
      </c>
      <c r="AC342">
        <v>1</v>
      </c>
      <c r="AD342">
        <f t="shared" si="281"/>
        <v>125.68381219296</v>
      </c>
      <c r="AE342">
        <f t="shared" si="282"/>
        <v>-6.0648551517601311E-2</v>
      </c>
      <c r="AF342">
        <f t="shared" si="283"/>
        <v>1.9382370013439999E-2</v>
      </c>
      <c r="AG342">
        <f t="shared" si="298"/>
        <v>585.95132688905483</v>
      </c>
      <c r="AH342">
        <f t="shared" si="299"/>
        <v>-1885.0687098792546</v>
      </c>
      <c r="AJ342">
        <f t="shared" si="284"/>
        <v>26400</v>
      </c>
      <c r="AK342">
        <f t="shared" si="285"/>
        <v>81531.416700518414</v>
      </c>
      <c r="AL342">
        <v>1</v>
      </c>
      <c r="AM342">
        <f t="shared" si="286"/>
        <v>109.24901006745603</v>
      </c>
      <c r="AN342">
        <f t="shared" si="300"/>
        <v>748.43896228400956</v>
      </c>
      <c r="AO342">
        <f t="shared" si="301"/>
        <v>-234.79902492368015</v>
      </c>
      <c r="AQ342">
        <f t="shared" si="287"/>
        <v>6.1035118997119749E-3</v>
      </c>
      <c r="AR342">
        <f t="shared" si="288"/>
        <v>-7.8124952316313285</v>
      </c>
      <c r="AT342">
        <f t="shared" ref="AT342:AT405" si="313">-AR342*AH342+AG342*AQ342</f>
        <v>-14723.513946332778</v>
      </c>
      <c r="AU342">
        <f t="shared" ref="AU342:AU405" si="314">AQ342*AH342+AG342*AR342</f>
        <v>-4589.2474865913136</v>
      </c>
      <c r="AV342">
        <f t="shared" si="302"/>
        <v>-2.8394412221153633</v>
      </c>
      <c r="AW342">
        <f t="shared" si="303"/>
        <v>-497.94754978986771</v>
      </c>
      <c r="AX342">
        <f t="shared" si="304"/>
        <v>-8936.2514507455053</v>
      </c>
      <c r="AY342">
        <f t="shared" si="312"/>
        <v>-1.6264609576466744</v>
      </c>
      <c r="BA342">
        <f t="shared" si="289"/>
        <v>1.7231245399675645</v>
      </c>
      <c r="BB342">
        <f t="shared" si="305"/>
        <v>4.7263333500755431</v>
      </c>
      <c r="BC342">
        <f t="shared" si="306"/>
        <v>-1.2129802644686889</v>
      </c>
      <c r="BD342">
        <f t="shared" si="290"/>
        <v>-249.49864986613207</v>
      </c>
      <c r="BF342">
        <f t="shared" si="291"/>
        <v>-49.45193718475501</v>
      </c>
      <c r="BG342">
        <f t="shared" si="292"/>
        <v>-244.85884303325201</v>
      </c>
      <c r="BH342">
        <f t="shared" si="307"/>
        <v>-64.858843033252015</v>
      </c>
      <c r="BI342">
        <f t="shared" si="308"/>
        <v>-64.858843033252015</v>
      </c>
      <c r="BJ342">
        <f t="shared" si="293"/>
        <v>0</v>
      </c>
      <c r="BK342">
        <f t="shared" si="309"/>
        <v>0</v>
      </c>
      <c r="BM342">
        <f t="shared" si="310"/>
        <v>-54.178270534830553</v>
      </c>
      <c r="BN342">
        <f t="shared" si="294"/>
        <v>-175.36019316711995</v>
      </c>
      <c r="BQ342" s="56">
        <f t="shared" si="311"/>
        <v>21.628294150360681</v>
      </c>
      <c r="BR342" s="59"/>
      <c r="BS342" s="59"/>
      <c r="BT342" s="59">
        <v>208929.61300000001</v>
      </c>
      <c r="BU342" s="59">
        <v>13.1541</v>
      </c>
      <c r="BV342" s="59">
        <v>-149.92099999999999</v>
      </c>
      <c r="BY342" s="59"/>
      <c r="BZ342" s="59"/>
      <c r="CA342" s="59"/>
      <c r="CC342" s="59"/>
    </row>
    <row r="343" spans="1:81" x14ac:dyDescent="0.2">
      <c r="A343">
        <f t="shared" si="263"/>
        <v>645000</v>
      </c>
      <c r="B343">
        <f t="shared" si="295"/>
        <v>645</v>
      </c>
      <c r="C343">
        <f t="shared" si="264"/>
        <v>1.003149763077064</v>
      </c>
      <c r="D343">
        <f t="shared" si="265"/>
        <v>7.9265600754509322E-2</v>
      </c>
      <c r="F343">
        <f t="shared" si="266"/>
        <v>1.2790576862475089E-4</v>
      </c>
      <c r="G343">
        <f t="shared" si="267"/>
        <v>2.3081888407589244E-3</v>
      </c>
      <c r="H343">
        <f t="shared" si="268"/>
        <v>-3.1392844611592414</v>
      </c>
      <c r="J343">
        <f t="shared" si="269"/>
        <v>15</v>
      </c>
      <c r="M343">
        <f t="shared" si="270"/>
        <v>1.939141283453034E-3</v>
      </c>
      <c r="N343">
        <f t="shared" si="271"/>
        <v>-1.5707963250000001</v>
      </c>
      <c r="O343">
        <f t="shared" si="272"/>
        <v>126.66966431222818</v>
      </c>
      <c r="P343">
        <f t="shared" si="273"/>
        <v>1.5629016947767176</v>
      </c>
      <c r="Q343">
        <f t="shared" si="274"/>
        <v>110.10705908717024</v>
      </c>
      <c r="R343">
        <f t="shared" si="275"/>
        <v>1.5617141321006338</v>
      </c>
      <c r="S343">
        <f t="shared" si="276"/>
        <v>0.30589087258326975</v>
      </c>
      <c r="T343">
        <f t="shared" si="277"/>
        <v>-1.2599223129101624</v>
      </c>
      <c r="U343">
        <f t="shared" si="278"/>
        <v>0.30227371650449714</v>
      </c>
      <c r="V343">
        <f t="shared" si="279"/>
        <v>-1.2637192740047831</v>
      </c>
      <c r="X343">
        <f t="shared" si="296"/>
        <v>-46.351773901190107</v>
      </c>
      <c r="Y343">
        <f t="shared" si="280"/>
        <v>-230.89287854668834</v>
      </c>
      <c r="Z343">
        <f t="shared" si="297"/>
        <v>-50.892878546688337</v>
      </c>
      <c r="AC343">
        <v>1</v>
      </c>
      <c r="AD343">
        <f t="shared" si="281"/>
        <v>126.66571697571752</v>
      </c>
      <c r="AE343">
        <f t="shared" si="282"/>
        <v>-6.1599886828882046E-2</v>
      </c>
      <c r="AF343">
        <f t="shared" si="283"/>
        <v>1.953379477917E-2</v>
      </c>
      <c r="AG343">
        <f t="shared" si="298"/>
        <v>577.7288510992995</v>
      </c>
      <c r="AH343">
        <f t="shared" si="299"/>
        <v>-1873.0631840420888</v>
      </c>
      <c r="AJ343">
        <f t="shared" si="284"/>
        <v>26400</v>
      </c>
      <c r="AK343">
        <f t="shared" si="285"/>
        <v>82168.380893491209</v>
      </c>
      <c r="AL343">
        <v>1</v>
      </c>
      <c r="AM343">
        <f t="shared" si="286"/>
        <v>110.102517958608</v>
      </c>
      <c r="AN343">
        <f t="shared" si="300"/>
        <v>748.40577309368939</v>
      </c>
      <c r="AO343">
        <f t="shared" si="301"/>
        <v>-232.97917888262813</v>
      </c>
      <c r="AQ343">
        <f t="shared" si="287"/>
        <v>6.0092506404358873E-3</v>
      </c>
      <c r="AR343">
        <f t="shared" si="288"/>
        <v>-7.7519333261622938</v>
      </c>
      <c r="AT343">
        <f t="shared" si="313"/>
        <v>-14516.389200915059</v>
      </c>
      <c r="AU343">
        <f t="shared" si="314"/>
        <v>-4489.7712404603953</v>
      </c>
      <c r="AV343">
        <f t="shared" si="302"/>
        <v>-2.8416350391746867</v>
      </c>
      <c r="AW343">
        <f t="shared" si="303"/>
        <v>-477.91277599785542</v>
      </c>
      <c r="AX343">
        <f t="shared" si="304"/>
        <v>-8869.2903556745187</v>
      </c>
      <c r="AY343">
        <f t="shared" si="312"/>
        <v>-1.624628259620956</v>
      </c>
      <c r="BA343">
        <f t="shared" si="289"/>
        <v>1.7107167237415515</v>
      </c>
      <c r="BB343">
        <f t="shared" si="305"/>
        <v>4.6635620201479009</v>
      </c>
      <c r="BC343">
        <f t="shared" si="306"/>
        <v>-1.2170067795537307</v>
      </c>
      <c r="BD343">
        <f t="shared" si="290"/>
        <v>-249.72935218691435</v>
      </c>
      <c r="BF343">
        <f t="shared" si="291"/>
        <v>-49.649494663296636</v>
      </c>
      <c r="BG343">
        <f t="shared" si="292"/>
        <v>-245.05551831887666</v>
      </c>
      <c r="BH343">
        <f t="shared" si="307"/>
        <v>-65.055518318876665</v>
      </c>
      <c r="BI343">
        <f t="shared" si="308"/>
        <v>-65.055518318876665</v>
      </c>
      <c r="BJ343">
        <f t="shared" si="293"/>
        <v>0</v>
      </c>
      <c r="BK343">
        <f t="shared" si="309"/>
        <v>0</v>
      </c>
      <c r="BM343">
        <f t="shared" si="310"/>
        <v>-54.313056683444536</v>
      </c>
      <c r="BN343">
        <f t="shared" si="294"/>
        <v>-175.32616613196231</v>
      </c>
      <c r="BQ343" s="56">
        <f t="shared" si="311"/>
        <v>21.565522820433038</v>
      </c>
      <c r="BR343" s="59"/>
      <c r="BS343" s="59"/>
      <c r="BT343" s="59">
        <v>213796.209</v>
      </c>
      <c r="BU343" s="59">
        <v>13.368399999999999</v>
      </c>
      <c r="BV343" s="59">
        <v>-151.101</v>
      </c>
      <c r="BY343" s="59"/>
      <c r="BZ343" s="59"/>
      <c r="CA343" s="59"/>
      <c r="CC343" s="59"/>
    </row>
    <row r="344" spans="1:81" x14ac:dyDescent="0.2">
      <c r="A344">
        <f t="shared" si="263"/>
        <v>650000</v>
      </c>
      <c r="B344">
        <f t="shared" si="295"/>
        <v>650</v>
      </c>
      <c r="C344">
        <f t="shared" si="264"/>
        <v>1.0031987077336759</v>
      </c>
      <c r="D344">
        <f t="shared" si="265"/>
        <v>7.9877462401909891E-2</v>
      </c>
      <c r="F344">
        <f t="shared" si="266"/>
        <v>1.259453140807414E-4</v>
      </c>
      <c r="G344">
        <f t="shared" si="267"/>
        <v>2.2904291120572342E-3</v>
      </c>
      <c r="H344">
        <f t="shared" si="268"/>
        <v>-3.1393022208879429</v>
      </c>
      <c r="J344">
        <f t="shared" si="269"/>
        <v>15</v>
      </c>
      <c r="M344">
        <f t="shared" si="270"/>
        <v>1.9242248120418565E-3</v>
      </c>
      <c r="N344">
        <f t="shared" si="271"/>
        <v>-1.5707963250000001</v>
      </c>
      <c r="O344">
        <f t="shared" si="272"/>
        <v>127.65153873179401</v>
      </c>
      <c r="P344">
        <f t="shared" si="273"/>
        <v>1.5629624202211339</v>
      </c>
      <c r="Q344">
        <f t="shared" si="274"/>
        <v>110.96053204798818</v>
      </c>
      <c r="R344">
        <f t="shared" si="275"/>
        <v>1.5617839913391913</v>
      </c>
      <c r="S344">
        <f t="shared" si="276"/>
        <v>0.30375573533488304</v>
      </c>
      <c r="T344">
        <f t="shared" si="277"/>
        <v>-1.2621641417981138</v>
      </c>
      <c r="U344">
        <f t="shared" si="278"/>
        <v>0.30015876033336586</v>
      </c>
      <c r="V344">
        <f t="shared" si="279"/>
        <v>-1.2659372423731117</v>
      </c>
      <c r="X344">
        <f t="shared" si="296"/>
        <v>-46.540277163837025</v>
      </c>
      <c r="Y344">
        <f t="shared" si="280"/>
        <v>-231.10688462345618</v>
      </c>
      <c r="Z344">
        <f t="shared" si="297"/>
        <v>-51.106884623456182</v>
      </c>
      <c r="AC344">
        <v>1</v>
      </c>
      <c r="AD344">
        <f t="shared" si="281"/>
        <v>127.647621758475</v>
      </c>
      <c r="AE344">
        <f t="shared" si="282"/>
        <v>-6.25586255277992E-2</v>
      </c>
      <c r="AF344">
        <f t="shared" si="283"/>
        <v>1.9685219544899997E-2</v>
      </c>
      <c r="AG344">
        <f t="shared" si="298"/>
        <v>569.67259927739974</v>
      </c>
      <c r="AH344">
        <f t="shared" si="299"/>
        <v>-1861.1900531805313</v>
      </c>
      <c r="AJ344">
        <f t="shared" si="284"/>
        <v>26400</v>
      </c>
      <c r="AK344">
        <f t="shared" si="285"/>
        <v>82805.345086464004</v>
      </c>
      <c r="AL344">
        <v>1</v>
      </c>
      <c r="AM344">
        <f t="shared" si="286"/>
        <v>110.95602584976002</v>
      </c>
      <c r="AN344">
        <f t="shared" si="300"/>
        <v>748.37334677520926</v>
      </c>
      <c r="AO344">
        <f t="shared" si="301"/>
        <v>-231.18732359753375</v>
      </c>
      <c r="AQ344">
        <f t="shared" si="287"/>
        <v>5.9171562620377151E-3</v>
      </c>
      <c r="AR344">
        <f t="shared" si="288"/>
        <v>-7.6923031406490292</v>
      </c>
      <c r="AT344">
        <f t="shared" si="313"/>
        <v>-14313.467249637208</v>
      </c>
      <c r="AU344">
        <f t="shared" si="314"/>
        <v>-4393.1072769412576</v>
      </c>
      <c r="AV344">
        <f t="shared" si="302"/>
        <v>-2.8437982451242618</v>
      </c>
      <c r="AW344">
        <f t="shared" si="303"/>
        <v>-458.36113568335423</v>
      </c>
      <c r="AX344">
        <f t="shared" si="304"/>
        <v>-8803.3138144728327</v>
      </c>
      <c r="AY344">
        <f t="shared" si="312"/>
        <v>-1.6228162386257687</v>
      </c>
      <c r="BA344">
        <f t="shared" si="289"/>
        <v>1.6984754310760177</v>
      </c>
      <c r="BB344">
        <f t="shared" si="305"/>
        <v>4.6011853811973582</v>
      </c>
      <c r="BC344">
        <f t="shared" si="306"/>
        <v>-1.2209820064984931</v>
      </c>
      <c r="BD344">
        <f t="shared" si="290"/>
        <v>-249.95711591371617</v>
      </c>
      <c r="BF344">
        <f t="shared" si="291"/>
        <v>-49.845609881013182</v>
      </c>
      <c r="BG344">
        <f t="shared" si="292"/>
        <v>-245.24924251309753</v>
      </c>
      <c r="BH344">
        <f t="shared" si="307"/>
        <v>-65.249242513097528</v>
      </c>
      <c r="BI344">
        <f t="shared" si="308"/>
        <v>-65.249242513097528</v>
      </c>
      <c r="BJ344">
        <f t="shared" si="293"/>
        <v>0</v>
      </c>
      <c r="BK344">
        <f t="shared" si="309"/>
        <v>0</v>
      </c>
      <c r="BM344">
        <f t="shared" si="310"/>
        <v>-54.446795262210543</v>
      </c>
      <c r="BN344">
        <f t="shared" si="294"/>
        <v>-175.29212659938133</v>
      </c>
      <c r="BQ344" s="56">
        <f t="shared" si="311"/>
        <v>21.503146181482492</v>
      </c>
      <c r="BR344" s="59"/>
      <c r="BS344" s="59"/>
      <c r="BT344" s="59">
        <v>218776.16200000001</v>
      </c>
      <c r="BU344" s="59">
        <v>13.6015</v>
      </c>
      <c r="BV344" s="59">
        <v>-153.08699999999999</v>
      </c>
      <c r="BY344" s="59"/>
      <c r="BZ344" s="59"/>
      <c r="CA344" s="59"/>
      <c r="CC344" s="59"/>
    </row>
    <row r="345" spans="1:81" x14ac:dyDescent="0.2">
      <c r="A345">
        <f t="shared" si="263"/>
        <v>655000</v>
      </c>
      <c r="B345">
        <f t="shared" si="295"/>
        <v>655</v>
      </c>
      <c r="C345">
        <f t="shared" si="264"/>
        <v>1.0032480279257512</v>
      </c>
      <c r="D345">
        <f t="shared" si="265"/>
        <v>8.0489264119464554E-2</v>
      </c>
      <c r="F345">
        <f t="shared" si="266"/>
        <v>1.2402959113767096E-4</v>
      </c>
      <c r="G345">
        <f t="shared" si="267"/>
        <v>2.2729406245574858E-3</v>
      </c>
      <c r="H345">
        <f t="shared" si="268"/>
        <v>-3.1393197093754428</v>
      </c>
      <c r="J345">
        <f t="shared" si="269"/>
        <v>15</v>
      </c>
      <c r="M345">
        <f t="shared" si="270"/>
        <v>1.9095360730186361E-3</v>
      </c>
      <c r="N345">
        <f t="shared" si="271"/>
        <v>-1.5707963250000001</v>
      </c>
      <c r="O345">
        <f t="shared" si="272"/>
        <v>128.63341361489881</v>
      </c>
      <c r="P345">
        <f t="shared" si="273"/>
        <v>1.5630222186159919</v>
      </c>
      <c r="Q345">
        <f t="shared" si="274"/>
        <v>111.81400554206141</v>
      </c>
      <c r="R345">
        <f t="shared" si="275"/>
        <v>1.5618527841104561</v>
      </c>
      <c r="S345">
        <f t="shared" si="276"/>
        <v>0.30164871361537637</v>
      </c>
      <c r="T345">
        <f t="shared" si="277"/>
        <v>-1.2643748804804524</v>
      </c>
      <c r="U345">
        <f t="shared" si="278"/>
        <v>0.29807175857622964</v>
      </c>
      <c r="V345">
        <f t="shared" si="279"/>
        <v>-1.2681243783394596</v>
      </c>
      <c r="X345">
        <f t="shared" si="296"/>
        <v>-46.727498783610002</v>
      </c>
      <c r="Y345">
        <f t="shared" si="280"/>
        <v>-231.31744490900164</v>
      </c>
      <c r="Z345">
        <f t="shared" si="297"/>
        <v>-51.317444909001637</v>
      </c>
      <c r="AC345">
        <v>1</v>
      </c>
      <c r="AD345">
        <f t="shared" si="281"/>
        <v>128.62952654123251</v>
      </c>
      <c r="AE345">
        <f t="shared" si="282"/>
        <v>-6.3524767614352787E-2</v>
      </c>
      <c r="AF345">
        <f t="shared" si="283"/>
        <v>1.9836644310629998E-2</v>
      </c>
      <c r="AG345">
        <f t="shared" si="298"/>
        <v>561.77828041187206</v>
      </c>
      <c r="AH345">
        <f t="shared" si="299"/>
        <v>-1849.4476252868669</v>
      </c>
      <c r="AJ345">
        <f t="shared" si="284"/>
        <v>26400</v>
      </c>
      <c r="AK345">
        <f t="shared" si="285"/>
        <v>83442.309279436799</v>
      </c>
      <c r="AL345">
        <v>1</v>
      </c>
      <c r="AM345">
        <f t="shared" si="286"/>
        <v>111.809533740912</v>
      </c>
      <c r="AN345">
        <f t="shared" si="300"/>
        <v>748.34166012702781</v>
      </c>
      <c r="AO345">
        <f t="shared" si="301"/>
        <v>-229.42281826622826</v>
      </c>
      <c r="AQ345">
        <f t="shared" si="287"/>
        <v>5.8271628534684143E-3</v>
      </c>
      <c r="AR345">
        <f t="shared" si="288"/>
        <v>-7.6335833380436231</v>
      </c>
      <c r="AT345">
        <f t="shared" si="313"/>
        <v>-14114.639003446671</v>
      </c>
      <c r="AU345">
        <f t="shared" si="314"/>
        <v>-4299.1583535283717</v>
      </c>
      <c r="AV345">
        <f t="shared" si="302"/>
        <v>-2.8459314546829089</v>
      </c>
      <c r="AW345">
        <f t="shared" si="303"/>
        <v>-439.27717577307584</v>
      </c>
      <c r="AX345">
        <f t="shared" si="304"/>
        <v>-8738.3004196857728</v>
      </c>
      <c r="AY345">
        <f t="shared" si="312"/>
        <v>-1.6210243667486168</v>
      </c>
      <c r="BA345">
        <f t="shared" si="289"/>
        <v>1.6863975524717214</v>
      </c>
      <c r="BB345">
        <f t="shared" si="305"/>
        <v>4.5391992645200547</v>
      </c>
      <c r="BC345">
        <f t="shared" si="306"/>
        <v>-1.224907087934292</v>
      </c>
      <c r="BD345">
        <f t="shared" si="290"/>
        <v>-250.18200651448956</v>
      </c>
      <c r="BF345">
        <f t="shared" si="291"/>
        <v>-50.040303018904424</v>
      </c>
      <c r="BG345">
        <f t="shared" si="292"/>
        <v>-245.44008147404105</v>
      </c>
      <c r="BH345">
        <f t="shared" si="307"/>
        <v>-65.440081474041051</v>
      </c>
      <c r="BI345">
        <f t="shared" si="308"/>
        <v>-65.440081474041051</v>
      </c>
      <c r="BJ345">
        <f t="shared" si="293"/>
        <v>0</v>
      </c>
      <c r="BK345">
        <f t="shared" si="309"/>
        <v>0</v>
      </c>
      <c r="BM345">
        <f t="shared" si="310"/>
        <v>-54.579502283424475</v>
      </c>
      <c r="BN345">
        <f t="shared" si="294"/>
        <v>-175.25807495955149</v>
      </c>
      <c r="BQ345" s="56">
        <f t="shared" si="311"/>
        <v>21.441160064805192</v>
      </c>
      <c r="BR345" s="59"/>
      <c r="BS345" s="59"/>
      <c r="BT345" s="59">
        <v>223872.114</v>
      </c>
      <c r="BU345" s="59">
        <v>13.8704</v>
      </c>
      <c r="BV345" s="59">
        <v>-154.70699999999999</v>
      </c>
      <c r="BY345" s="59"/>
      <c r="BZ345" s="59"/>
      <c r="CA345" s="59"/>
      <c r="CC345" s="59"/>
    </row>
    <row r="346" spans="1:81" x14ac:dyDescent="0.2">
      <c r="A346">
        <f t="shared" si="263"/>
        <v>660000</v>
      </c>
      <c r="B346">
        <f t="shared" si="295"/>
        <v>660</v>
      </c>
      <c r="C346">
        <f t="shared" si="264"/>
        <v>1.0032977235979077</v>
      </c>
      <c r="D346">
        <f t="shared" si="265"/>
        <v>8.1101005458049019E-2</v>
      </c>
      <c r="F346">
        <f t="shared" si="266"/>
        <v>1.2215724916870126E-4</v>
      </c>
      <c r="G346">
        <f t="shared" si="267"/>
        <v>2.2557172106812211E-3</v>
      </c>
      <c r="H346">
        <f t="shared" si="268"/>
        <v>-3.1393369327893188</v>
      </c>
      <c r="J346">
        <f t="shared" si="269"/>
        <v>15</v>
      </c>
      <c r="M346">
        <f t="shared" si="270"/>
        <v>1.895069890647283E-3</v>
      </c>
      <c r="N346">
        <f t="shared" si="271"/>
        <v>-1.5707963250000001</v>
      </c>
      <c r="O346">
        <f t="shared" si="272"/>
        <v>129.61528895100832</v>
      </c>
      <c r="P346">
        <f t="shared" si="273"/>
        <v>1.5630811110289082</v>
      </c>
      <c r="Q346">
        <f t="shared" si="274"/>
        <v>112.66747955727149</v>
      </c>
      <c r="R346">
        <f t="shared" si="275"/>
        <v>1.5619205346497458</v>
      </c>
      <c r="S346">
        <f t="shared" si="276"/>
        <v>0.29956928753872958</v>
      </c>
      <c r="T346">
        <f t="shared" si="277"/>
        <v>-1.2665551500859129</v>
      </c>
      <c r="U346">
        <f t="shared" si="278"/>
        <v>0.29601219144894869</v>
      </c>
      <c r="V346">
        <f t="shared" si="279"/>
        <v>-1.2702812998816255</v>
      </c>
      <c r="X346">
        <f t="shared" si="296"/>
        <v>-46.913454843965269</v>
      </c>
      <c r="Y346">
        <f t="shared" si="280"/>
        <v>-231.52462818234176</v>
      </c>
      <c r="Z346">
        <f t="shared" si="297"/>
        <v>-51.524628182341758</v>
      </c>
      <c r="AC346">
        <v>1</v>
      </c>
      <c r="AD346">
        <f t="shared" si="281"/>
        <v>129.61143132399002</v>
      </c>
      <c r="AE346">
        <f t="shared" si="282"/>
        <v>-6.44983130885428E-2</v>
      </c>
      <c r="AF346">
        <f t="shared" si="283"/>
        <v>1.9988069076359999E-2</v>
      </c>
      <c r="AG346">
        <f t="shared" si="298"/>
        <v>554.04173541809132</v>
      </c>
      <c r="AH346">
        <f t="shared" si="299"/>
        <v>-1837.8342187421217</v>
      </c>
      <c r="AJ346">
        <f t="shared" si="284"/>
        <v>26400</v>
      </c>
      <c r="AK346">
        <f t="shared" si="285"/>
        <v>84079.273472409608</v>
      </c>
      <c r="AL346">
        <v>1</v>
      </c>
      <c r="AM346">
        <f t="shared" si="286"/>
        <v>112.66304163206402</v>
      </c>
      <c r="AN346">
        <f t="shared" si="300"/>
        <v>748.31069082296801</v>
      </c>
      <c r="AO346">
        <f t="shared" si="301"/>
        <v>-227.68504149702042</v>
      </c>
      <c r="AQ346">
        <f t="shared" si="287"/>
        <v>5.7392069908132511E-3</v>
      </c>
      <c r="AR346">
        <f t="shared" si="288"/>
        <v>-7.5757532278734914</v>
      </c>
      <c r="AT346">
        <f t="shared" si="313"/>
        <v>-13919.798754730871</v>
      </c>
      <c r="AU346">
        <f t="shared" si="314"/>
        <v>-4207.8311764663968</v>
      </c>
      <c r="AV346">
        <f t="shared" si="302"/>
        <v>-2.8480352668298643</v>
      </c>
      <c r="AW346">
        <f t="shared" si="303"/>
        <v>-420.646055985104</v>
      </c>
      <c r="AX346">
        <f t="shared" si="304"/>
        <v>-8674.2293791283209</v>
      </c>
      <c r="AY346">
        <f t="shared" si="312"/>
        <v>-1.6192521336798003</v>
      </c>
      <c r="BA346">
        <f t="shared" si="289"/>
        <v>1.6744800469078569</v>
      </c>
      <c r="BB346">
        <f t="shared" si="305"/>
        <v>4.4775995371361841</v>
      </c>
      <c r="BC346">
        <f t="shared" si="306"/>
        <v>-1.228783133150064</v>
      </c>
      <c r="BD346">
        <f t="shared" si="290"/>
        <v>-250.40408754680897</v>
      </c>
      <c r="BF346">
        <f t="shared" si="291"/>
        <v>-50.233593856789881</v>
      </c>
      <c r="BG346">
        <f t="shared" si="292"/>
        <v>-245.62809913839084</v>
      </c>
      <c r="BH346">
        <f t="shared" si="307"/>
        <v>-65.628099138390837</v>
      </c>
      <c r="BI346">
        <f t="shared" si="308"/>
        <v>-65.628099138390837</v>
      </c>
      <c r="BJ346">
        <f t="shared" si="293"/>
        <v>0</v>
      </c>
      <c r="BK346">
        <f t="shared" si="309"/>
        <v>0</v>
      </c>
      <c r="BM346">
        <f t="shared" si="310"/>
        <v>-54.711193393926074</v>
      </c>
      <c r="BN346">
        <f t="shared" si="294"/>
        <v>-175.2240115915819</v>
      </c>
      <c r="BQ346" s="56">
        <f t="shared" si="311"/>
        <v>21.379560337421321</v>
      </c>
      <c r="BR346" s="59"/>
      <c r="BS346" s="59"/>
      <c r="BT346" s="59">
        <v>229086.76500000001</v>
      </c>
      <c r="BU346" s="59">
        <v>14.1297</v>
      </c>
      <c r="BV346" s="59">
        <v>-156.46</v>
      </c>
      <c r="BY346" s="59"/>
      <c r="BZ346" s="59"/>
      <c r="CA346" s="59"/>
      <c r="CC346" s="59"/>
    </row>
    <row r="347" spans="1:81" x14ac:dyDescent="0.2">
      <c r="A347">
        <f t="shared" si="263"/>
        <v>665000</v>
      </c>
      <c r="B347">
        <f t="shared" si="295"/>
        <v>665</v>
      </c>
      <c r="C347">
        <f t="shared" si="264"/>
        <v>1.0033477946943532</v>
      </c>
      <c r="D347">
        <f t="shared" si="265"/>
        <v>8.1712685968808388E-2</v>
      </c>
      <c r="F347">
        <f t="shared" si="266"/>
        <v>1.2032698814288601E-4</v>
      </c>
      <c r="G347">
        <f t="shared" si="267"/>
        <v>2.2387528884528162E-3</v>
      </c>
      <c r="H347">
        <f t="shared" si="268"/>
        <v>-3.1393538971115476</v>
      </c>
      <c r="J347">
        <f t="shared" si="269"/>
        <v>15</v>
      </c>
      <c r="M347">
        <f t="shared" si="270"/>
        <v>1.8808212448529424E-3</v>
      </c>
      <c r="N347">
        <f t="shared" si="271"/>
        <v>-1.5707963250000001</v>
      </c>
      <c r="O347">
        <f t="shared" si="272"/>
        <v>130.59716472990493</v>
      </c>
      <c r="P347">
        <f t="shared" si="273"/>
        <v>1.5631391178939502</v>
      </c>
      <c r="Q347">
        <f t="shared" si="274"/>
        <v>113.52095408186435</v>
      </c>
      <c r="R347">
        <f t="shared" si="275"/>
        <v>1.5619872664635919</v>
      </c>
      <c r="S347">
        <f t="shared" si="276"/>
        <v>0.29751694902705456</v>
      </c>
      <c r="T347">
        <f t="shared" si="277"/>
        <v>-1.2687055558984108</v>
      </c>
      <c r="U347">
        <f t="shared" si="278"/>
        <v>0.29397955107297546</v>
      </c>
      <c r="V347">
        <f t="shared" si="279"/>
        <v>-1.2724086091452973</v>
      </c>
      <c r="X347">
        <f t="shared" si="296"/>
        <v>-47.098161149467479</v>
      </c>
      <c r="Y347">
        <f t="shared" si="280"/>
        <v>-231.72850147494546</v>
      </c>
      <c r="Z347">
        <f t="shared" si="297"/>
        <v>-51.72850147494546</v>
      </c>
      <c r="AC347">
        <v>1</v>
      </c>
      <c r="AD347">
        <f t="shared" si="281"/>
        <v>130.5933361067475</v>
      </c>
      <c r="AE347">
        <f t="shared" si="282"/>
        <v>-6.5479261950369239E-2</v>
      </c>
      <c r="AF347">
        <f t="shared" si="283"/>
        <v>2.0139493842089996E-2</v>
      </c>
      <c r="AG347">
        <f t="shared" si="298"/>
        <v>546.45893254263194</v>
      </c>
      <c r="AH347">
        <f t="shared" si="299"/>
        <v>-1826.3481633389997</v>
      </c>
      <c r="AJ347">
        <f t="shared" si="284"/>
        <v>26400</v>
      </c>
      <c r="AK347">
        <f t="shared" si="285"/>
        <v>84716.237665382403</v>
      </c>
      <c r="AL347">
        <v>1</v>
      </c>
      <c r="AM347">
        <f t="shared" si="286"/>
        <v>113.51654952321601</v>
      </c>
      <c r="AN347">
        <f t="shared" si="300"/>
        <v>748.2804173728839</v>
      </c>
      <c r="AO347">
        <f t="shared" si="301"/>
        <v>-225.97339057932618</v>
      </c>
      <c r="AQ347">
        <f t="shared" si="287"/>
        <v>5.6532276255143732E-3</v>
      </c>
      <c r="AR347">
        <f t="shared" si="288"/>
        <v>-7.5187927419341163</v>
      </c>
      <c r="AT347">
        <f t="shared" si="313"/>
        <v>-13728.844058024315</v>
      </c>
      <c r="AU347">
        <f t="shared" si="314"/>
        <v>-4119.0362176574008</v>
      </c>
      <c r="AV347">
        <f t="shared" si="302"/>
        <v>-2.8501102652835772</v>
      </c>
      <c r="AW347">
        <f t="shared" si="303"/>
        <v>-402.45351997037716</v>
      </c>
      <c r="AX347">
        <f t="shared" si="304"/>
        <v>-8611.0804938388283</v>
      </c>
      <c r="AY347">
        <f t="shared" si="312"/>
        <v>-1.6174990460039069</v>
      </c>
      <c r="BA347">
        <f t="shared" si="289"/>
        <v>1.662719940377529</v>
      </c>
      <c r="BB347">
        <f t="shared" si="305"/>
        <v>4.416382102955855</v>
      </c>
      <c r="BC347">
        <f t="shared" si="306"/>
        <v>-1.2326112192796703</v>
      </c>
      <c r="BD347">
        <f t="shared" si="290"/>
        <v>-250.6234207258986</v>
      </c>
      <c r="BF347">
        <f t="shared" si="291"/>
        <v>-50.425501783182789</v>
      </c>
      <c r="BG347">
        <f t="shared" si="292"/>
        <v>-245.81335758983062</v>
      </c>
      <c r="BH347">
        <f t="shared" si="307"/>
        <v>-65.813357589830616</v>
      </c>
      <c r="BI347">
        <f t="shared" si="308"/>
        <v>-65.813357589830616</v>
      </c>
      <c r="BJ347">
        <f t="shared" si="293"/>
        <v>0</v>
      </c>
      <c r="BK347">
        <f t="shared" si="309"/>
        <v>0</v>
      </c>
      <c r="BM347">
        <f t="shared" si="310"/>
        <v>-54.841883886138646</v>
      </c>
      <c r="BN347">
        <f t="shared" si="294"/>
        <v>-175.18993686393208</v>
      </c>
      <c r="BQ347" s="56">
        <f t="shared" si="311"/>
        <v>21.318342903240989</v>
      </c>
      <c r="BR347" s="59"/>
      <c r="BS347" s="59"/>
      <c r="BT347" s="59">
        <v>234422.88200000001</v>
      </c>
      <c r="BU347" s="59">
        <v>14.451599999999999</v>
      </c>
      <c r="BV347" s="59">
        <v>-158.77500000000001</v>
      </c>
      <c r="BY347" s="59"/>
      <c r="BZ347" s="59"/>
      <c r="CA347" s="59"/>
      <c r="CC347" s="59"/>
    </row>
    <row r="348" spans="1:81" x14ac:dyDescent="0.2">
      <c r="A348">
        <f t="shared" si="263"/>
        <v>670000</v>
      </c>
      <c r="B348">
        <f t="shared" si="295"/>
        <v>670</v>
      </c>
      <c r="C348">
        <f t="shared" si="264"/>
        <v>1.0033982411588851</v>
      </c>
      <c r="D348">
        <f t="shared" si="265"/>
        <v>8.2324305203159046E-2</v>
      </c>
      <c r="F348">
        <f t="shared" si="266"/>
        <v>1.1853755636755853E-4</v>
      </c>
      <c r="G348">
        <f t="shared" si="267"/>
        <v>2.2220418545690476E-3</v>
      </c>
      <c r="H348">
        <f t="shared" si="268"/>
        <v>-3.1393706081454313</v>
      </c>
      <c r="J348">
        <f t="shared" si="269"/>
        <v>15</v>
      </c>
      <c r="M348">
        <f t="shared" si="270"/>
        <v>1.8667852654137415E-3</v>
      </c>
      <c r="N348">
        <f t="shared" si="271"/>
        <v>-1.5707963250000001</v>
      </c>
      <c r="O348">
        <f t="shared" si="272"/>
        <v>131.57904094167608</v>
      </c>
      <c r="P348">
        <f t="shared" si="273"/>
        <v>1.5631962590352717</v>
      </c>
      <c r="Q348">
        <f t="shared" si="274"/>
        <v>114.37442910443677</v>
      </c>
      <c r="R348">
        <f t="shared" si="275"/>
        <v>1.5620530023569297</v>
      </c>
      <c r="S348">
        <f t="shared" si="276"/>
        <v>0.29549120151245428</v>
      </c>
      <c r="T348">
        <f t="shared" si="277"/>
        <v>-1.2708266878383778</v>
      </c>
      <c r="U348">
        <f t="shared" si="278"/>
        <v>0.29197334117047613</v>
      </c>
      <c r="V348">
        <f t="shared" si="279"/>
        <v>-1.2745068929277328</v>
      </c>
      <c r="X348">
        <f t="shared" si="296"/>
        <v>-47.281633231570915</v>
      </c>
      <c r="Y348">
        <f t="shared" si="280"/>
        <v>-231.92913012350999</v>
      </c>
      <c r="Z348">
        <f t="shared" si="297"/>
        <v>-51.929130123509992</v>
      </c>
      <c r="AC348">
        <v>1</v>
      </c>
      <c r="AD348">
        <f t="shared" si="281"/>
        <v>131.57524088950498</v>
      </c>
      <c r="AE348">
        <f t="shared" si="282"/>
        <v>-6.6467614199832117E-2</v>
      </c>
      <c r="AF348">
        <f t="shared" si="283"/>
        <v>2.0290918607819997E-2</v>
      </c>
      <c r="AG348">
        <f t="shared" si="298"/>
        <v>539.02596294104649</v>
      </c>
      <c r="AH348">
        <f t="shared" si="299"/>
        <v>-1814.9878012060667</v>
      </c>
      <c r="AJ348">
        <f t="shared" si="284"/>
        <v>26400</v>
      </c>
      <c r="AK348">
        <f t="shared" si="285"/>
        <v>85353.201858355213</v>
      </c>
      <c r="AL348">
        <v>1</v>
      </c>
      <c r="AM348">
        <f t="shared" si="286"/>
        <v>114.37005741436802</v>
      </c>
      <c r="AN348">
        <f t="shared" si="300"/>
        <v>748.25081908537425</v>
      </c>
      <c r="AO348">
        <f t="shared" si="301"/>
        <v>-224.2872807869384</v>
      </c>
      <c r="AQ348">
        <f t="shared" si="287"/>
        <v>5.5691659784105714E-3</v>
      </c>
      <c r="AR348">
        <f t="shared" si="288"/>
        <v>-7.4626824110701655</v>
      </c>
      <c r="AT348">
        <f t="shared" si="313"/>
        <v>-13541.675615313135</v>
      </c>
      <c r="AU348">
        <f t="shared" si="314"/>
        <v>-4032.6875410640137</v>
      </c>
      <c r="AV348">
        <f t="shared" si="302"/>
        <v>-2.8521570189640744</v>
      </c>
      <c r="AW348">
        <f t="shared" si="303"/>
        <v>-384.6858680209595</v>
      </c>
      <c r="AX348">
        <f t="shared" si="304"/>
        <v>-8548.8341369838272</v>
      </c>
      <c r="AY348">
        <f t="shared" si="312"/>
        <v>-1.6157646265242025</v>
      </c>
      <c r="BA348">
        <f t="shared" si="289"/>
        <v>1.6511143244341908</v>
      </c>
      <c r="BB348">
        <f t="shared" si="305"/>
        <v>4.3555429038016946</v>
      </c>
      <c r="BC348">
        <f t="shared" si="306"/>
        <v>-1.2363923924398719</v>
      </c>
      <c r="BD348">
        <f t="shared" si="290"/>
        <v>-250.84006598983382</v>
      </c>
      <c r="BF348">
        <f t="shared" si="291"/>
        <v>-50.616045804893375</v>
      </c>
      <c r="BG348">
        <f t="shared" si="292"/>
        <v>-245.99591712464243</v>
      </c>
      <c r="BH348">
        <f t="shared" si="307"/>
        <v>-65.995917124642432</v>
      </c>
      <c r="BI348">
        <f t="shared" si="308"/>
        <v>-65.995917124642432</v>
      </c>
      <c r="BJ348">
        <f t="shared" si="293"/>
        <v>0</v>
      </c>
      <c r="BK348">
        <f t="shared" si="309"/>
        <v>0</v>
      </c>
      <c r="BM348">
        <f t="shared" si="310"/>
        <v>-54.971588708695066</v>
      </c>
      <c r="BN348">
        <f t="shared" si="294"/>
        <v>-175.15585113480861</v>
      </c>
      <c r="BQ348" s="56">
        <f t="shared" si="311"/>
        <v>21.25750370408683</v>
      </c>
      <c r="BR348" s="59"/>
      <c r="BS348" s="59"/>
      <c r="BT348" s="59">
        <v>239883.29199999999</v>
      </c>
      <c r="BU348" s="59">
        <v>14.4628</v>
      </c>
      <c r="BV348" s="59">
        <v>-161.529</v>
      </c>
      <c r="BY348" s="59"/>
      <c r="BZ348" s="59"/>
      <c r="CA348" s="59"/>
      <c r="CC348" s="59"/>
    </row>
    <row r="349" spans="1:81" x14ac:dyDescent="0.2">
      <c r="A349">
        <f t="shared" si="263"/>
        <v>675000</v>
      </c>
      <c r="B349">
        <f t="shared" si="295"/>
        <v>675</v>
      </c>
      <c r="C349">
        <f t="shared" si="264"/>
        <v>1.0034490629348907</v>
      </c>
      <c r="D349">
        <f t="shared" si="265"/>
        <v>8.2935862712790687E-2</v>
      </c>
      <c r="F349">
        <f t="shared" si="266"/>
        <v>1.1678774834738083E-4</v>
      </c>
      <c r="G349">
        <f t="shared" si="267"/>
        <v>2.2055784777769418E-3</v>
      </c>
      <c r="H349">
        <f t="shared" si="268"/>
        <v>-3.1393870715222234</v>
      </c>
      <c r="J349">
        <f t="shared" si="269"/>
        <v>15</v>
      </c>
      <c r="M349">
        <f t="shared" si="270"/>
        <v>1.8529572264106768E-3</v>
      </c>
      <c r="N349">
        <f t="shared" si="271"/>
        <v>-1.5707963250000001</v>
      </c>
      <c r="O349">
        <f t="shared" si="272"/>
        <v>132.56091757670291</v>
      </c>
      <c r="P349">
        <f t="shared" si="273"/>
        <v>1.5632525536897017</v>
      </c>
      <c r="Q349">
        <f t="shared" si="274"/>
        <v>115.22790461392343</v>
      </c>
      <c r="R349">
        <f t="shared" si="275"/>
        <v>1.5621177644590782</v>
      </c>
      <c r="S349">
        <f t="shared" si="276"/>
        <v>0.29349155964618406</v>
      </c>
      <c r="T349">
        <f t="shared" si="277"/>
        <v>-1.2729191209275361</v>
      </c>
      <c r="U349">
        <f t="shared" si="278"/>
        <v>0.28999307676715036</v>
      </c>
      <c r="V349">
        <f t="shared" si="279"/>
        <v>-1.2765767231446665</v>
      </c>
      <c r="X349">
        <f t="shared" si="296"/>
        <v>-47.463886354274003</v>
      </c>
      <c r="Y349">
        <f t="shared" si="280"/>
        <v>-232.12657782093868</v>
      </c>
      <c r="Z349">
        <f t="shared" si="297"/>
        <v>-52.126577820938678</v>
      </c>
      <c r="AC349">
        <v>1</v>
      </c>
      <c r="AD349">
        <f t="shared" si="281"/>
        <v>132.55714567226249</v>
      </c>
      <c r="AE349">
        <f t="shared" si="282"/>
        <v>-6.7463369836931408E-2</v>
      </c>
      <c r="AF349">
        <f t="shared" si="283"/>
        <v>2.0442343373549998E-2</v>
      </c>
      <c r="AG349">
        <f t="shared" si="298"/>
        <v>531.73903642236542</v>
      </c>
      <c r="AH349">
        <f t="shared" si="299"/>
        <v>-1803.7514876403461</v>
      </c>
      <c r="AJ349">
        <f t="shared" si="284"/>
        <v>26400</v>
      </c>
      <c r="AK349">
        <f t="shared" si="285"/>
        <v>85990.166051328008</v>
      </c>
      <c r="AL349">
        <v>1</v>
      </c>
      <c r="AM349">
        <f t="shared" si="286"/>
        <v>115.22356530552001</v>
      </c>
      <c r="AN349">
        <f t="shared" si="300"/>
        <v>748.22187603242014</v>
      </c>
      <c r="AO349">
        <f t="shared" si="301"/>
        <v>-222.6261447122456</v>
      </c>
      <c r="AQ349">
        <f t="shared" si="287"/>
        <v>5.4869654392507876E-3</v>
      </c>
      <c r="AR349">
        <f t="shared" si="288"/>
        <v>-7.4074033429885633</v>
      </c>
      <c r="AT349">
        <f t="shared" si="313"/>
        <v>-13358.197165752144</v>
      </c>
      <c r="AU349">
        <f t="shared" si="314"/>
        <v>-3948.7026380662269</v>
      </c>
      <c r="AV349">
        <f t="shared" si="302"/>
        <v>-2.8541760824394982</v>
      </c>
      <c r="AW349">
        <f t="shared" si="303"/>
        <v>-367.32993124913594</v>
      </c>
      <c r="AX349">
        <f t="shared" si="304"/>
        <v>-8487.4712336656266</v>
      </c>
      <c r="AY349">
        <f t="shared" si="312"/>
        <v>-1.6140484136182138</v>
      </c>
      <c r="BA349">
        <f t="shared" si="289"/>
        <v>1.6396603547514785</v>
      </c>
      <c r="BB349">
        <f t="shared" si="305"/>
        <v>4.2950779202996268</v>
      </c>
      <c r="BC349">
        <f t="shared" si="306"/>
        <v>-1.2401276688212843</v>
      </c>
      <c r="BD349">
        <f t="shared" si="290"/>
        <v>-251.05408156204822</v>
      </c>
      <c r="BF349">
        <f t="shared" si="291"/>
        <v>-50.805244556368869</v>
      </c>
      <c r="BG349">
        <f t="shared" si="292"/>
        <v>-246.17583631459314</v>
      </c>
      <c r="BH349">
        <f t="shared" si="307"/>
        <v>-66.175836314593141</v>
      </c>
      <c r="BI349">
        <f t="shared" si="308"/>
        <v>-66.175836314593141</v>
      </c>
      <c r="BJ349">
        <f t="shared" si="293"/>
        <v>0</v>
      </c>
      <c r="BK349">
        <f t="shared" si="309"/>
        <v>0</v>
      </c>
      <c r="BM349">
        <f t="shared" si="310"/>
        <v>-55.100322476668495</v>
      </c>
      <c r="BN349">
        <f t="shared" si="294"/>
        <v>-175.121754752545</v>
      </c>
      <c r="BQ349" s="56">
        <f t="shared" si="311"/>
        <v>21.197038720584764</v>
      </c>
      <c r="BR349" s="59"/>
      <c r="BS349" s="59"/>
      <c r="BT349" s="59">
        <v>245470.89199999999</v>
      </c>
      <c r="BU349" s="59">
        <v>14.575900000000001</v>
      </c>
      <c r="BV349" s="59">
        <v>-163.59700000000001</v>
      </c>
      <c r="BY349" s="59"/>
      <c r="BZ349" s="59"/>
      <c r="CA349" s="59"/>
      <c r="CC349" s="59"/>
    </row>
    <row r="350" spans="1:81" x14ac:dyDescent="0.2">
      <c r="A350">
        <f t="shared" si="263"/>
        <v>680000</v>
      </c>
      <c r="B350">
        <f t="shared" si="295"/>
        <v>680</v>
      </c>
      <c r="C350">
        <f t="shared" si="264"/>
        <v>1.0035002599653471</v>
      </c>
      <c r="D350">
        <f t="shared" si="265"/>
        <v>8.3547358049668147E-2</v>
      </c>
      <c r="F350">
        <f t="shared" si="266"/>
        <v>1.150764027532147E-4</v>
      </c>
      <c r="G350">
        <f t="shared" si="267"/>
        <v>2.1893572925440067E-3</v>
      </c>
      <c r="H350">
        <f t="shared" si="268"/>
        <v>-3.1394032927074562</v>
      </c>
      <c r="J350">
        <f t="shared" si="269"/>
        <v>15</v>
      </c>
      <c r="M350">
        <f t="shared" si="270"/>
        <v>1.8393325409223628E-3</v>
      </c>
      <c r="N350">
        <f t="shared" si="271"/>
        <v>-1.5707963250000001</v>
      </c>
      <c r="O350">
        <f t="shared" si="272"/>
        <v>133.54279462564944</v>
      </c>
      <c r="P350">
        <f t="shared" si="273"/>
        <v>1.5633080205283336</v>
      </c>
      <c r="Q350">
        <f t="shared" si="274"/>
        <v>116.08138059958432</v>
      </c>
      <c r="R350">
        <f t="shared" si="275"/>
        <v>1.5621815742485761</v>
      </c>
      <c r="S350">
        <f t="shared" si="276"/>
        <v>0.29151754901501087</v>
      </c>
      <c r="T350">
        <f t="shared" si="277"/>
        <v>-1.2749834157377244</v>
      </c>
      <c r="U350">
        <f t="shared" si="278"/>
        <v>0.28803828390262237</v>
      </c>
      <c r="V350">
        <f t="shared" si="279"/>
        <v>-1.2786186572810778</v>
      </c>
      <c r="X350">
        <f t="shared" si="296"/>
        <v>-47.644935519649394</v>
      </c>
      <c r="Y350">
        <f t="shared" si="280"/>
        <v>-232.32090666558651</v>
      </c>
      <c r="Z350">
        <f t="shared" si="297"/>
        <v>-52.320906665586506</v>
      </c>
      <c r="AC350">
        <v>1</v>
      </c>
      <c r="AD350">
        <f t="shared" si="281"/>
        <v>133.53905045502</v>
      </c>
      <c r="AE350">
        <f t="shared" si="282"/>
        <v>-6.8466528861667125E-2</v>
      </c>
      <c r="AF350">
        <f t="shared" si="283"/>
        <v>2.0593768139279999E-2</v>
      </c>
      <c r="AG350">
        <f t="shared" si="298"/>
        <v>524.59447735385049</v>
      </c>
      <c r="AH350">
        <f t="shared" si="299"/>
        <v>-1792.6375918549741</v>
      </c>
      <c r="AJ350">
        <f t="shared" si="284"/>
        <v>26400</v>
      </c>
      <c r="AK350">
        <f t="shared" si="285"/>
        <v>86627.130244300803</v>
      </c>
      <c r="AL350">
        <v>1</v>
      </c>
      <c r="AM350">
        <f t="shared" si="286"/>
        <v>116.07707319667202</v>
      </c>
      <c r="AN350">
        <f t="shared" si="300"/>
        <v>748.19356901583717</v>
      </c>
      <c r="AO350">
        <f t="shared" si="301"/>
        <v>-220.98943162980791</v>
      </c>
      <c r="AQ350">
        <f t="shared" si="287"/>
        <v>5.4065714713605797E-3</v>
      </c>
      <c r="AR350">
        <f t="shared" si="288"/>
        <v>-7.3529372010503886</v>
      </c>
      <c r="AT350">
        <f t="shared" si="313"/>
        <v>-13178.315379616528</v>
      </c>
      <c r="AU350">
        <f t="shared" si="314"/>
        <v>-3867.0022712633245</v>
      </c>
      <c r="AV350">
        <f t="shared" si="302"/>
        <v>-2.8561679963574047</v>
      </c>
      <c r="AW350">
        <f t="shared" si="303"/>
        <v>-350.37304714786393</v>
      </c>
      <c r="AX350">
        <f t="shared" si="304"/>
        <v>-8426.9732415873223</v>
      </c>
      <c r="AY350">
        <f t="shared" si="312"/>
        <v>-1.6123499606228944</v>
      </c>
      <c r="BA350">
        <f t="shared" si="289"/>
        <v>1.6283552496985279</v>
      </c>
      <c r="BB350">
        <f t="shared" si="305"/>
        <v>4.2349831726483043</v>
      </c>
      <c r="BC350">
        <f t="shared" si="306"/>
        <v>-1.2438180357345103</v>
      </c>
      <c r="BD350">
        <f t="shared" si="290"/>
        <v>-251.26552401127239</v>
      </c>
      <c r="BF350">
        <f t="shared" si="291"/>
        <v>-50.993116308776855</v>
      </c>
      <c r="BG350">
        <f t="shared" si="292"/>
        <v>-246.3531720672359</v>
      </c>
      <c r="BH350">
        <f t="shared" si="307"/>
        <v>-66.353172067235903</v>
      </c>
      <c r="BI350">
        <f t="shared" si="308"/>
        <v>-66.353172067235903</v>
      </c>
      <c r="BJ350">
        <f t="shared" si="293"/>
        <v>0</v>
      </c>
      <c r="BK350">
        <f t="shared" si="309"/>
        <v>0</v>
      </c>
      <c r="BM350">
        <f t="shared" si="310"/>
        <v>-55.228099481425161</v>
      </c>
      <c r="BN350">
        <f t="shared" si="294"/>
        <v>-175.08764805596354</v>
      </c>
      <c r="BQ350" s="56">
        <f t="shared" si="311"/>
        <v>21.136943972933441</v>
      </c>
      <c r="BR350" s="59"/>
      <c r="BS350" s="59"/>
      <c r="BT350" s="59">
        <v>251188.64300000001</v>
      </c>
      <c r="BU350" s="59">
        <v>14.7446</v>
      </c>
      <c r="BV350" s="59">
        <v>-165.89599999999999</v>
      </c>
      <c r="BY350" s="59"/>
      <c r="BZ350" s="59"/>
      <c r="CA350" s="59"/>
      <c r="CC350" s="59"/>
    </row>
    <row r="351" spans="1:81" x14ac:dyDescent="0.2">
      <c r="A351">
        <f t="shared" si="263"/>
        <v>685000</v>
      </c>
      <c r="B351">
        <f t="shared" si="295"/>
        <v>685</v>
      </c>
      <c r="C351">
        <f t="shared" si="264"/>
        <v>1.0035518321928232</v>
      </c>
      <c r="D351">
        <f t="shared" si="265"/>
        <v>8.4158790766033317E-2</v>
      </c>
      <c r="F351">
        <f t="shared" si="266"/>
        <v>1.1340240049442295E-4</v>
      </c>
      <c r="G351">
        <f t="shared" si="267"/>
        <v>2.1733729930059104E-3</v>
      </c>
      <c r="H351">
        <f t="shared" si="268"/>
        <v>-3.1394192770069944</v>
      </c>
      <c r="J351">
        <f t="shared" si="269"/>
        <v>15</v>
      </c>
      <c r="M351">
        <f t="shared" si="270"/>
        <v>1.8259067559521266E-3</v>
      </c>
      <c r="N351">
        <f t="shared" si="271"/>
        <v>-1.5707963250000001</v>
      </c>
      <c r="O351">
        <f t="shared" si="272"/>
        <v>134.52467207945219</v>
      </c>
      <c r="P351">
        <f t="shared" si="273"/>
        <v>1.5633626776771699</v>
      </c>
      <c r="Q351">
        <f t="shared" si="274"/>
        <v>116.93485705099309</v>
      </c>
      <c r="R351">
        <f t="shared" si="275"/>
        <v>1.562244452576929</v>
      </c>
      <c r="S351">
        <f t="shared" si="276"/>
        <v>0.28956870586465938</v>
      </c>
      <c r="T351">
        <f t="shared" si="277"/>
        <v>-1.2770201188243719</v>
      </c>
      <c r="U351">
        <f t="shared" si="278"/>
        <v>0.28610849934826893</v>
      </c>
      <c r="V351">
        <f t="shared" si="279"/>
        <v>-1.2806332388264228</v>
      </c>
      <c r="X351">
        <f t="shared" si="296"/>
        <v>-47.824795473252131</v>
      </c>
      <c r="Y351">
        <f t="shared" si="280"/>
        <v>-232.51217720883645</v>
      </c>
      <c r="Z351">
        <f t="shared" si="297"/>
        <v>-52.512177208836448</v>
      </c>
      <c r="AC351">
        <v>1</v>
      </c>
      <c r="AD351">
        <f t="shared" si="281"/>
        <v>134.52095523777751</v>
      </c>
      <c r="AE351">
        <f t="shared" si="282"/>
        <v>-6.9477091274039254E-2</v>
      </c>
      <c r="AF351">
        <f t="shared" si="283"/>
        <v>2.074519290501E-2</v>
      </c>
      <c r="AG351">
        <f t="shared" si="298"/>
        <v>517.58872071976089</v>
      </c>
      <c r="AH351">
        <f t="shared" si="299"/>
        <v>-1781.6444976481273</v>
      </c>
      <c r="AJ351">
        <f t="shared" si="284"/>
        <v>26400</v>
      </c>
      <c r="AK351">
        <f t="shared" si="285"/>
        <v>87264.094437273612</v>
      </c>
      <c r="AL351">
        <v>1</v>
      </c>
      <c r="AM351">
        <f t="shared" si="286"/>
        <v>116.93058108782401</v>
      </c>
      <c r="AN351">
        <f t="shared" si="300"/>
        <v>748.16587953543547</v>
      </c>
      <c r="AO351">
        <f t="shared" si="301"/>
        <v>-219.37660688779121</v>
      </c>
      <c r="AQ351">
        <f t="shared" si="287"/>
        <v>5.327931521161745E-3</v>
      </c>
      <c r="AR351">
        <f t="shared" si="288"/>
        <v>-7.2992661839915902</v>
      </c>
      <c r="AT351">
        <f t="shared" si="313"/>
        <v>-13001.939756317539</v>
      </c>
      <c r="AU351">
        <f t="shared" si="314"/>
        <v>-3787.5103262437415</v>
      </c>
      <c r="AV351">
        <f t="shared" si="302"/>
        <v>-2.8581332878613805</v>
      </c>
      <c r="AW351">
        <f t="shared" si="303"/>
        <v>-333.80303644918314</v>
      </c>
      <c r="AX351">
        <f t="shared" si="304"/>
        <v>-8367.3221325323866</v>
      </c>
      <c r="AY351">
        <f t="shared" si="312"/>
        <v>-1.6106688352478553</v>
      </c>
      <c r="BA351">
        <f t="shared" si="289"/>
        <v>1.6171962889326081</v>
      </c>
      <c r="BB351">
        <f t="shared" si="305"/>
        <v>4.1752547212770139</v>
      </c>
      <c r="BC351">
        <f t="shared" si="306"/>
        <v>-1.2474644526135252</v>
      </c>
      <c r="BD351">
        <f t="shared" si="290"/>
        <v>-251.47444830902396</v>
      </c>
      <c r="BF351">
        <f t="shared" si="291"/>
        <v>-51.179678978839142</v>
      </c>
      <c r="BG351">
        <f t="shared" si="292"/>
        <v>-246.52797968374654</v>
      </c>
      <c r="BH351">
        <f t="shared" si="307"/>
        <v>-66.527979683746537</v>
      </c>
      <c r="BI351">
        <f t="shared" si="308"/>
        <v>-66.527979683746537</v>
      </c>
      <c r="BJ351">
        <f t="shared" si="293"/>
        <v>0</v>
      </c>
      <c r="BK351">
        <f t="shared" si="309"/>
        <v>0</v>
      </c>
      <c r="BM351">
        <f t="shared" si="310"/>
        <v>-55.354933700116149</v>
      </c>
      <c r="BN351">
        <f t="shared" si="294"/>
        <v>-175.05353137472261</v>
      </c>
      <c r="BQ351" s="56">
        <f t="shared" si="311"/>
        <v>21.077215521562152</v>
      </c>
      <c r="BR351" s="59"/>
      <c r="BS351" s="59"/>
      <c r="BT351" s="59">
        <v>257039.57800000001</v>
      </c>
      <c r="BU351" s="59">
        <v>14.891</v>
      </c>
      <c r="BV351" s="59">
        <v>-168.07</v>
      </c>
      <c r="BY351" s="59"/>
      <c r="BZ351" s="59"/>
      <c r="CA351" s="59"/>
      <c r="CC351" s="59"/>
    </row>
    <row r="352" spans="1:81" x14ac:dyDescent="0.2">
      <c r="A352">
        <f t="shared" si="263"/>
        <v>690000</v>
      </c>
      <c r="B352">
        <f t="shared" si="295"/>
        <v>690</v>
      </c>
      <c r="C352">
        <f t="shared" si="264"/>
        <v>1.0036037795594779</v>
      </c>
      <c r="D352">
        <f t="shared" si="265"/>
        <v>8.4770160414407103E-2</v>
      </c>
      <c r="F352">
        <f t="shared" si="266"/>
        <v>1.1176466288862527E-4</v>
      </c>
      <c r="G352">
        <f t="shared" si="267"/>
        <v>2.1576204271775029E-3</v>
      </c>
      <c r="H352">
        <f t="shared" si="268"/>
        <v>-3.1394350295728226</v>
      </c>
      <c r="J352">
        <f t="shared" si="269"/>
        <v>15</v>
      </c>
      <c r="M352">
        <f t="shared" si="270"/>
        <v>1.812675547575662E-3</v>
      </c>
      <c r="N352">
        <f t="shared" si="271"/>
        <v>-1.5707963250000001</v>
      </c>
      <c r="O352">
        <f t="shared" si="272"/>
        <v>135.50654992931047</v>
      </c>
      <c r="P352">
        <f t="shared" si="273"/>
        <v>1.5634165427368705</v>
      </c>
      <c r="Q352">
        <f t="shared" si="274"/>
        <v>117.78833395802548</v>
      </c>
      <c r="R352">
        <f t="shared" si="275"/>
        <v>1.5623064196913248</v>
      </c>
      <c r="S352">
        <f t="shared" si="276"/>
        <v>0.28764457683022748</v>
      </c>
      <c r="T352">
        <f t="shared" si="277"/>
        <v>-1.2790297631451901</v>
      </c>
      <c r="U352">
        <f t="shared" si="278"/>
        <v>0.28420327033234721</v>
      </c>
      <c r="V352">
        <f t="shared" si="279"/>
        <v>-1.2826209976949197</v>
      </c>
      <c r="X352">
        <f t="shared" si="296"/>
        <v>-48.003480709408002</v>
      </c>
      <c r="Y352">
        <f t="shared" si="280"/>
        <v>-232.70044850106814</v>
      </c>
      <c r="Z352">
        <f t="shared" si="297"/>
        <v>-52.700448501068138</v>
      </c>
      <c r="AC352">
        <v>1</v>
      </c>
      <c r="AD352">
        <f t="shared" si="281"/>
        <v>135.502860020535</v>
      </c>
      <c r="AE352">
        <f t="shared" si="282"/>
        <v>-7.0495057074047809E-2</v>
      </c>
      <c r="AF352">
        <f t="shared" si="283"/>
        <v>2.0896617670740001E-2</v>
      </c>
      <c r="AG352">
        <f t="shared" si="298"/>
        <v>510.71830832812458</v>
      </c>
      <c r="AH352">
        <f t="shared" si="299"/>
        <v>-1770.7706039989923</v>
      </c>
      <c r="AJ352">
        <f t="shared" si="284"/>
        <v>26400</v>
      </c>
      <c r="AK352">
        <f t="shared" si="285"/>
        <v>87901.058630246407</v>
      </c>
      <c r="AL352">
        <v>1</v>
      </c>
      <c r="AM352">
        <f t="shared" si="286"/>
        <v>117.78408897897602</v>
      </c>
      <c r="AN352">
        <f t="shared" si="300"/>
        <v>748.13878975878583</v>
      </c>
      <c r="AO352">
        <f t="shared" si="301"/>
        <v>-217.78715132584645</v>
      </c>
      <c r="AQ352">
        <f t="shared" si="287"/>
        <v>5.2509949322647907E-3</v>
      </c>
      <c r="AR352">
        <f t="shared" si="288"/>
        <v>-7.2463730065254115</v>
      </c>
      <c r="AT352">
        <f t="shared" si="313"/>
        <v>-12828.982526318152</v>
      </c>
      <c r="AU352">
        <f t="shared" si="314"/>
        <v>-3710.1536708750464</v>
      </c>
      <c r="AV352">
        <f t="shared" si="302"/>
        <v>-2.8600724709935186</v>
      </c>
      <c r="AW352">
        <f t="shared" si="303"/>
        <v>-317.608181202759</v>
      </c>
      <c r="AX352">
        <f t="shared" si="304"/>
        <v>-8308.5003746185303</v>
      </c>
      <c r="AY352">
        <f t="shared" si="312"/>
        <v>-1.6090046190152281</v>
      </c>
      <c r="BA352">
        <f t="shared" si="289"/>
        <v>1.6061808120106198</v>
      </c>
      <c r="BB352">
        <f t="shared" si="305"/>
        <v>4.1158886674010366</v>
      </c>
      <c r="BC352">
        <f t="shared" si="306"/>
        <v>-1.2510678519782905</v>
      </c>
      <c r="BD352">
        <f t="shared" si="290"/>
        <v>-251.68090788476104</v>
      </c>
      <c r="BF352">
        <f t="shared" si="291"/>
        <v>-51.364950137422682</v>
      </c>
      <c r="BG352">
        <f t="shared" si="292"/>
        <v>-246.70031291440887</v>
      </c>
      <c r="BH352">
        <f t="shared" si="307"/>
        <v>-66.700312914408869</v>
      </c>
      <c r="BI352">
        <f t="shared" si="308"/>
        <v>-66.700312914408869</v>
      </c>
      <c r="BJ352">
        <f t="shared" si="293"/>
        <v>0</v>
      </c>
      <c r="BK352">
        <f t="shared" si="309"/>
        <v>0</v>
      </c>
      <c r="BM352">
        <f t="shared" si="310"/>
        <v>-55.480838804823719</v>
      </c>
      <c r="BN352">
        <f t="shared" si="294"/>
        <v>-175.01940502964786</v>
      </c>
      <c r="BQ352" s="56">
        <f t="shared" si="311"/>
        <v>21.017849467686172</v>
      </c>
      <c r="BR352" s="59"/>
      <c r="BS352" s="59"/>
      <c r="BT352" s="59">
        <v>263026.799</v>
      </c>
      <c r="BU352" s="59">
        <v>14.9779</v>
      </c>
      <c r="BV352" s="59">
        <v>-170.82400000000001</v>
      </c>
      <c r="BY352" s="59"/>
      <c r="BZ352" s="59"/>
      <c r="CA352" s="59"/>
      <c r="CC352" s="59"/>
    </row>
    <row r="353" spans="1:81" x14ac:dyDescent="0.2">
      <c r="A353">
        <f t="shared" si="263"/>
        <v>695000</v>
      </c>
      <c r="B353">
        <f t="shared" si="295"/>
        <v>695</v>
      </c>
      <c r="C353">
        <f t="shared" si="264"/>
        <v>1.0036561020070616</v>
      </c>
      <c r="D353">
        <f t="shared" si="265"/>
        <v>8.5381466547591309E-2</v>
      </c>
      <c r="F353">
        <f t="shared" si="266"/>
        <v>1.1016214992331773E-4</v>
      </c>
      <c r="G353">
        <f t="shared" si="267"/>
        <v>2.1420945914139241E-3</v>
      </c>
      <c r="H353">
        <f t="shared" si="268"/>
        <v>-3.1394505554085863</v>
      </c>
      <c r="J353">
        <f t="shared" si="269"/>
        <v>15</v>
      </c>
      <c r="M353">
        <f t="shared" si="270"/>
        <v>1.7996347162981391E-3</v>
      </c>
      <c r="N353">
        <f t="shared" si="271"/>
        <v>-1.5707963250000001</v>
      </c>
      <c r="O353">
        <f t="shared" si="272"/>
        <v>136.48842816667673</v>
      </c>
      <c r="P353">
        <f t="shared" si="273"/>
        <v>1.5634696328016473</v>
      </c>
      <c r="Q353">
        <f t="shared" si="274"/>
        <v>118.64181131084861</v>
      </c>
      <c r="R353">
        <f t="shared" si="275"/>
        <v>1.5623674952563684</v>
      </c>
      <c r="S353">
        <f t="shared" si="276"/>
        <v>0.28574471867344703</v>
      </c>
      <c r="T353">
        <f t="shared" si="277"/>
        <v>-1.2810128684646329</v>
      </c>
      <c r="U353">
        <f t="shared" si="278"/>
        <v>0.28232215427228158</v>
      </c>
      <c r="V353">
        <f t="shared" si="279"/>
        <v>-1.2845824506314434</v>
      </c>
      <c r="X353">
        <f t="shared" si="296"/>
        <v>-48.181005476384584</v>
      </c>
      <c r="Y353">
        <f t="shared" si="280"/>
        <v>-232.88577813607694</v>
      </c>
      <c r="Z353">
        <f t="shared" si="297"/>
        <v>-52.885778136076937</v>
      </c>
      <c r="AC353">
        <v>1</v>
      </c>
      <c r="AD353">
        <f t="shared" si="281"/>
        <v>136.48476480329251</v>
      </c>
      <c r="AE353">
        <f t="shared" si="282"/>
        <v>-7.1520426261692804E-2</v>
      </c>
      <c r="AF353">
        <f t="shared" si="283"/>
        <v>2.1048042436470002E-2</v>
      </c>
      <c r="AG353">
        <f t="shared" si="298"/>
        <v>503.97988515973327</v>
      </c>
      <c r="AH353">
        <f t="shared" si="299"/>
        <v>-1760.01432559616</v>
      </c>
      <c r="AJ353">
        <f t="shared" si="284"/>
        <v>26400</v>
      </c>
      <c r="AK353">
        <f t="shared" si="285"/>
        <v>88538.022823219202</v>
      </c>
      <c r="AL353">
        <v>1</v>
      </c>
      <c r="AM353">
        <f t="shared" si="286"/>
        <v>118.63759687012801</v>
      </c>
      <c r="AN353">
        <f t="shared" si="300"/>
        <v>748.11228249250655</v>
      </c>
      <c r="AO353">
        <f t="shared" si="301"/>
        <v>-216.22056071810431</v>
      </c>
      <c r="AQ353">
        <f t="shared" si="287"/>
        <v>5.1757128638720232E-3</v>
      </c>
      <c r="AR353">
        <f t="shared" si="288"/>
        <v>-7.1942408807821119</v>
      </c>
      <c r="AT353">
        <f t="shared" si="313"/>
        <v>-12659.3585567913</v>
      </c>
      <c r="AU353">
        <f t="shared" si="314"/>
        <v>-3634.8620216936142</v>
      </c>
      <c r="AV353">
        <f t="shared" si="302"/>
        <v>-2.8619860470832754</v>
      </c>
      <c r="AW353">
        <f t="shared" si="303"/>
        <v>-301.77720400192152</v>
      </c>
      <c r="AX353">
        <f t="shared" si="304"/>
        <v>-8250.4909152878226</v>
      </c>
      <c r="AY353">
        <f t="shared" si="312"/>
        <v>-1.6073569067248035</v>
      </c>
      <c r="BA353">
        <f t="shared" si="289"/>
        <v>1.5953062170207748</v>
      </c>
      <c r="BB353">
        <f t="shared" si="305"/>
        <v>4.0568811534827605</v>
      </c>
      <c r="BC353">
        <f t="shared" si="306"/>
        <v>-1.254629140358472</v>
      </c>
      <c r="BD353">
        <f t="shared" si="290"/>
        <v>-251.88495467880756</v>
      </c>
      <c r="BF353">
        <f t="shared" si="291"/>
        <v>-51.548947017894385</v>
      </c>
      <c r="BG353">
        <f t="shared" si="292"/>
        <v>-246.87022401185718</v>
      </c>
      <c r="BH353">
        <f t="shared" si="307"/>
        <v>-66.870224011857175</v>
      </c>
      <c r="BI353">
        <f t="shared" si="308"/>
        <v>-66.870224011857175</v>
      </c>
      <c r="BJ353">
        <f t="shared" si="293"/>
        <v>0</v>
      </c>
      <c r="BK353">
        <f t="shared" si="309"/>
        <v>0</v>
      </c>
      <c r="BM353">
        <f t="shared" si="310"/>
        <v>-55.605828171377148</v>
      </c>
      <c r="BN353">
        <f t="shared" si="294"/>
        <v>-174.98526933304962</v>
      </c>
      <c r="BQ353" s="56">
        <f t="shared" si="311"/>
        <v>20.958841953767898</v>
      </c>
      <c r="BR353" s="59"/>
      <c r="BS353" s="59"/>
      <c r="BT353" s="59">
        <v>269153.48</v>
      </c>
      <c r="BU353" s="59">
        <v>15.0854</v>
      </c>
      <c r="BV353" s="59">
        <v>-173.35300000000001</v>
      </c>
      <c r="BY353" s="59"/>
      <c r="BZ353" s="59"/>
      <c r="CA353" s="59"/>
      <c r="CC353" s="59"/>
    </row>
    <row r="354" spans="1:81" x14ac:dyDescent="0.2">
      <c r="A354">
        <f t="shared" si="263"/>
        <v>700000</v>
      </c>
      <c r="B354">
        <f t="shared" si="295"/>
        <v>700</v>
      </c>
      <c r="C354">
        <f t="shared" si="264"/>
        <v>1.0037087994769165</v>
      </c>
      <c r="D354">
        <f t="shared" si="265"/>
        <v>8.5992708718670485E-2</v>
      </c>
      <c r="F354">
        <f t="shared" si="266"/>
        <v>1.0859385860412406E-4</v>
      </c>
      <c r="G354">
        <f t="shared" si="267"/>
        <v>2.1267906251092646E-3</v>
      </c>
      <c r="H354">
        <f t="shared" si="268"/>
        <v>-3.1394658593748908</v>
      </c>
      <c r="J354">
        <f t="shared" si="269"/>
        <v>15</v>
      </c>
      <c r="M354">
        <f t="shared" si="270"/>
        <v>1.7867801826102953E-3</v>
      </c>
      <c r="N354">
        <f t="shared" si="271"/>
        <v>-1.5707963250000001</v>
      </c>
      <c r="O354">
        <f t="shared" si="272"/>
        <v>137.47030678324774</v>
      </c>
      <c r="P354">
        <f t="shared" si="273"/>
        <v>1.5635219644773499</v>
      </c>
      <c r="Q354">
        <f t="shared" si="274"/>
        <v>119.49528909991052</v>
      </c>
      <c r="R354">
        <f t="shared" si="275"/>
        <v>1.5624276983748853</v>
      </c>
      <c r="S354">
        <f t="shared" si="276"/>
        <v>0.28386869802666514</v>
      </c>
      <c r="T354">
        <f t="shared" si="277"/>
        <v>-1.2829699417446505</v>
      </c>
      <c r="U354">
        <f t="shared" si="278"/>
        <v>0.28046471851396299</v>
      </c>
      <c r="V354">
        <f t="shared" si="279"/>
        <v>-1.2865181016035729</v>
      </c>
      <c r="X354">
        <f t="shared" si="296"/>
        <v>-48.357383781447247</v>
      </c>
      <c r="Y354">
        <f t="shared" si="280"/>
        <v>-233.06822229400026</v>
      </c>
      <c r="Z354">
        <f t="shared" si="297"/>
        <v>-53.068222294000265</v>
      </c>
      <c r="AC354">
        <v>1</v>
      </c>
      <c r="AD354">
        <f t="shared" si="281"/>
        <v>137.46666958604999</v>
      </c>
      <c r="AE354">
        <f t="shared" si="282"/>
        <v>-7.2553198836974211E-2</v>
      </c>
      <c r="AF354">
        <f t="shared" si="283"/>
        <v>2.1199467202199999E-2</v>
      </c>
      <c r="AG354">
        <f t="shared" si="298"/>
        <v>497.37019585378692</v>
      </c>
      <c r="AH354">
        <f t="shared" si="299"/>
        <v>-1749.3740933034385</v>
      </c>
      <c r="AJ354">
        <f t="shared" si="284"/>
        <v>26400</v>
      </c>
      <c r="AK354">
        <f t="shared" si="285"/>
        <v>89174.987016191997</v>
      </c>
      <c r="AL354">
        <v>1</v>
      </c>
      <c r="AM354">
        <f t="shared" si="286"/>
        <v>119.49110476128001</v>
      </c>
      <c r="AN354">
        <f t="shared" si="300"/>
        <v>748.08634115497716</v>
      </c>
      <c r="AO354">
        <f t="shared" si="301"/>
        <v>-214.67634524002904</v>
      </c>
      <c r="AQ354">
        <f t="shared" si="287"/>
        <v>5.1020382132458096E-3</v>
      </c>
      <c r="AR354">
        <f t="shared" si="288"/>
        <v>-7.1428534985441337</v>
      </c>
      <c r="AT354">
        <f t="shared" si="313"/>
        <v>-12492.98526086956</v>
      </c>
      <c r="AU354">
        <f t="shared" si="314"/>
        <v>-3561.5678169990993</v>
      </c>
      <c r="AV354">
        <f t="shared" si="302"/>
        <v>-2.8638745051232073</v>
      </c>
      <c r="AW354">
        <f t="shared" si="303"/>
        <v>-286.29924828937681</v>
      </c>
      <c r="AX354">
        <f t="shared" si="304"/>
        <v>-8193.2771649971983</v>
      </c>
      <c r="AY354">
        <f t="shared" si="312"/>
        <v>-1.6057253059431709</v>
      </c>
      <c r="BA354">
        <f t="shared" si="289"/>
        <v>1.5845699592355789</v>
      </c>
      <c r="BB354">
        <f t="shared" si="305"/>
        <v>3.9982283636062594</v>
      </c>
      <c r="BC354">
        <f t="shared" si="306"/>
        <v>-1.2581491991800364</v>
      </c>
      <c r="BD354">
        <f t="shared" si="290"/>
        <v>-252.08663919315146</v>
      </c>
      <c r="BF354">
        <f t="shared" si="291"/>
        <v>-51.731686524246257</v>
      </c>
      <c r="BG354">
        <f t="shared" si="292"/>
        <v>-247.03776378217785</v>
      </c>
      <c r="BH354">
        <f t="shared" si="307"/>
        <v>-67.037763782177848</v>
      </c>
      <c r="BI354">
        <f t="shared" si="308"/>
        <v>-67.037763782177848</v>
      </c>
      <c r="BJ354">
        <f t="shared" si="293"/>
        <v>0</v>
      </c>
      <c r="BK354">
        <f t="shared" si="309"/>
        <v>0</v>
      </c>
      <c r="BM354">
        <f t="shared" si="310"/>
        <v>-55.729914887852523</v>
      </c>
      <c r="BN354">
        <f t="shared" si="294"/>
        <v>-174.95112458902639</v>
      </c>
      <c r="BQ354" s="56">
        <f t="shared" si="311"/>
        <v>20.900189163891397</v>
      </c>
      <c r="BR354" s="59"/>
      <c r="BS354" s="59"/>
      <c r="BT354" s="59">
        <v>275422.87</v>
      </c>
      <c r="BU354" s="59">
        <v>15.1145</v>
      </c>
      <c r="BV354" s="59">
        <v>-175.80699999999999</v>
      </c>
      <c r="BY354" s="59"/>
      <c r="BZ354" s="59"/>
      <c r="CA354" s="59"/>
      <c r="CC354" s="59"/>
    </row>
    <row r="355" spans="1:81" x14ac:dyDescent="0.2">
      <c r="A355">
        <f t="shared" si="263"/>
        <v>705000</v>
      </c>
      <c r="B355">
        <f t="shared" si="295"/>
        <v>705</v>
      </c>
      <c r="C355">
        <f t="shared" si="264"/>
        <v>1.0037618719099766</v>
      </c>
      <c r="D355">
        <f t="shared" si="265"/>
        <v>8.6603886481013928E-2</v>
      </c>
      <c r="F355">
        <f t="shared" si="266"/>
        <v>1.0705882138477957E-4</v>
      </c>
      <c r="G355">
        <f t="shared" si="267"/>
        <v>2.1117038056209991E-3</v>
      </c>
      <c r="H355">
        <f t="shared" si="268"/>
        <v>-3.1394809461943791</v>
      </c>
      <c r="J355">
        <f t="shared" si="269"/>
        <v>15</v>
      </c>
      <c r="M355">
        <f t="shared" si="270"/>
        <v>1.7741079827336263E-3</v>
      </c>
      <c r="N355">
        <f t="shared" si="271"/>
        <v>-1.5707963250000001</v>
      </c>
      <c r="O355">
        <f t="shared" si="272"/>
        <v>138.45218577095571</v>
      </c>
      <c r="P355">
        <f t="shared" si="273"/>
        <v>1.5635735538987818</v>
      </c>
      <c r="Q355">
        <f t="shared" si="274"/>
        <v>120.34876731593015</v>
      </c>
      <c r="R355">
        <f t="shared" si="275"/>
        <v>1.5624870476078405</v>
      </c>
      <c r="S355">
        <f t="shared" si="276"/>
        <v>0.28201609114341514</v>
      </c>
      <c r="T355">
        <f t="shared" si="277"/>
        <v>-1.2849014775222467</v>
      </c>
      <c r="U355">
        <f t="shared" si="278"/>
        <v>0.27863054007791593</v>
      </c>
      <c r="V355">
        <f t="shared" si="279"/>
        <v>-1.2884284421803047</v>
      </c>
      <c r="X355">
        <f t="shared" si="296"/>
        <v>-48.532629395802488</v>
      </c>
      <c r="Y355">
        <f t="shared" si="280"/>
        <v>-233.24783578280679</v>
      </c>
      <c r="Z355">
        <f t="shared" si="297"/>
        <v>-53.247835782806789</v>
      </c>
      <c r="AC355">
        <v>1</v>
      </c>
      <c r="AD355">
        <f t="shared" si="281"/>
        <v>138.4485743688075</v>
      </c>
      <c r="AE355">
        <f t="shared" si="282"/>
        <v>-7.3593374799892072E-2</v>
      </c>
      <c r="AF355">
        <f t="shared" si="283"/>
        <v>2.135089196793E-2</v>
      </c>
      <c r="AG355">
        <f t="shared" si="298"/>
        <v>490.88608132483631</v>
      </c>
      <c r="AH355">
        <f t="shared" si="299"/>
        <v>-1738.848354567755</v>
      </c>
      <c r="AJ355">
        <f t="shared" si="284"/>
        <v>26400</v>
      </c>
      <c r="AK355">
        <f t="shared" si="285"/>
        <v>89811.951209164807</v>
      </c>
      <c r="AL355">
        <v>1</v>
      </c>
      <c r="AM355">
        <f t="shared" si="286"/>
        <v>120.34461265243201</v>
      </c>
      <c r="AN355">
        <f t="shared" si="300"/>
        <v>748.06094975040389</v>
      </c>
      <c r="AO355">
        <f t="shared" si="301"/>
        <v>-213.15402895794858</v>
      </c>
      <c r="AQ355">
        <f t="shared" si="287"/>
        <v>5.0299255420122018E-3</v>
      </c>
      <c r="AR355">
        <f t="shared" si="288"/>
        <v>-7.0921950142372046</v>
      </c>
      <c r="AT355">
        <f t="shared" si="313"/>
        <v>-12329.782510341325</v>
      </c>
      <c r="AU355">
        <f t="shared" si="314"/>
        <v>-3490.2060962827691</v>
      </c>
      <c r="AV355">
        <f t="shared" si="302"/>
        <v>-2.8657383221320707</v>
      </c>
      <c r="AW355">
        <f t="shared" si="303"/>
        <v>-271.16385967920496</v>
      </c>
      <c r="AX355">
        <f t="shared" si="304"/>
        <v>-8136.8429815754844</v>
      </c>
      <c r="AY355">
        <f t="shared" si="312"/>
        <v>-1.604109436515647</v>
      </c>
      <c r="BA355">
        <f t="shared" si="289"/>
        <v>1.5739695497870387</v>
      </c>
      <c r="BB355">
        <f t="shared" si="305"/>
        <v>3.9399265237724639</v>
      </c>
      <c r="BC355">
        <f t="shared" si="306"/>
        <v>-1.2616288856164237</v>
      </c>
      <c r="BD355">
        <f t="shared" si="290"/>
        <v>-252.28601054021317</v>
      </c>
      <c r="BF355">
        <f t="shared" si="291"/>
        <v>-51.913185238997187</v>
      </c>
      <c r="BG355">
        <f t="shared" si="292"/>
        <v>-247.20298163396893</v>
      </c>
      <c r="BH355">
        <f t="shared" si="307"/>
        <v>-67.202981633968932</v>
      </c>
      <c r="BI355">
        <f t="shared" si="308"/>
        <v>-67.202981633968932</v>
      </c>
      <c r="BJ355">
        <f t="shared" si="293"/>
        <v>0</v>
      </c>
      <c r="BK355">
        <f t="shared" si="309"/>
        <v>0</v>
      </c>
      <c r="BM355">
        <f t="shared" si="310"/>
        <v>-55.853111762769657</v>
      </c>
      <c r="BN355">
        <f t="shared" si="294"/>
        <v>-174.91697109375579</v>
      </c>
      <c r="BQ355" s="56">
        <f t="shared" si="311"/>
        <v>20.841887324057602</v>
      </c>
      <c r="BR355" s="59"/>
      <c r="BS355" s="59"/>
      <c r="BT355" s="59">
        <v>281838.29300000001</v>
      </c>
      <c r="BU355" s="59">
        <v>15.1486</v>
      </c>
      <c r="BV355" s="59">
        <v>-177.72399999999999</v>
      </c>
      <c r="BY355" s="59"/>
      <c r="BZ355" s="59"/>
      <c r="CA355" s="59"/>
      <c r="CC355" s="59"/>
    </row>
    <row r="356" spans="1:81" x14ac:dyDescent="0.2">
      <c r="A356">
        <f t="shared" si="263"/>
        <v>710000</v>
      </c>
      <c r="B356">
        <f t="shared" si="295"/>
        <v>710</v>
      </c>
      <c r="C356">
        <f t="shared" si="264"/>
        <v>1.0038153192467683</v>
      </c>
      <c r="D356">
        <f t="shared" si="265"/>
        <v>8.7214999388277537E-2</v>
      </c>
      <c r="F356">
        <f t="shared" si="266"/>
        <v>1.0555610467425753E-4</v>
      </c>
      <c r="G356">
        <f t="shared" si="267"/>
        <v>2.0968295434090258E-3</v>
      </c>
      <c r="H356">
        <f t="shared" si="268"/>
        <v>-3.1394958204565913</v>
      </c>
      <c r="J356">
        <f t="shared" si="269"/>
        <v>15</v>
      </c>
      <c r="M356">
        <f t="shared" si="270"/>
        <v>1.7616142645453614E-3</v>
      </c>
      <c r="N356">
        <f t="shared" si="271"/>
        <v>-1.5707963250000001</v>
      </c>
      <c r="O356">
        <f t="shared" si="272"/>
        <v>139.43406512196009</v>
      </c>
      <c r="P356">
        <f t="shared" si="273"/>
        <v>1.5636244167462843</v>
      </c>
      <c r="Q356">
        <f t="shared" si="274"/>
        <v>121.20224594988791</v>
      </c>
      <c r="R356">
        <f t="shared" si="275"/>
        <v>1.5625455609934145</v>
      </c>
      <c r="S356">
        <f t="shared" si="276"/>
        <v>0.28018648365544463</v>
      </c>
      <c r="T356">
        <f t="shared" si="277"/>
        <v>-1.2868079582743264</v>
      </c>
      <c r="U356">
        <f t="shared" si="278"/>
        <v>0.27681920541218424</v>
      </c>
      <c r="V356">
        <f t="shared" si="279"/>
        <v>-1.2903139518979345</v>
      </c>
      <c r="X356">
        <f t="shared" si="296"/>
        <v>-48.706755859430821</v>
      </c>
      <c r="Y356">
        <f t="shared" si="280"/>
        <v>-233.42467207839871</v>
      </c>
      <c r="Z356">
        <f t="shared" si="297"/>
        <v>-53.424672078398714</v>
      </c>
      <c r="AC356">
        <v>1</v>
      </c>
      <c r="AD356">
        <f t="shared" si="281"/>
        <v>139.43047915156498</v>
      </c>
      <c r="AE356">
        <f t="shared" si="282"/>
        <v>-7.4640954150446331E-2</v>
      </c>
      <c r="AF356">
        <f t="shared" si="283"/>
        <v>2.1502316733660001E-2</v>
      </c>
      <c r="AG356">
        <f t="shared" si="298"/>
        <v>484.52447550587226</v>
      </c>
      <c r="AH356">
        <f t="shared" si="299"/>
        <v>-1728.4355737734868</v>
      </c>
      <c r="AJ356">
        <f t="shared" si="284"/>
        <v>26400</v>
      </c>
      <c r="AK356">
        <f t="shared" si="285"/>
        <v>90448.915402137602</v>
      </c>
      <c r="AL356">
        <v>1</v>
      </c>
      <c r="AM356">
        <f t="shared" si="286"/>
        <v>121.19812054358401</v>
      </c>
      <c r="AN356">
        <f t="shared" si="300"/>
        <v>748.03609284415688</v>
      </c>
      <c r="AO356">
        <f t="shared" si="301"/>
        <v>-211.65314934014302</v>
      </c>
      <c r="AQ356">
        <f t="shared" si="287"/>
        <v>4.9593310060846033E-3</v>
      </c>
      <c r="AR356">
        <f t="shared" si="288"/>
        <v>-7.0422500286401366</v>
      </c>
      <c r="AT356">
        <f t="shared" si="313"/>
        <v>-12169.672551654385</v>
      </c>
      <c r="AU356">
        <f t="shared" si="314"/>
        <v>-3420.7143856411108</v>
      </c>
      <c r="AV356">
        <f t="shared" si="302"/>
        <v>-2.867577963505747</v>
      </c>
      <c r="AW356">
        <f t="shared" si="303"/>
        <v>-256.36096823590486</v>
      </c>
      <c r="AX356">
        <f t="shared" si="304"/>
        <v>-8081.1726552150358</v>
      </c>
      <c r="AY356">
        <f t="shared" si="312"/>
        <v>-1.6025089300998536</v>
      </c>
      <c r="BA356">
        <f t="shared" si="289"/>
        <v>1.5635025543648489</v>
      </c>
      <c r="BB356">
        <f t="shared" si="305"/>
        <v>3.8819719021214452</v>
      </c>
      <c r="BC356">
        <f t="shared" si="306"/>
        <v>-1.2650690334058934</v>
      </c>
      <c r="BD356">
        <f t="shared" si="290"/>
        <v>-252.48311648967626</v>
      </c>
      <c r="BF356">
        <f t="shared" si="291"/>
        <v>-52.093459430877886</v>
      </c>
      <c r="BG356">
        <f t="shared" si="292"/>
        <v>-247.36592562544899</v>
      </c>
      <c r="BH356">
        <f t="shared" si="307"/>
        <v>-67.365925625448995</v>
      </c>
      <c r="BI356">
        <f t="shared" si="308"/>
        <v>-67.365925625448995</v>
      </c>
      <c r="BJ356">
        <f t="shared" si="293"/>
        <v>0</v>
      </c>
      <c r="BK356">
        <f t="shared" si="309"/>
        <v>0</v>
      </c>
      <c r="BM356">
        <f t="shared" si="310"/>
        <v>-55.975431332999328</v>
      </c>
      <c r="BN356">
        <f t="shared" si="294"/>
        <v>-174.88280913577273</v>
      </c>
      <c r="BQ356" s="56">
        <f t="shared" si="311"/>
        <v>20.783932702406581</v>
      </c>
      <c r="BR356" s="59"/>
      <c r="BS356" s="59"/>
      <c r="BT356" s="59">
        <v>288403.15000000002</v>
      </c>
      <c r="BU356" s="59">
        <v>14.961</v>
      </c>
      <c r="BV356" s="59">
        <v>-178.92099999999999</v>
      </c>
      <c r="BY356" s="59"/>
      <c r="BZ356" s="59"/>
      <c r="CA356" s="59"/>
      <c r="CC356" s="59"/>
    </row>
    <row r="357" spans="1:81" x14ac:dyDescent="0.2">
      <c r="A357">
        <f t="shared" si="263"/>
        <v>715000</v>
      </c>
      <c r="B357">
        <f t="shared" si="295"/>
        <v>715</v>
      </c>
      <c r="C357">
        <f t="shared" si="264"/>
        <v>1.0038691414274103</v>
      </c>
      <c r="D357">
        <f t="shared" si="265"/>
        <v>8.7826046994405646E-2</v>
      </c>
      <c r="F357">
        <f t="shared" si="266"/>
        <v>1.0408480741673623E-4</v>
      </c>
      <c r="G357">
        <f t="shared" si="267"/>
        <v>2.0821633773788237E-3</v>
      </c>
      <c r="H357">
        <f t="shared" si="268"/>
        <v>-3.1395104866226213</v>
      </c>
      <c r="J357">
        <f t="shared" si="269"/>
        <v>15</v>
      </c>
      <c r="M357">
        <f t="shared" si="270"/>
        <v>1.749295283674415E-3</v>
      </c>
      <c r="N357">
        <f t="shared" si="271"/>
        <v>-1.5707963250000001</v>
      </c>
      <c r="O357">
        <f t="shared" si="272"/>
        <v>140.41594482863971</v>
      </c>
      <c r="P357">
        <f t="shared" si="273"/>
        <v>1.5636745682616249</v>
      </c>
      <c r="Q357">
        <f t="shared" si="274"/>
        <v>122.05572499301644</v>
      </c>
      <c r="R357">
        <f t="shared" si="275"/>
        <v>1.5626032560652812</v>
      </c>
      <c r="S357">
        <f t="shared" si="276"/>
        <v>0.27837947033606791</v>
      </c>
      <c r="T357">
        <f t="shared" si="277"/>
        <v>-1.2886898547703025</v>
      </c>
      <c r="U357">
        <f t="shared" si="278"/>
        <v>0.27503031015178592</v>
      </c>
      <c r="V357">
        <f t="shared" si="279"/>
        <v>-1.2921750986135805</v>
      </c>
      <c r="X357">
        <f t="shared" si="296"/>
        <v>-48.879776485811547</v>
      </c>
      <c r="Y357">
        <f t="shared" si="280"/>
        <v>-233.59878336337928</v>
      </c>
      <c r="Z357">
        <f t="shared" si="297"/>
        <v>-53.598783363379283</v>
      </c>
      <c r="AC357">
        <v>1</v>
      </c>
      <c r="AD357">
        <f t="shared" si="281"/>
        <v>140.41238393432249</v>
      </c>
      <c r="AE357">
        <f t="shared" si="282"/>
        <v>-7.569593688863703E-2</v>
      </c>
      <c r="AF357">
        <f t="shared" si="283"/>
        <v>2.1653741499389999E-2</v>
      </c>
      <c r="AG357">
        <f t="shared" si="298"/>
        <v>478.28240221260404</v>
      </c>
      <c r="AH357">
        <f t="shared" si="299"/>
        <v>-1718.1342325472506</v>
      </c>
      <c r="AJ357">
        <f t="shared" si="284"/>
        <v>26400</v>
      </c>
      <c r="AK357">
        <f t="shared" si="285"/>
        <v>91085.879595110411</v>
      </c>
      <c r="AL357">
        <v>1</v>
      </c>
      <c r="AM357">
        <f t="shared" si="286"/>
        <v>122.051628434736</v>
      </c>
      <c r="AN357">
        <f t="shared" si="300"/>
        <v>748.0117555393133</v>
      </c>
      <c r="AO357">
        <f t="shared" si="301"/>
        <v>-210.17325678843713</v>
      </c>
      <c r="AQ357">
        <f t="shared" si="287"/>
        <v>4.8902122890056784E-3</v>
      </c>
      <c r="AR357">
        <f t="shared" si="288"/>
        <v>-6.9930035732781199</v>
      </c>
      <c r="AT357">
        <f t="shared" si="313"/>
        <v>-12012.579925093469</v>
      </c>
      <c r="AU357">
        <f t="shared" si="314"/>
        <v>-3353.032588846947</v>
      </c>
      <c r="AV357">
        <f t="shared" si="302"/>
        <v>-2.8693938833564392</v>
      </c>
      <c r="AW357">
        <f t="shared" si="303"/>
        <v>-241.88087165508159</v>
      </c>
      <c r="AX357">
        <f t="shared" si="304"/>
        <v>-8026.250894067738</v>
      </c>
      <c r="AY357">
        <f t="shared" si="312"/>
        <v>-1.6009234297198682</v>
      </c>
      <c r="BA357">
        <f t="shared" si="289"/>
        <v>1.5531665919381705</v>
      </c>
      <c r="BB357">
        <f t="shared" si="305"/>
        <v>3.8243608090879317</v>
      </c>
      <c r="BC357">
        <f t="shared" si="306"/>
        <v>-1.268470453636571</v>
      </c>
      <c r="BD357">
        <f t="shared" si="290"/>
        <v>-252.67800351346722</v>
      </c>
      <c r="BF357">
        <f t="shared" si="291"/>
        <v>-52.272525062304922</v>
      </c>
      <c r="BG357">
        <f t="shared" si="292"/>
        <v>-247.52664250970335</v>
      </c>
      <c r="BH357">
        <f t="shared" si="307"/>
        <v>-67.52664250970335</v>
      </c>
      <c r="BI357">
        <f t="shared" si="308"/>
        <v>-67.52664250970335</v>
      </c>
      <c r="BJ357">
        <f t="shared" si="293"/>
        <v>0</v>
      </c>
      <c r="BK357">
        <f t="shared" si="309"/>
        <v>0</v>
      </c>
      <c r="BM357">
        <f t="shared" si="310"/>
        <v>-56.09688587139285</v>
      </c>
      <c r="BN357">
        <f t="shared" si="294"/>
        <v>-174.84863899623613</v>
      </c>
      <c r="BQ357" s="56">
        <f t="shared" si="311"/>
        <v>20.726321609373066</v>
      </c>
      <c r="BR357" s="59"/>
      <c r="BS357" s="59"/>
      <c r="BT357" s="59">
        <v>295120.92300000001</v>
      </c>
      <c r="BU357" s="59">
        <v>14.946199999999999</v>
      </c>
      <c r="BV357" s="59">
        <v>-181.99</v>
      </c>
      <c r="BW357" s="61"/>
      <c r="BY357" s="59"/>
      <c r="BZ357" s="59"/>
      <c r="CA357" s="59"/>
      <c r="CC357" s="59"/>
    </row>
    <row r="358" spans="1:81" x14ac:dyDescent="0.2">
      <c r="A358">
        <f t="shared" si="263"/>
        <v>720000</v>
      </c>
      <c r="B358">
        <f t="shared" si="295"/>
        <v>720</v>
      </c>
      <c r="C358">
        <f t="shared" si="264"/>
        <v>1.0039233383916146</v>
      </c>
      <c r="D358">
        <f t="shared" si="265"/>
        <v>8.8437028853632998E-2</v>
      </c>
      <c r="F358">
        <f t="shared" si="266"/>
        <v>1.026440597403735E-4</v>
      </c>
      <c r="G358">
        <f t="shared" si="267"/>
        <v>2.0677009704187744E-3</v>
      </c>
      <c r="H358">
        <f t="shared" si="268"/>
        <v>-3.1395249490295813</v>
      </c>
      <c r="J358">
        <f t="shared" si="269"/>
        <v>15</v>
      </c>
      <c r="M358">
        <f t="shared" si="270"/>
        <v>1.7371473997600093E-3</v>
      </c>
      <c r="N358">
        <f t="shared" si="271"/>
        <v>-1.5707963250000001</v>
      </c>
      <c r="O358">
        <f t="shared" si="272"/>
        <v>141.39782488358506</v>
      </c>
      <c r="P358">
        <f t="shared" si="273"/>
        <v>1.563724023263225</v>
      </c>
      <c r="Q358">
        <f t="shared" si="274"/>
        <v>122.90920443679194</v>
      </c>
      <c r="R358">
        <f t="shared" si="275"/>
        <v>1.562660149870122</v>
      </c>
      <c r="S358">
        <f t="shared" si="276"/>
        <v>0.27659465486970569</v>
      </c>
      <c r="T358">
        <f t="shared" si="277"/>
        <v>-1.2905476264129143</v>
      </c>
      <c r="U358">
        <f t="shared" si="278"/>
        <v>0.27326345888458897</v>
      </c>
      <c r="V358">
        <f t="shared" si="279"/>
        <v>-1.2940123388468128</v>
      </c>
      <c r="X358">
        <f t="shared" si="296"/>
        <v>-49.051704366541678</v>
      </c>
      <c r="Y358">
        <f t="shared" si="280"/>
        <v>-233.77022056453407</v>
      </c>
      <c r="Z358">
        <f t="shared" si="297"/>
        <v>-53.770220564534071</v>
      </c>
      <c r="AC358">
        <v>1</v>
      </c>
      <c r="AD358">
        <f t="shared" si="281"/>
        <v>141.39428871708</v>
      </c>
      <c r="AE358">
        <f t="shared" si="282"/>
        <v>-7.6758323014464169E-2</v>
      </c>
      <c r="AF358">
        <f t="shared" si="283"/>
        <v>2.180516626512E-2</v>
      </c>
      <c r="AG358">
        <f t="shared" si="298"/>
        <v>472.15697212417172</v>
      </c>
      <c r="AH358">
        <f t="shared" si="299"/>
        <v>-1707.94283001692</v>
      </c>
      <c r="AJ358">
        <f t="shared" si="284"/>
        <v>26400</v>
      </c>
      <c r="AK358">
        <f t="shared" si="285"/>
        <v>91722.843788083206</v>
      </c>
      <c r="AL358">
        <v>1</v>
      </c>
      <c r="AM358">
        <f t="shared" si="286"/>
        <v>122.90513632588802</v>
      </c>
      <c r="AN358">
        <f t="shared" si="300"/>
        <v>747.98792345433151</v>
      </c>
      <c r="AO358">
        <f t="shared" si="301"/>
        <v>-208.71391418930048</v>
      </c>
      <c r="AQ358">
        <f t="shared" si="287"/>
        <v>4.822528538518259E-3</v>
      </c>
      <c r="AR358">
        <f t="shared" si="288"/>
        <v>-6.944441095466293</v>
      </c>
      <c r="AT358">
        <f t="shared" si="313"/>
        <v>-11858.431387003771</v>
      </c>
      <c r="AU358">
        <f t="shared" si="314"/>
        <v>-3287.1028837699455</v>
      </c>
      <c r="AV358">
        <f t="shared" si="302"/>
        <v>-2.871186524840569</v>
      </c>
      <c r="AW358">
        <f t="shared" si="303"/>
        <v>-227.71421929393651</v>
      </c>
      <c r="AX358">
        <f t="shared" si="304"/>
        <v>-7972.0628104168363</v>
      </c>
      <c r="AY358">
        <f t="shared" si="312"/>
        <v>-1.5993525893399216</v>
      </c>
      <c r="BA358">
        <f t="shared" si="289"/>
        <v>1.5429593335014782</v>
      </c>
      <c r="BB358">
        <f t="shared" si="305"/>
        <v>3.7670895974956862</v>
      </c>
      <c r="BC358">
        <f t="shared" si="306"/>
        <v>-1.2718339355006474</v>
      </c>
      <c r="BD358">
        <f t="shared" si="290"/>
        <v>-252.87071682896777</v>
      </c>
      <c r="BF358">
        <f t="shared" si="291"/>
        <v>-52.45039779664986</v>
      </c>
      <c r="BG358">
        <f t="shared" si="292"/>
        <v>-247.68517777815245</v>
      </c>
      <c r="BH358">
        <f t="shared" si="307"/>
        <v>-67.68517777815245</v>
      </c>
      <c r="BI358">
        <f t="shared" si="308"/>
        <v>-67.68517777815245</v>
      </c>
      <c r="BJ358">
        <f t="shared" si="293"/>
        <v>0</v>
      </c>
      <c r="BK358">
        <f t="shared" si="309"/>
        <v>0</v>
      </c>
      <c r="BM358">
        <f t="shared" si="310"/>
        <v>-56.21748739414555</v>
      </c>
      <c r="BN358">
        <f t="shared" si="294"/>
        <v>-174.81446094918468</v>
      </c>
      <c r="BQ358" s="56">
        <f t="shared" si="311"/>
        <v>20.669050397780822</v>
      </c>
      <c r="BR358" s="59"/>
      <c r="BS358" s="59"/>
      <c r="BT358" s="59">
        <v>301995.17200000002</v>
      </c>
      <c r="BU358" s="59">
        <v>15.1762</v>
      </c>
      <c r="BV358" s="59">
        <v>-183.36099999999999</v>
      </c>
      <c r="BW358" s="61"/>
      <c r="BY358" s="59"/>
      <c r="BZ358" s="59"/>
      <c r="CA358" s="59"/>
      <c r="CC358" s="59"/>
    </row>
    <row r="359" spans="1:81" x14ac:dyDescent="0.2">
      <c r="A359">
        <f t="shared" si="263"/>
        <v>725000</v>
      </c>
      <c r="B359">
        <f t="shared" si="295"/>
        <v>725</v>
      </c>
      <c r="C359">
        <f t="shared" si="264"/>
        <v>1.0039779100786861</v>
      </c>
      <c r="D359">
        <f t="shared" si="265"/>
        <v>8.9047944520486616E-2</v>
      </c>
      <c r="F359">
        <f t="shared" si="266"/>
        <v>1.0123302167110375E-4</v>
      </c>
      <c r="G359">
        <f t="shared" si="267"/>
        <v>2.053438105122291E-3</v>
      </c>
      <c r="H359">
        <f t="shared" si="268"/>
        <v>-3.1395392118948777</v>
      </c>
      <c r="J359">
        <f t="shared" si="269"/>
        <v>15</v>
      </c>
      <c r="M359">
        <f t="shared" si="270"/>
        <v>1.7251670728651127E-3</v>
      </c>
      <c r="N359">
        <f t="shared" si="271"/>
        <v>-1.5707963250000001</v>
      </c>
      <c r="O359">
        <f t="shared" si="272"/>
        <v>142.37970527959092</v>
      </c>
      <c r="P359">
        <f t="shared" si="273"/>
        <v>1.5637727961607564</v>
      </c>
      <c r="Q359">
        <f t="shared" si="274"/>
        <v>123.76268427292571</v>
      </c>
      <c r="R359">
        <f t="shared" si="275"/>
        <v>1.5627162589844172</v>
      </c>
      <c r="S359">
        <f t="shared" si="276"/>
        <v>0.27483164962747697</v>
      </c>
      <c r="T359">
        <f t="shared" si="277"/>
        <v>-1.2923817215676883</v>
      </c>
      <c r="U359">
        <f t="shared" si="278"/>
        <v>0.27151826492345693</v>
      </c>
      <c r="V359">
        <f t="shared" si="279"/>
        <v>-1.2958261181098256</v>
      </c>
      <c r="X359">
        <f t="shared" si="296"/>
        <v>-49.222552375851279</v>
      </c>
      <c r="Y359">
        <f t="shared" si="280"/>
        <v>-233.93903338907151</v>
      </c>
      <c r="Z359">
        <f t="shared" si="297"/>
        <v>-53.939033389071511</v>
      </c>
      <c r="AC359">
        <v>1</v>
      </c>
      <c r="AD359">
        <f t="shared" si="281"/>
        <v>142.37619349983751</v>
      </c>
      <c r="AE359">
        <f t="shared" si="282"/>
        <v>-7.7828112527927706E-2</v>
      </c>
      <c r="AF359">
        <f t="shared" si="283"/>
        <v>2.1956591030850001E-2</v>
      </c>
      <c r="AG359">
        <f t="shared" si="298"/>
        <v>466.14537987571509</v>
      </c>
      <c r="AH359">
        <f t="shared" si="299"/>
        <v>-1697.8598830283709</v>
      </c>
      <c r="AJ359">
        <f t="shared" si="284"/>
        <v>26400</v>
      </c>
      <c r="AK359">
        <f t="shared" si="285"/>
        <v>92359.807981056016</v>
      </c>
      <c r="AL359">
        <v>1</v>
      </c>
      <c r="AM359">
        <f t="shared" si="286"/>
        <v>123.75864421704</v>
      </c>
      <c r="AN359">
        <f t="shared" si="300"/>
        <v>747.9645827018054</v>
      </c>
      <c r="AO359">
        <f t="shared" si="301"/>
        <v>-207.27469648351428</v>
      </c>
      <c r="AQ359">
        <f t="shared" si="287"/>
        <v>4.7562403061877263E-3</v>
      </c>
      <c r="AR359">
        <f t="shared" si="288"/>
        <v>-6.8965484439722022</v>
      </c>
      <c r="AT359">
        <f t="shared" si="313"/>
        <v>-11707.155834937828</v>
      </c>
      <c r="AU359">
        <f t="shared" si="314"/>
        <v>-3222.8696238566126</v>
      </c>
      <c r="AV359">
        <f t="shared" si="302"/>
        <v>-2.8729563204757875</v>
      </c>
      <c r="AW359">
        <f t="shared" si="303"/>
        <v>-213.85199700302729</v>
      </c>
      <c r="AX359">
        <f t="shared" si="304"/>
        <v>-7918.5939073976961</v>
      </c>
      <c r="AY359">
        <f t="shared" si="312"/>
        <v>-1.5977960734566832</v>
      </c>
      <c r="BA359">
        <f t="shared" si="289"/>
        <v>1.5328785008448196</v>
      </c>
      <c r="BB359">
        <f t="shared" si="305"/>
        <v>3.7101546625958708</v>
      </c>
      <c r="BC359">
        <f t="shared" si="306"/>
        <v>-1.2751602470191044</v>
      </c>
      <c r="BD359">
        <f t="shared" si="290"/>
        <v>-253.0613004405389</v>
      </c>
      <c r="BF359">
        <f t="shared" si="291"/>
        <v>-52.62709300530954</v>
      </c>
      <c r="BG359">
        <f t="shared" si="292"/>
        <v>-247.84157570232063</v>
      </c>
      <c r="BH359">
        <f t="shared" si="307"/>
        <v>-67.841575702320625</v>
      </c>
      <c r="BI359">
        <f t="shared" si="308"/>
        <v>-67.841575702320625</v>
      </c>
      <c r="BJ359">
        <f t="shared" si="293"/>
        <v>0</v>
      </c>
      <c r="BK359">
        <f t="shared" si="309"/>
        <v>0</v>
      </c>
      <c r="BM359">
        <f t="shared" si="310"/>
        <v>-56.337247667905416</v>
      </c>
      <c r="BN359">
        <f t="shared" si="294"/>
        <v>-174.78027526178175</v>
      </c>
      <c r="BQ359" s="56">
        <f t="shared" si="311"/>
        <v>20.612115462881007</v>
      </c>
      <c r="BR359" s="59"/>
      <c r="BS359" s="59"/>
      <c r="BT359" s="59">
        <v>309029.54300000001</v>
      </c>
      <c r="BU359" s="59">
        <v>15.284700000000001</v>
      </c>
      <c r="BV359" s="59">
        <v>-186.209</v>
      </c>
      <c r="BW359" s="61"/>
      <c r="BY359" s="59"/>
      <c r="BZ359" s="59"/>
      <c r="CA359" s="59"/>
      <c r="CC359" s="59"/>
    </row>
    <row r="360" spans="1:81" x14ac:dyDescent="0.2">
      <c r="A360">
        <f t="shared" si="263"/>
        <v>730000</v>
      </c>
      <c r="B360">
        <f t="shared" si="295"/>
        <v>730</v>
      </c>
      <c r="C360">
        <f t="shared" si="264"/>
        <v>1.0040328564275234</v>
      </c>
      <c r="D360">
        <f t="shared" si="265"/>
        <v>8.9658793549787674E-2</v>
      </c>
      <c r="F360">
        <f t="shared" si="266"/>
        <v>9.9850881907906215E-5</v>
      </c>
      <c r="G360">
        <f t="shared" si="267"/>
        <v>2.0393706796858601E-3</v>
      </c>
      <c r="H360">
        <f t="shared" si="268"/>
        <v>-3.1395532793203142</v>
      </c>
      <c r="J360">
        <f t="shared" si="269"/>
        <v>15</v>
      </c>
      <c r="M360">
        <f t="shared" si="270"/>
        <v>1.7133508600372695E-3</v>
      </c>
      <c r="N360">
        <f t="shared" si="271"/>
        <v>-1.5707963250000001</v>
      </c>
      <c r="O360">
        <f t="shared" si="272"/>
        <v>143.36158600964964</v>
      </c>
      <c r="P360">
        <f t="shared" si="273"/>
        <v>1.5638209009691366</v>
      </c>
      <c r="Q360">
        <f t="shared" si="274"/>
        <v>124.61616449335608</v>
      </c>
      <c r="R360">
        <f t="shared" si="275"/>
        <v>1.5627715995305465</v>
      </c>
      <c r="S360">
        <f t="shared" si="276"/>
        <v>0.27309007544870656</v>
      </c>
      <c r="T360">
        <f t="shared" si="277"/>
        <v>-1.2941925778814598</v>
      </c>
      <c r="U360">
        <f t="shared" si="278"/>
        <v>0.26979435008451691</v>
      </c>
      <c r="V360">
        <f t="shared" si="279"/>
        <v>-1.2976168712265781</v>
      </c>
      <c r="X360">
        <f t="shared" si="296"/>
        <v>-49.392333175017384</v>
      </c>
      <c r="Y360">
        <f t="shared" si="280"/>
        <v>-234.10527035966891</v>
      </c>
      <c r="Z360">
        <f t="shared" si="297"/>
        <v>-54.105270359668907</v>
      </c>
      <c r="AC360">
        <v>1</v>
      </c>
      <c r="AD360">
        <f t="shared" si="281"/>
        <v>143.35809828259499</v>
      </c>
      <c r="AE360">
        <f t="shared" si="282"/>
        <v>-7.8905305429027683E-2</v>
      </c>
      <c r="AF360">
        <f t="shared" si="283"/>
        <v>2.2108015796580002E-2</v>
      </c>
      <c r="AG360">
        <f t="shared" ref="AG360:AG423" si="315">AC360*AE360/(AE360^2+AF360^2)+AD360*AF360/(AE360^2+AF360^2)</f>
        <v>460.24490125840157</v>
      </c>
      <c r="AH360">
        <f t="shared" ref="AH360:AH423" si="316">AD360*AE360/(AE360^2+AF360^2)-AC360*AF360/(AE360^2+AF360^2)</f>
        <v>-1687.8839263232039</v>
      </c>
      <c r="AJ360">
        <f t="shared" si="284"/>
        <v>26400</v>
      </c>
      <c r="AK360">
        <f t="shared" si="285"/>
        <v>92996.772174028811</v>
      </c>
      <c r="AL360">
        <v>1</v>
      </c>
      <c r="AM360">
        <f t="shared" si="286"/>
        <v>124.61215210819202</v>
      </c>
      <c r="AN360">
        <f t="shared" ref="AN360:AN423" si="317">AJ360*AL360/(AL360^2+AM360^2)+AK360*AM360/(AL360^2+AM360^2)</f>
        <v>747.94171986822755</v>
      </c>
      <c r="AO360">
        <f t="shared" ref="AO360:AO423" si="318">AK360*AL360/(AL360^2+AM360^2)-AJ360*AM360/(AL360^2+AM360^2)</f>
        <v>-205.85519025351465</v>
      </c>
      <c r="AQ360">
        <f t="shared" si="287"/>
        <v>4.691309489909228E-3</v>
      </c>
      <c r="AR360">
        <f t="shared" si="288"/>
        <v>-6.849311855267473</v>
      </c>
      <c r="AT360">
        <f t="shared" si="313"/>
        <v>-11558.684235607974</v>
      </c>
      <c r="AU360">
        <f t="shared" si="314"/>
        <v>-3160.2792443970029</v>
      </c>
      <c r="AV360">
        <f t="shared" si="302"/>
        <v>-2.8747036924474925</v>
      </c>
      <c r="AW360">
        <f t="shared" si="303"/>
        <v>-200.28551271386854</v>
      </c>
      <c r="AX360">
        <f t="shared" si="304"/>
        <v>-7865.8300662418169</v>
      </c>
      <c r="AY360">
        <f t="shared" si="312"/>
        <v>-1.5962535567092204</v>
      </c>
      <c r="BA360">
        <f t="shared" si="289"/>
        <v>1.5229218653487511</v>
      </c>
      <c r="BB360">
        <f t="shared" si="305"/>
        <v>3.6535524420542926</v>
      </c>
      <c r="BC360">
        <f t="shared" si="306"/>
        <v>-1.278450135738272</v>
      </c>
      <c r="BD360">
        <f t="shared" si="290"/>
        <v>-253.24979717943029</v>
      </c>
      <c r="BF360">
        <f t="shared" si="291"/>
        <v>-52.802625774582914</v>
      </c>
      <c r="BG360">
        <f t="shared" si="292"/>
        <v>-247.99587937398047</v>
      </c>
      <c r="BH360">
        <f t="shared" si="307"/>
        <v>-67.995879373980472</v>
      </c>
      <c r="BI360">
        <f t="shared" si="308"/>
        <v>-67.995879373980472</v>
      </c>
      <c r="BJ360">
        <f t="shared" si="293"/>
        <v>0</v>
      </c>
      <c r="BK360">
        <f t="shared" si="309"/>
        <v>0</v>
      </c>
      <c r="BM360">
        <f t="shared" si="310"/>
        <v>-56.456178216637205</v>
      </c>
      <c r="BN360">
        <f t="shared" si="294"/>
        <v>-174.74608219455018</v>
      </c>
      <c r="BQ360" s="56">
        <f t="shared" si="311"/>
        <v>20.555513242339426</v>
      </c>
      <c r="BR360" s="59"/>
      <c r="BS360" s="59"/>
      <c r="BT360" s="59">
        <v>316227.766</v>
      </c>
      <c r="BU360" s="59">
        <v>15.331799999999999</v>
      </c>
      <c r="BV360" s="59">
        <v>-189.75</v>
      </c>
      <c r="BW360" s="61"/>
      <c r="BY360" s="59"/>
      <c r="BZ360" s="59"/>
      <c r="CA360" s="59"/>
      <c r="CC360" s="59"/>
    </row>
    <row r="361" spans="1:81" x14ac:dyDescent="0.2">
      <c r="A361">
        <f t="shared" si="263"/>
        <v>735000</v>
      </c>
      <c r="B361">
        <f t="shared" si="295"/>
        <v>735</v>
      </c>
      <c r="C361">
        <f t="shared" si="264"/>
        <v>1.004088177376619</v>
      </c>
      <c r="D361">
        <f t="shared" si="265"/>
        <v>9.0269575496653306E-2</v>
      </c>
      <c r="F361">
        <f t="shared" si="266"/>
        <v>9.849685665620947E-5</v>
      </c>
      <c r="G361">
        <f t="shared" si="267"/>
        <v>2.0254947039746373E-3</v>
      </c>
      <c r="H361">
        <f t="shared" si="268"/>
        <v>-3.1395671552960254</v>
      </c>
      <c r="J361">
        <f t="shared" si="269"/>
        <v>15</v>
      </c>
      <c r="M361">
        <f t="shared" si="270"/>
        <v>1.701695412009805E-3</v>
      </c>
      <c r="N361">
        <f t="shared" si="271"/>
        <v>-1.5707963250000001</v>
      </c>
      <c r="O361">
        <f t="shared" si="272"/>
        <v>144.3434670669441</v>
      </c>
      <c r="P361">
        <f t="shared" si="273"/>
        <v>1.5638683513219573</v>
      </c>
      <c r="Q361">
        <f t="shared" si="274"/>
        <v>125.46964509024082</v>
      </c>
      <c r="R361">
        <f t="shared" si="275"/>
        <v>1.562826187192232</v>
      </c>
      <c r="S361">
        <f t="shared" si="276"/>
        <v>0.2713695614282115</v>
      </c>
      <c r="T361">
        <f t="shared" si="277"/>
        <v>-1.2959806225903567</v>
      </c>
      <c r="U361">
        <f t="shared" si="278"/>
        <v>0.26809134447140082</v>
      </c>
      <c r="V361">
        <f t="shared" si="279"/>
        <v>-1.2993850226413115</v>
      </c>
      <c r="X361">
        <f t="shared" si="296"/>
        <v>-49.561059216678665</v>
      </c>
      <c r="Y361">
        <f t="shared" si="280"/>
        <v>-234.26897884836626</v>
      </c>
      <c r="Z361">
        <f t="shared" si="297"/>
        <v>-54.26897884836626</v>
      </c>
      <c r="AC361">
        <v>1</v>
      </c>
      <c r="AD361">
        <f t="shared" si="281"/>
        <v>144.34000306535251</v>
      </c>
      <c r="AE361">
        <f t="shared" si="282"/>
        <v>-7.9989901717764086E-2</v>
      </c>
      <c r="AF361">
        <f t="shared" si="283"/>
        <v>2.2259440562309999E-2</v>
      </c>
      <c r="AG361">
        <f t="shared" si="315"/>
        <v>454.45289052269783</v>
      </c>
      <c r="AH361">
        <f t="shared" si="316"/>
        <v>-1678.013512680491</v>
      </c>
      <c r="AJ361">
        <f t="shared" si="284"/>
        <v>26400</v>
      </c>
      <c r="AK361">
        <f t="shared" si="285"/>
        <v>93633.736367001606</v>
      </c>
      <c r="AL361">
        <v>1</v>
      </c>
      <c r="AM361">
        <f t="shared" si="286"/>
        <v>125.46565999934401</v>
      </c>
      <c r="AN361">
        <f t="shared" si="317"/>
        <v>747.91932199471785</v>
      </c>
      <c r="AO361">
        <f t="shared" si="318"/>
        <v>-204.45499332757186</v>
      </c>
      <c r="AQ361">
        <f t="shared" si="287"/>
        <v>4.627699279143283E-3</v>
      </c>
      <c r="AR361">
        <f t="shared" si="288"/>
        <v>-6.8027179403406262</v>
      </c>
      <c r="AT361">
        <f t="shared" si="313"/>
        <v>-11412.949555531692</v>
      </c>
      <c r="AU361">
        <f t="shared" si="314"/>
        <v>-3099.2801733214351</v>
      </c>
      <c r="AV361">
        <f t="shared" si="302"/>
        <v>-2.8764290529052405</v>
      </c>
      <c r="AW361">
        <f t="shared" si="303"/>
        <v>-187.00638273977131</v>
      </c>
      <c r="AX361">
        <f t="shared" si="304"/>
        <v>-7813.7575340200929</v>
      </c>
      <c r="AY361">
        <f t="shared" si="312"/>
        <v>-1.5947247235057673</v>
      </c>
      <c r="BA361">
        <f t="shared" si="289"/>
        <v>1.5130872468040921</v>
      </c>
      <c r="BB361">
        <f t="shared" si="305"/>
        <v>3.5972794158918968</v>
      </c>
      <c r="BC361">
        <f t="shared" si="306"/>
        <v>-1.2817043293994732</v>
      </c>
      <c r="BD361">
        <f t="shared" si="290"/>
        <v>-253.43624874214839</v>
      </c>
      <c r="BF361">
        <f t="shared" si="291"/>
        <v>-52.977010912360342</v>
      </c>
      <c r="BG361">
        <f t="shared" si="292"/>
        <v>-248.14813074374621</v>
      </c>
      <c r="BH361">
        <f t="shared" si="307"/>
        <v>-68.148130743746208</v>
      </c>
      <c r="BI361">
        <f t="shared" si="308"/>
        <v>-68.148130743746208</v>
      </c>
      <c r="BJ361">
        <f t="shared" si="293"/>
        <v>0</v>
      </c>
      <c r="BK361">
        <f t="shared" si="309"/>
        <v>0</v>
      </c>
      <c r="BM361">
        <f t="shared" si="310"/>
        <v>-56.574290328252239</v>
      </c>
      <c r="BN361">
        <f t="shared" si="294"/>
        <v>-174.71188200159781</v>
      </c>
      <c r="BQ361" s="56">
        <f t="shared" si="311"/>
        <v>20.499240216177036</v>
      </c>
      <c r="BR361" s="59"/>
      <c r="BS361" s="59"/>
      <c r="BT361" s="59">
        <v>323593.65700000001</v>
      </c>
      <c r="BU361" s="59">
        <v>15.3347</v>
      </c>
      <c r="BV361" s="59">
        <v>-192.398</v>
      </c>
      <c r="BW361" s="61"/>
      <c r="BY361" s="59"/>
      <c r="BZ361" s="59"/>
      <c r="CA361" s="59"/>
      <c r="CC361" s="59"/>
    </row>
    <row r="362" spans="1:81" x14ac:dyDescent="0.2">
      <c r="A362">
        <f t="shared" si="263"/>
        <v>740000</v>
      </c>
      <c r="B362">
        <f t="shared" si="295"/>
        <v>740</v>
      </c>
      <c r="C362">
        <f t="shared" si="264"/>
        <v>1.0041438728640599</v>
      </c>
      <c r="D362">
        <f t="shared" si="265"/>
        <v>9.0880289916498685E-2</v>
      </c>
      <c r="F362">
        <f t="shared" si="266"/>
        <v>9.7170188516299447E-5</v>
      </c>
      <c r="G362">
        <f t="shared" si="267"/>
        <v>2.0118062957476487E-3</v>
      </c>
      <c r="H362">
        <f t="shared" si="268"/>
        <v>-3.1395808437042527</v>
      </c>
      <c r="J362">
        <f t="shared" si="269"/>
        <v>15</v>
      </c>
      <c r="M362">
        <f t="shared" si="270"/>
        <v>1.6901974700367659E-3</v>
      </c>
      <c r="N362">
        <f t="shared" si="271"/>
        <v>-1.5707963250000001</v>
      </c>
      <c r="O362">
        <f t="shared" si="272"/>
        <v>145.32534844484144</v>
      </c>
      <c r="P362">
        <f t="shared" si="273"/>
        <v>1.5639151604843629</v>
      </c>
      <c r="Q362">
        <f t="shared" si="274"/>
        <v>126.32312605594953</v>
      </c>
      <c r="R362">
        <f t="shared" si="275"/>
        <v>1.5628800372293565</v>
      </c>
      <c r="S362">
        <f t="shared" si="276"/>
        <v>0.26966974470923122</v>
      </c>
      <c r="T362">
        <f t="shared" si="277"/>
        <v>-1.2977462728176272</v>
      </c>
      <c r="U362">
        <f t="shared" si="278"/>
        <v>0.2664088862653135</v>
      </c>
      <c r="V362">
        <f t="shared" si="279"/>
        <v>-1.3011309867168335</v>
      </c>
      <c r="X362">
        <f t="shared" si="296"/>
        <v>-49.728742749053218</v>
      </c>
      <c r="Y362">
        <f t="shared" si="280"/>
        <v>-234.43020510935085</v>
      </c>
      <c r="Z362">
        <f t="shared" si="297"/>
        <v>-54.430205109350851</v>
      </c>
      <c r="AC362">
        <v>1</v>
      </c>
      <c r="AD362">
        <f t="shared" si="281"/>
        <v>145.32190784810999</v>
      </c>
      <c r="AE362">
        <f t="shared" si="282"/>
        <v>-8.1081901394136915E-2</v>
      </c>
      <c r="AF362">
        <f t="shared" si="283"/>
        <v>2.241086532804E-2</v>
      </c>
      <c r="AG362">
        <f t="shared" si="315"/>
        <v>448.76677778082336</v>
      </c>
      <c r="AH362">
        <f t="shared" si="316"/>
        <v>-1668.2472130253545</v>
      </c>
      <c r="AJ362">
        <f t="shared" si="284"/>
        <v>26400</v>
      </c>
      <c r="AK362">
        <f t="shared" si="285"/>
        <v>94270.700559974401</v>
      </c>
      <c r="AL362">
        <v>1</v>
      </c>
      <c r="AM362">
        <f t="shared" si="286"/>
        <v>126.31916789049602</v>
      </c>
      <c r="AN362">
        <f t="shared" si="317"/>
        <v>747.89737655865622</v>
      </c>
      <c r="AO362">
        <f t="shared" si="318"/>
        <v>-203.07371440000875</v>
      </c>
      <c r="AQ362">
        <f t="shared" si="287"/>
        <v>4.5653741027327872E-3</v>
      </c>
      <c r="AR362">
        <f t="shared" si="288"/>
        <v>-6.7567536720445256</v>
      </c>
      <c r="AT362">
        <f t="shared" si="313"/>
        <v>-11269.886694261662</v>
      </c>
      <c r="AU362">
        <f t="shared" si="314"/>
        <v>-3039.8227462854702</v>
      </c>
      <c r="AV362">
        <f t="shared" si="302"/>
        <v>-2.8781328042494119</v>
      </c>
      <c r="AW362">
        <f t="shared" si="303"/>
        <v>-174.0065187500343</v>
      </c>
      <c r="AX362">
        <f t="shared" si="304"/>
        <v>-7762.3629118623412</v>
      </c>
      <c r="AY362">
        <f t="shared" si="312"/>
        <v>-1.5932092676664871</v>
      </c>
      <c r="BA362">
        <f t="shared" si="289"/>
        <v>1.5033725122565758</v>
      </c>
      <c r="BB362">
        <f t="shared" si="305"/>
        <v>3.5413321063826633</v>
      </c>
      <c r="BC362">
        <f t="shared" si="306"/>
        <v>-1.2849235365829248</v>
      </c>
      <c r="BD362">
        <f t="shared" si="290"/>
        <v>-253.62069572734913</v>
      </c>
      <c r="BF362">
        <f t="shared" si="291"/>
        <v>-53.150262954630527</v>
      </c>
      <c r="BG362">
        <f t="shared" si="292"/>
        <v>-248.29837065818256</v>
      </c>
      <c r="BH362">
        <f t="shared" si="307"/>
        <v>-68.298370658182563</v>
      </c>
      <c r="BI362">
        <f t="shared" si="308"/>
        <v>-68.298370658182563</v>
      </c>
      <c r="BJ362">
        <f t="shared" si="293"/>
        <v>0</v>
      </c>
      <c r="BK362">
        <f t="shared" si="309"/>
        <v>0</v>
      </c>
      <c r="BM362">
        <f t="shared" si="310"/>
        <v>-56.691595061013189</v>
      </c>
      <c r="BN362">
        <f t="shared" si="294"/>
        <v>-174.67767493083346</v>
      </c>
      <c r="BQ362" s="56">
        <f t="shared" si="311"/>
        <v>20.4432929066678</v>
      </c>
      <c r="BR362" s="59"/>
      <c r="BS362" s="59"/>
      <c r="BT362" s="59">
        <v>331131.12099999998</v>
      </c>
      <c r="BU362" s="59">
        <v>15.331</v>
      </c>
      <c r="BV362" s="59">
        <v>-194.60300000000001</v>
      </c>
      <c r="BW362" s="61"/>
      <c r="BY362" s="59"/>
      <c r="BZ362" s="59"/>
      <c r="CA362" s="59"/>
      <c r="CC362" s="59"/>
    </row>
    <row r="363" spans="1:81" x14ac:dyDescent="0.2">
      <c r="A363">
        <f t="shared" si="263"/>
        <v>745000</v>
      </c>
      <c r="B363">
        <f t="shared" si="295"/>
        <v>745</v>
      </c>
      <c r="C363">
        <f t="shared" si="264"/>
        <v>1.0041999428275277</v>
      </c>
      <c r="D363">
        <f t="shared" si="265"/>
        <v>9.1490936365038661E-2</v>
      </c>
      <c r="F363">
        <f t="shared" si="266"/>
        <v>9.5870145423787109E-5</v>
      </c>
      <c r="G363">
        <f t="shared" si="267"/>
        <v>1.9983016770351038E-3</v>
      </c>
      <c r="H363">
        <f t="shared" si="268"/>
        <v>-3.1395943483229649</v>
      </c>
      <c r="J363">
        <f t="shared" si="269"/>
        <v>15</v>
      </c>
      <c r="M363">
        <f t="shared" si="270"/>
        <v>1.6788538628553112E-3</v>
      </c>
      <c r="N363">
        <f t="shared" si="271"/>
        <v>-1.5707963250000001</v>
      </c>
      <c r="O363">
        <f t="shared" si="272"/>
        <v>146.30723013688691</v>
      </c>
      <c r="P363">
        <f t="shared" si="273"/>
        <v>1.5639613413654152</v>
      </c>
      <c r="Q363">
        <f t="shared" si="274"/>
        <v>127.17660738305675</v>
      </c>
      <c r="R363">
        <f t="shared" si="275"/>
        <v>1.5629331644921849</v>
      </c>
      <c r="S363">
        <f t="shared" si="276"/>
        <v>0.26799027028186573</v>
      </c>
      <c r="T363">
        <f t="shared" si="277"/>
        <v>-1.2994899358616845</v>
      </c>
      <c r="U363">
        <f t="shared" si="278"/>
        <v>0.2647466215207816</v>
      </c>
      <c r="V363">
        <f t="shared" si="279"/>
        <v>-1.3028551680229443</v>
      </c>
      <c r="X363">
        <f t="shared" si="296"/>
        <v>-49.895395820061225</v>
      </c>
      <c r="Y363">
        <f t="shared" si="280"/>
        <v>-234.58899431066976</v>
      </c>
      <c r="Z363">
        <f t="shared" si="297"/>
        <v>-54.588994310669761</v>
      </c>
      <c r="AC363">
        <v>1</v>
      </c>
      <c r="AD363">
        <f t="shared" si="281"/>
        <v>146.3038126308675</v>
      </c>
      <c r="AE363">
        <f t="shared" si="282"/>
        <v>-8.218130445814617E-2</v>
      </c>
      <c r="AF363">
        <f t="shared" si="283"/>
        <v>2.2562290093770001E-2</v>
      </c>
      <c r="AG363">
        <f t="shared" si="315"/>
        <v>443.18406650449862</v>
      </c>
      <c r="AH363">
        <f t="shared" si="316"/>
        <v>-1658.5836165070173</v>
      </c>
      <c r="AJ363">
        <f t="shared" si="284"/>
        <v>26400</v>
      </c>
      <c r="AK363">
        <f t="shared" si="285"/>
        <v>94907.664752947196</v>
      </c>
      <c r="AL363">
        <v>1</v>
      </c>
      <c r="AM363">
        <f t="shared" si="286"/>
        <v>127.17267578164801</v>
      </c>
      <c r="AN363">
        <f t="shared" si="317"/>
        <v>747.87587145617726</v>
      </c>
      <c r="AO363">
        <f t="shared" si="318"/>
        <v>-201.71097266670569</v>
      </c>
      <c r="AQ363">
        <f t="shared" si="287"/>
        <v>4.50429957916329E-3</v>
      </c>
      <c r="AR363">
        <f t="shared" si="288"/>
        <v>-6.7114063729533022</v>
      </c>
      <c r="AT363">
        <f t="shared" si="313"/>
        <v>-11129.432420096884</v>
      </c>
      <c r="AU363">
        <f t="shared" si="314"/>
        <v>-2981.859125815492</v>
      </c>
      <c r="AV363">
        <f t="shared" si="302"/>
        <v>-2.8798153394084922</v>
      </c>
      <c r="AW363">
        <f t="shared" si="303"/>
        <v>-161.27811538003834</v>
      </c>
      <c r="AX363">
        <f t="shared" si="304"/>
        <v>-7711.6331436314686</v>
      </c>
      <c r="AY363">
        <f t="shared" si="312"/>
        <v>-1.5917068920814565</v>
      </c>
      <c r="BA363">
        <f t="shared" si="289"/>
        <v>1.4937755748763937</v>
      </c>
      <c r="BB363">
        <f t="shared" si="305"/>
        <v>3.4857070779126911</v>
      </c>
      <c r="BC363">
        <f t="shared" si="306"/>
        <v>-1.2881084473270357</v>
      </c>
      <c r="BD363">
        <f t="shared" si="290"/>
        <v>-253.80317767132107</v>
      </c>
      <c r="BF363">
        <f t="shared" si="291"/>
        <v>-53.322396171810524</v>
      </c>
      <c r="BG363">
        <f t="shared" si="292"/>
        <v>-248.4466388954956</v>
      </c>
      <c r="BH363">
        <f t="shared" si="307"/>
        <v>-68.446638895495596</v>
      </c>
      <c r="BI363">
        <f t="shared" si="308"/>
        <v>-68.446638895495596</v>
      </c>
      <c r="BJ363">
        <f t="shared" si="293"/>
        <v>0</v>
      </c>
      <c r="BK363">
        <f t="shared" si="309"/>
        <v>0</v>
      </c>
      <c r="BM363">
        <f t="shared" si="310"/>
        <v>-56.80810324972321</v>
      </c>
      <c r="BN363">
        <f t="shared" si="294"/>
        <v>-174.64346122417453</v>
      </c>
      <c r="BQ363" s="56">
        <f t="shared" si="311"/>
        <v>20.387667878197824</v>
      </c>
      <c r="BR363" s="59"/>
      <c r="BS363" s="59"/>
      <c r="BT363" s="59">
        <v>338844.15600000002</v>
      </c>
      <c r="BU363" s="59">
        <v>15.2844</v>
      </c>
      <c r="BV363" s="59">
        <v>-197.85300000000001</v>
      </c>
      <c r="BW363" s="61"/>
      <c r="BY363" s="59"/>
      <c r="BZ363" s="59"/>
      <c r="CA363" s="59"/>
      <c r="CC363" s="59"/>
    </row>
    <row r="364" spans="1:81" x14ac:dyDescent="0.2">
      <c r="A364">
        <f t="shared" ref="A364:A427" si="319">A363+5000</f>
        <v>750000</v>
      </c>
      <c r="B364">
        <f t="shared" si="295"/>
        <v>750</v>
      </c>
      <c r="C364">
        <f t="shared" si="264"/>
        <v>1.0042563872042984</v>
      </c>
      <c r="D364">
        <f t="shared" si="265"/>
        <v>9.2101514398289772E-2</v>
      </c>
      <c r="F364">
        <f t="shared" si="266"/>
        <v>9.4596019639367146E-5</v>
      </c>
      <c r="G364">
        <f t="shared" si="267"/>
        <v>1.9849771706607088E-3</v>
      </c>
      <c r="H364">
        <f t="shared" si="268"/>
        <v>-3.1396076728293396</v>
      </c>
      <c r="J364">
        <f t="shared" si="269"/>
        <v>15</v>
      </c>
      <c r="M364">
        <f t="shared" si="270"/>
        <v>1.6676615037696089E-3</v>
      </c>
      <c r="N364">
        <f t="shared" si="271"/>
        <v>-1.5707963250000001</v>
      </c>
      <c r="O364">
        <f t="shared" si="272"/>
        <v>147.2891121367978</v>
      </c>
      <c r="P364">
        <f t="shared" si="273"/>
        <v>1.5640069065299613</v>
      </c>
      <c r="Q364">
        <f t="shared" si="274"/>
        <v>128.0300890643349</v>
      </c>
      <c r="R364">
        <f t="shared" si="275"/>
        <v>1.5629855834350148</v>
      </c>
      <c r="S364">
        <f t="shared" si="276"/>
        <v>0.26633079078688809</v>
      </c>
      <c r="T364">
        <f t="shared" si="277"/>
        <v>-1.3012120094747224</v>
      </c>
      <c r="U364">
        <f t="shared" si="278"/>
        <v>0.26310420396694006</v>
      </c>
      <c r="V364">
        <f t="shared" si="279"/>
        <v>-1.3045579616153682</v>
      </c>
      <c r="X364">
        <f t="shared" si="296"/>
        <v>-50.061030281355059</v>
      </c>
      <c r="Y364">
        <f t="shared" si="280"/>
        <v>-234.74539056491278</v>
      </c>
      <c r="Z364">
        <f t="shared" si="297"/>
        <v>-54.745390564912782</v>
      </c>
      <c r="AC364">
        <v>1</v>
      </c>
      <c r="AD364">
        <f t="shared" si="281"/>
        <v>147.28571741362501</v>
      </c>
      <c r="AE364">
        <f t="shared" si="282"/>
        <v>-8.3288110909791851E-2</v>
      </c>
      <c r="AF364">
        <f t="shared" si="283"/>
        <v>2.2713714859499998E-2</v>
      </c>
      <c r="AG364">
        <f t="shared" si="315"/>
        <v>437.70233111424653</v>
      </c>
      <c r="AH364">
        <f t="shared" si="316"/>
        <v>-1649.0213305487589</v>
      </c>
      <c r="AJ364">
        <f t="shared" si="284"/>
        <v>26400</v>
      </c>
      <c r="AK364">
        <f t="shared" si="285"/>
        <v>95544.628945920005</v>
      </c>
      <c r="AL364">
        <v>1</v>
      </c>
      <c r="AM364">
        <f t="shared" si="286"/>
        <v>128.02618367280002</v>
      </c>
      <c r="AN364">
        <f t="shared" si="317"/>
        <v>747.85479498547932</v>
      </c>
      <c r="AO364">
        <f t="shared" si="318"/>
        <v>-200.36639747517901</v>
      </c>
      <c r="AQ364">
        <f t="shared" si="287"/>
        <v>4.4444424691366807E-3</v>
      </c>
      <c r="AR364">
        <f t="shared" si="288"/>
        <v>-6.6666637037050203</v>
      </c>
      <c r="AT364">
        <f t="shared" si="313"/>
        <v>-10991.525308175525</v>
      </c>
      <c r="AU364">
        <f t="shared" si="314"/>
        <v>-2925.3432243004272</v>
      </c>
      <c r="AV364">
        <f t="shared" si="302"/>
        <v>-2.8814770421072988</v>
      </c>
      <c r="AW364">
        <f t="shared" si="303"/>
        <v>-148.81363844214604</v>
      </c>
      <c r="AX364">
        <f t="shared" si="304"/>
        <v>-7661.5555050317653</v>
      </c>
      <c r="AY364">
        <f t="shared" si="312"/>
        <v>-1.590217308383137</v>
      </c>
      <c r="BA364">
        <f t="shared" si="289"/>
        <v>1.4842943928525618</v>
      </c>
      <c r="BB364">
        <f t="shared" si="305"/>
        <v>3.4304009368039705</v>
      </c>
      <c r="BC364">
        <f t="shared" si="306"/>
        <v>-1.2912597337241618</v>
      </c>
      <c r="BD364">
        <f t="shared" si="290"/>
        <v>-253.9837330821197</v>
      </c>
      <c r="BF364">
        <f t="shared" si="291"/>
        <v>-53.493424574903969</v>
      </c>
      <c r="BG364">
        <f t="shared" si="292"/>
        <v>-248.59297419986578</v>
      </c>
      <c r="BH364">
        <f t="shared" si="307"/>
        <v>-68.592974199865779</v>
      </c>
      <c r="BI364">
        <f t="shared" si="308"/>
        <v>-68.592974199865779</v>
      </c>
      <c r="BJ364">
        <f t="shared" si="293"/>
        <v>0</v>
      </c>
      <c r="BK364">
        <f t="shared" si="309"/>
        <v>0</v>
      </c>
      <c r="BM364">
        <f t="shared" si="310"/>
        <v>-56.923825511707939</v>
      </c>
      <c r="BN364">
        <f t="shared" si="294"/>
        <v>-174.60924111774611</v>
      </c>
      <c r="BQ364" s="56">
        <f t="shared" si="311"/>
        <v>20.332361737089109</v>
      </c>
      <c r="BR364" s="59"/>
      <c r="BS364" s="59"/>
      <c r="BT364" s="59">
        <v>346736.85</v>
      </c>
      <c r="BU364" s="59">
        <v>15.295400000000001</v>
      </c>
      <c r="BV364" s="59">
        <v>-200.482</v>
      </c>
      <c r="BW364" s="61"/>
      <c r="BY364" s="59"/>
      <c r="BZ364" s="59"/>
      <c r="CA364" s="59"/>
      <c r="CC364" s="59"/>
    </row>
    <row r="365" spans="1:81" x14ac:dyDescent="0.2">
      <c r="A365">
        <f t="shared" si="319"/>
        <v>755000</v>
      </c>
      <c r="B365">
        <f t="shared" si="295"/>
        <v>755</v>
      </c>
      <c r="C365">
        <f t="shared" si="264"/>
        <v>1.0043132059312438</v>
      </c>
      <c r="D365">
        <f t="shared" si="265"/>
        <v>9.2712023572572091E-2</v>
      </c>
      <c r="F365">
        <f t="shared" si="266"/>
        <v>9.3347126785265255E-5</v>
      </c>
      <c r="G365">
        <f t="shared" si="267"/>
        <v>1.9718291969022628E-3</v>
      </c>
      <c r="H365">
        <f t="shared" si="268"/>
        <v>-3.1396208208030978</v>
      </c>
      <c r="J365">
        <f t="shared" si="269"/>
        <v>15</v>
      </c>
      <c r="M365">
        <f t="shared" si="270"/>
        <v>1.6566173878506049E-3</v>
      </c>
      <c r="N365">
        <f t="shared" si="271"/>
        <v>-1.5707963250000001</v>
      </c>
      <c r="O365">
        <f t="shared" si="272"/>
        <v>148.27099443845793</v>
      </c>
      <c r="P365">
        <f t="shared" si="273"/>
        <v>1.5640518682100299</v>
      </c>
      <c r="Q365">
        <f t="shared" si="274"/>
        <v>128.8835710927479</v>
      </c>
      <c r="R365">
        <f t="shared" si="275"/>
        <v>1.5630373081292881</v>
      </c>
      <c r="S365">
        <f t="shared" si="276"/>
        <v>0.26469096632479916</v>
      </c>
      <c r="T365">
        <f t="shared" si="277"/>
        <v>-1.3029128821322444</v>
      </c>
      <c r="U365">
        <f t="shared" si="278"/>
        <v>0.26148129481421395</v>
      </c>
      <c r="V365">
        <f t="shared" si="279"/>
        <v>-1.3062397533055352</v>
      </c>
      <c r="X365">
        <f t="shared" si="296"/>
        <v>-50.225657792258431</v>
      </c>
      <c r="Y365">
        <f t="shared" si="280"/>
        <v>-234.89943695889971</v>
      </c>
      <c r="Z365">
        <f t="shared" si="297"/>
        <v>-54.899436958899713</v>
      </c>
      <c r="AC365">
        <v>1</v>
      </c>
      <c r="AD365">
        <f t="shared" si="281"/>
        <v>148.26762219638249</v>
      </c>
      <c r="AE365">
        <f t="shared" si="282"/>
        <v>-8.4402320749073959E-2</v>
      </c>
      <c r="AF365">
        <f t="shared" si="283"/>
        <v>2.2865139625229999E-2</v>
      </c>
      <c r="AG365">
        <f t="shared" si="315"/>
        <v>432.31921465666233</v>
      </c>
      <c r="AH365">
        <f t="shared" si="316"/>
        <v>-1639.5589808720563</v>
      </c>
      <c r="AJ365">
        <f t="shared" si="284"/>
        <v>26400</v>
      </c>
      <c r="AK365">
        <f t="shared" si="285"/>
        <v>96181.5931388928</v>
      </c>
      <c r="AL365">
        <v>1</v>
      </c>
      <c r="AM365">
        <f t="shared" si="286"/>
        <v>128.87969156395201</v>
      </c>
      <c r="AN365">
        <f t="shared" si="317"/>
        <v>747.83413583090294</v>
      </c>
      <c r="AO365">
        <f t="shared" si="318"/>
        <v>-199.03962798855795</v>
      </c>
      <c r="AQ365">
        <f t="shared" si="287"/>
        <v>4.3857706303361121E-3</v>
      </c>
      <c r="AR365">
        <f t="shared" si="288"/>
        <v>-6.6225136518075294</v>
      </c>
      <c r="AT365">
        <f t="shared" si="313"/>
        <v>-10856.105680854262</v>
      </c>
      <c r="AU365">
        <f t="shared" si="314"/>
        <v>-2870.2306306274686</v>
      </c>
      <c r="AV365">
        <f t="shared" si="302"/>
        <v>-2.8831182871264853</v>
      </c>
      <c r="AW365">
        <f t="shared" si="303"/>
        <v>-136.6058137044455</v>
      </c>
      <c r="AX365">
        <f t="shared" si="304"/>
        <v>-7612.1175931317975</v>
      </c>
      <c r="AY365">
        <f t="shared" si="312"/>
        <v>-1.5887402366326433</v>
      </c>
      <c r="BA365">
        <f t="shared" si="289"/>
        <v>1.4749269683119857</v>
      </c>
      <c r="BB365">
        <f t="shared" si="305"/>
        <v>3.3754103311061021</v>
      </c>
      <c r="BC365">
        <f t="shared" si="306"/>
        <v>-1.294378050493842</v>
      </c>
      <c r="BD365">
        <f t="shared" si="290"/>
        <v>-254.16239947241141</v>
      </c>
      <c r="BF365">
        <f t="shared" si="291"/>
        <v>-53.663361921492395</v>
      </c>
      <c r="BG365">
        <f t="shared" si="292"/>
        <v>-248.73741431448346</v>
      </c>
      <c r="BH365">
        <f t="shared" si="307"/>
        <v>-68.737414314483459</v>
      </c>
      <c r="BI365">
        <f t="shared" si="308"/>
        <v>-68.737414314483459</v>
      </c>
      <c r="BJ365">
        <f t="shared" si="293"/>
        <v>0</v>
      </c>
      <c r="BK365">
        <f t="shared" si="309"/>
        <v>0</v>
      </c>
      <c r="BM365">
        <f t="shared" si="310"/>
        <v>-57.038772252598491</v>
      </c>
      <c r="BN365">
        <f t="shared" si="294"/>
        <v>-174.57501484207211</v>
      </c>
      <c r="BQ365" s="56">
        <f t="shared" si="311"/>
        <v>20.277371131391241</v>
      </c>
      <c r="BR365" s="59"/>
      <c r="BS365" s="59"/>
      <c r="BT365" s="59">
        <v>354813.38900000002</v>
      </c>
      <c r="BU365" s="59">
        <v>15.3028</v>
      </c>
      <c r="BV365" s="59">
        <v>-203.33199999999999</v>
      </c>
      <c r="BW365" s="61"/>
      <c r="BY365" s="59"/>
      <c r="BZ365" s="59"/>
      <c r="CA365" s="59"/>
      <c r="CC365" s="59"/>
    </row>
    <row r="366" spans="1:81" x14ac:dyDescent="0.2">
      <c r="A366">
        <f t="shared" si="319"/>
        <v>760000</v>
      </c>
      <c r="B366">
        <f t="shared" si="295"/>
        <v>760</v>
      </c>
      <c r="C366">
        <f t="shared" si="264"/>
        <v>1.0043703989448316</v>
      </c>
      <c r="D366">
        <f t="shared" si="265"/>
        <v>9.3322463444511103E-2</v>
      </c>
      <c r="F366">
        <f t="shared" si="266"/>
        <v>9.2122804925923044E-5</v>
      </c>
      <c r="G366">
        <f t="shared" si="267"/>
        <v>1.9588542702841491E-3</v>
      </c>
      <c r="H366">
        <f t="shared" si="268"/>
        <v>-3.1396337957297162</v>
      </c>
      <c r="J366">
        <f t="shared" si="269"/>
        <v>15</v>
      </c>
      <c r="M366">
        <f t="shared" si="270"/>
        <v>1.6457185892463247E-3</v>
      </c>
      <c r="N366">
        <f t="shared" si="271"/>
        <v>-1.5707963250000001</v>
      </c>
      <c r="O366">
        <f t="shared" si="272"/>
        <v>149.25287703591195</v>
      </c>
      <c r="P366">
        <f t="shared" si="273"/>
        <v>1.564096238315779</v>
      </c>
      <c r="Q366">
        <f t="shared" si="274"/>
        <v>129.73705346144484</v>
      </c>
      <c r="R366">
        <f t="shared" si="275"/>
        <v>1.5630883522761827</v>
      </c>
      <c r="S366">
        <f t="shared" si="276"/>
        <v>0.26307046426999209</v>
      </c>
      <c r="T366">
        <f t="shared" si="277"/>
        <v>-1.3045929332938344</v>
      </c>
      <c r="U366">
        <f t="shared" si="278"/>
        <v>0.25987756256625516</v>
      </c>
      <c r="V366">
        <f t="shared" si="279"/>
        <v>-1.3079009199215472</v>
      </c>
      <c r="X366">
        <f t="shared" si="296"/>
        <v>-50.389289823617034</v>
      </c>
      <c r="Y366">
        <f t="shared" si="280"/>
        <v>-235.05117558240804</v>
      </c>
      <c r="Z366">
        <f t="shared" si="297"/>
        <v>-55.051175582408035</v>
      </c>
      <c r="AC366">
        <v>1</v>
      </c>
      <c r="AD366">
        <f t="shared" si="281"/>
        <v>149.24952697914</v>
      </c>
      <c r="AE366">
        <f t="shared" si="282"/>
        <v>-8.5523933975992492E-2</v>
      </c>
      <c r="AF366">
        <f t="shared" si="283"/>
        <v>2.301656439096E-2</v>
      </c>
      <c r="AG366">
        <f t="shared" si="315"/>
        <v>427.03242656620557</v>
      </c>
      <c r="AH366">
        <f t="shared" si="316"/>
        <v>-1630.1952114970293</v>
      </c>
      <c r="AJ366">
        <f t="shared" si="284"/>
        <v>26400</v>
      </c>
      <c r="AK366">
        <f t="shared" si="285"/>
        <v>96818.55733186561</v>
      </c>
      <c r="AL366">
        <v>1</v>
      </c>
      <c r="AM366">
        <f t="shared" si="286"/>
        <v>129.73319945510403</v>
      </c>
      <c r="AN366">
        <f t="shared" si="317"/>
        <v>747.81388304774111</v>
      </c>
      <c r="AO366">
        <f t="shared" si="318"/>
        <v>-197.73031286281932</v>
      </c>
      <c r="AQ366">
        <f t="shared" si="287"/>
        <v>4.3282529742672375E-3</v>
      </c>
      <c r="AR366">
        <f t="shared" si="288"/>
        <v>-6.5789445208862007</v>
      </c>
      <c r="AT366">
        <f t="shared" si="313"/>
        <v>-10723.115550282908</v>
      </c>
      <c r="AU366">
        <f t="shared" si="314"/>
        <v>-2816.4785402712751</v>
      </c>
      <c r="AV366">
        <f t="shared" si="302"/>
        <v>-2.8847394405536368</v>
      </c>
      <c r="AW366">
        <f t="shared" si="303"/>
        <v>-124.64761620639052</v>
      </c>
      <c r="AX366">
        <f t="shared" si="304"/>
        <v>-7563.3073162835026</v>
      </c>
      <c r="AY366">
        <f t="shared" si="312"/>
        <v>-1.5872754050191498</v>
      </c>
      <c r="BA366">
        <f t="shared" si="289"/>
        <v>1.4656713462630535</v>
      </c>
      <c r="BB366">
        <f t="shared" si="305"/>
        <v>3.3207319503589923</v>
      </c>
      <c r="BC366">
        <f t="shared" si="306"/>
        <v>-1.2974640355344871</v>
      </c>
      <c r="BD366">
        <f t="shared" si="290"/>
        <v>-254.33921339108292</v>
      </c>
      <c r="BF366">
        <f t="shared" si="291"/>
        <v>-53.832221721564736</v>
      </c>
      <c r="BG366">
        <f t="shared" si="292"/>
        <v>-248.87999601334198</v>
      </c>
      <c r="BH366">
        <f t="shared" si="307"/>
        <v>-68.87999601334198</v>
      </c>
      <c r="BI366">
        <f t="shared" si="308"/>
        <v>-68.87999601334198</v>
      </c>
      <c r="BJ366">
        <f t="shared" si="293"/>
        <v>0</v>
      </c>
      <c r="BK366">
        <f t="shared" si="309"/>
        <v>0</v>
      </c>
      <c r="BM366">
        <f t="shared" si="310"/>
        <v>-57.15295367192374</v>
      </c>
      <c r="BN366">
        <f t="shared" si="294"/>
        <v>-174.54078262225909</v>
      </c>
      <c r="BQ366" s="56">
        <f t="shared" si="311"/>
        <v>20.222692750644129</v>
      </c>
      <c r="BR366" s="59"/>
      <c r="BS366" s="59"/>
      <c r="BT366" s="59">
        <v>363078.05499999999</v>
      </c>
      <c r="BU366" s="59">
        <v>15.049200000000001</v>
      </c>
      <c r="BV366" s="59">
        <v>-205.19499999999999</v>
      </c>
      <c r="BW366" s="61"/>
      <c r="BY366" s="59"/>
      <c r="BZ366" s="59"/>
      <c r="CA366" s="59"/>
      <c r="CC366" s="59"/>
    </row>
    <row r="367" spans="1:81" x14ac:dyDescent="0.2">
      <c r="A367">
        <f t="shared" si="319"/>
        <v>765000</v>
      </c>
      <c r="B367">
        <f t="shared" si="295"/>
        <v>765</v>
      </c>
      <c r="C367">
        <f t="shared" si="264"/>
        <v>1.0044279661811251</v>
      </c>
      <c r="D367">
        <f t="shared" si="265"/>
        <v>9.3932833571039473E-2</v>
      </c>
      <c r="F367">
        <f t="shared" si="266"/>
        <v>9.0922413690615409E-5</v>
      </c>
      <c r="G367">
        <f t="shared" si="267"/>
        <v>1.946048996495704E-3</v>
      </c>
      <c r="H367">
        <f t="shared" si="268"/>
        <v>-3.1396466010035047</v>
      </c>
      <c r="J367">
        <f t="shared" si="269"/>
        <v>15</v>
      </c>
      <c r="M367">
        <f t="shared" si="270"/>
        <v>1.6349622585976557E-3</v>
      </c>
      <c r="N367">
        <f t="shared" si="271"/>
        <v>-1.5707963250000001</v>
      </c>
      <c r="O367">
        <f t="shared" si="272"/>
        <v>150.23475992336017</v>
      </c>
      <c r="P367">
        <f t="shared" si="273"/>
        <v>1.564140028446013</v>
      </c>
      <c r="Q367">
        <f t="shared" si="274"/>
        <v>130.59053616375391</v>
      </c>
      <c r="R367">
        <f t="shared" si="275"/>
        <v>1.5631387292187113</v>
      </c>
      <c r="S367">
        <f t="shared" si="276"/>
        <v>0.2614689590898987</v>
      </c>
      <c r="T367">
        <f t="shared" si="277"/>
        <v>-1.3062525336554851</v>
      </c>
      <c r="U367">
        <f t="shared" si="278"/>
        <v>0.25829268283699741</v>
      </c>
      <c r="V367">
        <f t="shared" si="279"/>
        <v>-1.3095418295606498</v>
      </c>
      <c r="X367">
        <f t="shared" si="296"/>
        <v>-50.551937661562391</v>
      </c>
      <c r="Y367">
        <f t="shared" si="280"/>
        <v>-235.20064755597696</v>
      </c>
      <c r="Z367">
        <f t="shared" si="297"/>
        <v>-55.200647555976957</v>
      </c>
      <c r="AC367">
        <v>1</v>
      </c>
      <c r="AD367">
        <f t="shared" si="281"/>
        <v>150.23143176189751</v>
      </c>
      <c r="AE367">
        <f t="shared" si="282"/>
        <v>-8.6652950590547451E-2</v>
      </c>
      <c r="AF367">
        <f t="shared" si="283"/>
        <v>2.3167989156690001E-2</v>
      </c>
      <c r="AG367">
        <f t="shared" si="315"/>
        <v>421.83974050820979</v>
      </c>
      <c r="AH367">
        <f t="shared" si="316"/>
        <v>-1620.9286847211445</v>
      </c>
      <c r="AJ367">
        <f t="shared" si="284"/>
        <v>26400</v>
      </c>
      <c r="AK367">
        <f t="shared" si="285"/>
        <v>97455.521524838405</v>
      </c>
      <c r="AL367">
        <v>1</v>
      </c>
      <c r="AM367">
        <f t="shared" si="286"/>
        <v>130.58670734625602</v>
      </c>
      <c r="AN367">
        <f t="shared" si="317"/>
        <v>747.79402604774236</v>
      </c>
      <c r="AO367">
        <f t="shared" si="318"/>
        <v>-196.43810993667509</v>
      </c>
      <c r="AQ367">
        <f t="shared" si="287"/>
        <v>4.2718594250675274E-3</v>
      </c>
      <c r="AR367">
        <f t="shared" si="288"/>
        <v>-6.5359449203533169</v>
      </c>
      <c r="AT367">
        <f t="shared" si="313"/>
        <v>-10592.49856308679</v>
      </c>
      <c r="AU367">
        <f t="shared" si="314"/>
        <v>-2764.0456886569832</v>
      </c>
      <c r="AV367">
        <f t="shared" si="302"/>
        <v>-2.886340860026257</v>
      </c>
      <c r="AW367">
        <f t="shared" si="303"/>
        <v>-112.93226008228019</v>
      </c>
      <c r="AX367">
        <f t="shared" si="304"/>
        <v>-7515.1128844199338</v>
      </c>
      <c r="AY367">
        <f t="shared" si="312"/>
        <v>-1.5858225495718132</v>
      </c>
      <c r="BA367">
        <f t="shared" si="289"/>
        <v>1.4565256135635249</v>
      </c>
      <c r="BB367">
        <f t="shared" si="305"/>
        <v>3.2663625253292223</v>
      </c>
      <c r="BC367">
        <f t="shared" si="306"/>
        <v>-1.3005183104544438</v>
      </c>
      <c r="BD367">
        <f t="shared" si="290"/>
        <v>-254.51421045366905</v>
      </c>
      <c r="BF367">
        <f t="shared" si="291"/>
        <v>-54.000017243189674</v>
      </c>
      <c r="BG367">
        <f t="shared" si="292"/>
        <v>-249.02075513184167</v>
      </c>
      <c r="BH367">
        <f t="shared" si="307"/>
        <v>-69.020755131841668</v>
      </c>
      <c r="BI367">
        <f t="shared" si="308"/>
        <v>-69.020755131841668</v>
      </c>
      <c r="BJ367">
        <f t="shared" si="293"/>
        <v>0</v>
      </c>
      <c r="BK367">
        <f t="shared" si="309"/>
        <v>0</v>
      </c>
      <c r="BM367">
        <f t="shared" si="310"/>
        <v>-57.266379768518895</v>
      </c>
      <c r="BN367">
        <f t="shared" si="294"/>
        <v>-174.50654467817259</v>
      </c>
      <c r="BQ367" s="56">
        <f t="shared" si="311"/>
        <v>20.168323325614356</v>
      </c>
      <c r="BR367" s="59"/>
      <c r="BS367" s="59"/>
      <c r="BT367" s="59">
        <v>371535.22899999999</v>
      </c>
      <c r="BU367" s="59">
        <v>14.9002</v>
      </c>
      <c r="BV367" s="59">
        <v>-207.41</v>
      </c>
      <c r="BW367" s="61"/>
      <c r="BY367" s="59"/>
      <c r="BZ367" s="59"/>
      <c r="CA367" s="59"/>
      <c r="CC367" s="59"/>
    </row>
    <row r="368" spans="1:81" x14ac:dyDescent="0.2">
      <c r="A368">
        <f t="shared" si="319"/>
        <v>770000</v>
      </c>
      <c r="B368">
        <f t="shared" si="295"/>
        <v>770</v>
      </c>
      <c r="C368">
        <f t="shared" si="264"/>
        <v>1.0044859075757835</v>
      </c>
      <c r="D368">
        <f t="shared" si="265"/>
        <v>9.4543133509399038E-2</v>
      </c>
      <c r="F368">
        <f t="shared" si="266"/>
        <v>8.9745333435828063E-5</v>
      </c>
      <c r="G368">
        <f t="shared" si="267"/>
        <v>1.93341006942971E-3</v>
      </c>
      <c r="H368">
        <f t="shared" si="268"/>
        <v>-3.1396592399305705</v>
      </c>
      <c r="J368">
        <f t="shared" si="269"/>
        <v>15</v>
      </c>
      <c r="M368">
        <f t="shared" si="270"/>
        <v>1.6243456205548138E-3</v>
      </c>
      <c r="N368">
        <f t="shared" si="271"/>
        <v>-1.5707963250000001</v>
      </c>
      <c r="O368">
        <f t="shared" si="272"/>
        <v>151.21664309515373</v>
      </c>
      <c r="P368">
        <f t="shared" si="273"/>
        <v>1.5641832498982906</v>
      </c>
      <c r="Q368">
        <f t="shared" si="274"/>
        <v>131.44401919317647</v>
      </c>
      <c r="R368">
        <f t="shared" si="275"/>
        <v>1.5631884519533485</v>
      </c>
      <c r="S368">
        <f t="shared" si="276"/>
        <v>0.25988613216898887</v>
      </c>
      <c r="T368">
        <f t="shared" si="277"/>
        <v>-1.3078920453937883</v>
      </c>
      <c r="U368">
        <f t="shared" si="278"/>
        <v>0.2567263381726933</v>
      </c>
      <c r="V368">
        <f t="shared" si="279"/>
        <v>-1.3111628418335146</v>
      </c>
      <c r="X368">
        <f t="shared" si="296"/>
        <v>-50.713612411191001</v>
      </c>
      <c r="Y368">
        <f t="shared" si="280"/>
        <v>-235.34789305781905</v>
      </c>
      <c r="Z368">
        <f t="shared" si="297"/>
        <v>-55.34789305781905</v>
      </c>
      <c r="AC368">
        <v>1</v>
      </c>
      <c r="AD368">
        <f t="shared" si="281"/>
        <v>151.21333654465502</v>
      </c>
      <c r="AE368">
        <f t="shared" si="282"/>
        <v>-8.7789370592738794E-2</v>
      </c>
      <c r="AF368">
        <f t="shared" si="283"/>
        <v>2.3319413922419999E-2</v>
      </c>
      <c r="AG368">
        <f t="shared" si="315"/>
        <v>416.73899229993947</v>
      </c>
      <c r="AH368">
        <f t="shared" si="316"/>
        <v>-1611.7580810780278</v>
      </c>
      <c r="AJ368">
        <f t="shared" si="284"/>
        <v>26400</v>
      </c>
      <c r="AK368">
        <f t="shared" si="285"/>
        <v>98092.485717811214</v>
      </c>
      <c r="AL368">
        <v>1</v>
      </c>
      <c r="AM368">
        <f t="shared" si="286"/>
        <v>131.44021523740801</v>
      </c>
      <c r="AN368">
        <f t="shared" si="317"/>
        <v>747.7745545852697</v>
      </c>
      <c r="AO368">
        <f t="shared" si="318"/>
        <v>-195.16268593353675</v>
      </c>
      <c r="AQ368">
        <f t="shared" si="287"/>
        <v>4.2165608801817845E-3</v>
      </c>
      <c r="AR368">
        <f t="shared" si="288"/>
        <v>-6.4935037554799475</v>
      </c>
      <c r="AT368">
        <f t="shared" si="313"/>
        <v>-10464.199947073148</v>
      </c>
      <c r="AU368">
        <f t="shared" si="314"/>
        <v>-2712.8922876275765</v>
      </c>
      <c r="AV368">
        <f t="shared" si="302"/>
        <v>-2.887922894966934</v>
      </c>
      <c r="AW368">
        <f t="shared" si="303"/>
        <v>-101.45318886524913</v>
      </c>
      <c r="AX368">
        <f t="shared" si="304"/>
        <v>-7467.522799715025</v>
      </c>
      <c r="AY368">
        <f t="shared" si="312"/>
        <v>-1.5843814138836247</v>
      </c>
      <c r="BA368">
        <f t="shared" si="289"/>
        <v>1.4474878979124743</v>
      </c>
      <c r="BB368">
        <f t="shared" si="305"/>
        <v>3.2122988277227633</v>
      </c>
      <c r="BC368">
        <f t="shared" si="306"/>
        <v>-1.3035414810833093</v>
      </c>
      <c r="BD368">
        <f t="shared" si="290"/>
        <v>-254.68742537164889</v>
      </c>
      <c r="BF368">
        <f t="shared" si="291"/>
        <v>-54.16676151803523</v>
      </c>
      <c r="BG368">
        <f t="shared" si="292"/>
        <v>-249.15972659625572</v>
      </c>
      <c r="BH368">
        <f t="shared" si="307"/>
        <v>-69.159726596255723</v>
      </c>
      <c r="BI368">
        <f t="shared" si="308"/>
        <v>-69.159726596255723</v>
      </c>
      <c r="BJ368">
        <f t="shared" si="293"/>
        <v>0</v>
      </c>
      <c r="BK368">
        <f t="shared" si="309"/>
        <v>0</v>
      </c>
      <c r="BM368">
        <f t="shared" si="310"/>
        <v>-57.379060345757999</v>
      </c>
      <c r="BN368">
        <f t="shared" si="294"/>
        <v>-174.47230122460684</v>
      </c>
      <c r="BQ368" s="56">
        <f t="shared" si="311"/>
        <v>20.1142596280079</v>
      </c>
      <c r="BR368" s="59"/>
      <c r="BS368" s="59"/>
      <c r="BT368" s="59">
        <v>380189.39600000001</v>
      </c>
      <c r="BU368" s="59">
        <v>14.938000000000001</v>
      </c>
      <c r="BV368" s="59">
        <v>-210.39400000000001</v>
      </c>
      <c r="BW368" s="61"/>
      <c r="BY368" s="59"/>
      <c r="BZ368" s="59"/>
      <c r="CA368" s="59"/>
      <c r="CC368" s="59"/>
    </row>
    <row r="369" spans="1:81" x14ac:dyDescent="0.2">
      <c r="A369">
        <f t="shared" si="319"/>
        <v>775000</v>
      </c>
      <c r="B369">
        <f t="shared" si="295"/>
        <v>775</v>
      </c>
      <c r="C369">
        <f t="shared" si="264"/>
        <v>1.0045442230640638</v>
      </c>
      <c r="D369">
        <f t="shared" si="265"/>
        <v>9.5153362817142595E-2</v>
      </c>
      <c r="F369">
        <f t="shared" si="266"/>
        <v>8.8590964445349298E-5</v>
      </c>
      <c r="G369">
        <f t="shared" si="267"/>
        <v>1.9209342683356139E-3</v>
      </c>
      <c r="H369">
        <f t="shared" si="268"/>
        <v>-3.1396717157316645</v>
      </c>
      <c r="J369">
        <f t="shared" si="269"/>
        <v>15</v>
      </c>
      <c r="M369">
        <f t="shared" si="270"/>
        <v>1.6138659713899443E-3</v>
      </c>
      <c r="N369">
        <f t="shared" si="271"/>
        <v>-1.5707963250000001</v>
      </c>
      <c r="O369">
        <f t="shared" si="272"/>
        <v>152.19852654578932</v>
      </c>
      <c r="P369">
        <f t="shared" si="273"/>
        <v>1.5642259136786425</v>
      </c>
      <c r="Q369">
        <f t="shared" si="274"/>
        <v>132.29750254338171</v>
      </c>
      <c r="R369">
        <f t="shared" si="275"/>
        <v>1.5632375331412083</v>
      </c>
      <c r="S369">
        <f t="shared" si="276"/>
        <v>0.25832167163749858</v>
      </c>
      <c r="T369">
        <f t="shared" si="277"/>
        <v>-1.3095118224022781</v>
      </c>
      <c r="U369">
        <f t="shared" si="278"/>
        <v>0.25517821787880052</v>
      </c>
      <c r="V369">
        <f t="shared" si="279"/>
        <v>-1.312764308100633</v>
      </c>
      <c r="X369">
        <f t="shared" si="296"/>
        <v>-50.874325000160745</v>
      </c>
      <c r="Y369">
        <f t="shared" si="280"/>
        <v>-235.49295134987176</v>
      </c>
      <c r="Z369">
        <f t="shared" si="297"/>
        <v>-55.49295134987176</v>
      </c>
      <c r="AC369">
        <v>1</v>
      </c>
      <c r="AD369">
        <f t="shared" si="281"/>
        <v>152.1952413274125</v>
      </c>
      <c r="AE369">
        <f t="shared" si="282"/>
        <v>-8.8933193982566605E-2</v>
      </c>
      <c r="AF369">
        <f t="shared" si="283"/>
        <v>2.347083868815E-2</v>
      </c>
      <c r="AG369">
        <f t="shared" si="315"/>
        <v>411.72807790664717</v>
      </c>
      <c r="AH369">
        <f t="shared" si="316"/>
        <v>-1602.6820992780686</v>
      </c>
      <c r="AJ369">
        <f t="shared" si="284"/>
        <v>26400</v>
      </c>
      <c r="AK369">
        <f t="shared" si="285"/>
        <v>98729.449910784009</v>
      </c>
      <c r="AL369">
        <v>1</v>
      </c>
      <c r="AM369">
        <f t="shared" si="286"/>
        <v>132.29372312856003</v>
      </c>
      <c r="AN369">
        <f t="shared" si="317"/>
        <v>747.75545874408238</v>
      </c>
      <c r="AO369">
        <f t="shared" si="318"/>
        <v>-193.90371617501197</v>
      </c>
      <c r="AQ369">
        <f t="shared" si="287"/>
        <v>4.1623291728078368E-3</v>
      </c>
      <c r="AR369">
        <f t="shared" si="288"/>
        <v>-6.4516102178521466</v>
      </c>
      <c r="AT369">
        <f t="shared" si="313"/>
        <v>-10338.166459881182</v>
      </c>
      <c r="AU369">
        <f t="shared" si="314"/>
        <v>-2662.9799648557118</v>
      </c>
      <c r="AV369">
        <f t="shared" si="302"/>
        <v>-2.8894858868109732</v>
      </c>
      <c r="AW369">
        <f t="shared" si="303"/>
        <v>-90.204066246100027</v>
      </c>
      <c r="AX369">
        <f t="shared" si="304"/>
        <v>-7420.5258475896062</v>
      </c>
      <c r="AY369">
        <f t="shared" si="312"/>
        <v>-1.5829517488466269</v>
      </c>
      <c r="BA369">
        <f t="shared" si="289"/>
        <v>1.4385563668659882</v>
      </c>
      <c r="BB369">
        <f t="shared" si="305"/>
        <v>3.1585376698763441</v>
      </c>
      <c r="BC369">
        <f t="shared" si="306"/>
        <v>-1.3065341379643463</v>
      </c>
      <c r="BD369">
        <f t="shared" si="290"/>
        <v>-254.85889198065902</v>
      </c>
      <c r="BF369">
        <f t="shared" si="291"/>
        <v>-54.332467346740493</v>
      </c>
      <c r="BG369">
        <f t="shared" si="292"/>
        <v>-249.29694445210649</v>
      </c>
      <c r="BH369">
        <f t="shared" si="307"/>
        <v>-69.296944452106487</v>
      </c>
      <c r="BI369">
        <f t="shared" si="308"/>
        <v>-69.296944452106487</v>
      </c>
      <c r="BJ369">
        <f t="shared" si="293"/>
        <v>0</v>
      </c>
      <c r="BK369">
        <f t="shared" si="309"/>
        <v>0</v>
      </c>
      <c r="BM369">
        <f t="shared" si="310"/>
        <v>-57.491005016616839</v>
      </c>
      <c r="BN369">
        <f t="shared" si="294"/>
        <v>-174.43805247144752</v>
      </c>
      <c r="BQ369" s="56">
        <f t="shared" si="311"/>
        <v>20.060498470161477</v>
      </c>
      <c r="BR369" s="59"/>
      <c r="BS369" s="59"/>
      <c r="BT369" s="59">
        <v>389045.14500000002</v>
      </c>
      <c r="BU369" s="59">
        <v>14.7561</v>
      </c>
      <c r="BV369" s="59">
        <v>-213.04300000000001</v>
      </c>
      <c r="BW369" s="61"/>
      <c r="BY369" s="59"/>
      <c r="BZ369" s="59"/>
      <c r="CA369" s="59"/>
      <c r="CC369" s="59"/>
    </row>
    <row r="370" spans="1:81" x14ac:dyDescent="0.2">
      <c r="A370">
        <f t="shared" si="319"/>
        <v>780000</v>
      </c>
      <c r="B370">
        <f t="shared" si="295"/>
        <v>780</v>
      </c>
      <c r="C370">
        <f t="shared" si="264"/>
        <v>1.0046029125808191</v>
      </c>
      <c r="D370">
        <f t="shared" si="265"/>
        <v>9.5763521052135717E-2</v>
      </c>
      <c r="F370">
        <f t="shared" si="266"/>
        <v>8.7458726166147763E-5</v>
      </c>
      <c r="G370">
        <f t="shared" si="267"/>
        <v>1.9086184550822938E-3</v>
      </c>
      <c r="H370">
        <f t="shared" si="268"/>
        <v>-3.1396840315449177</v>
      </c>
      <c r="J370">
        <f t="shared" si="269"/>
        <v>15</v>
      </c>
      <c r="M370">
        <f t="shared" si="270"/>
        <v>1.603520676701547E-3</v>
      </c>
      <c r="N370">
        <f t="shared" si="271"/>
        <v>-1.5707963250000001</v>
      </c>
      <c r="O370">
        <f t="shared" si="272"/>
        <v>153.18041026990485</v>
      </c>
      <c r="P370">
        <f t="shared" si="273"/>
        <v>1.5642680305109133</v>
      </c>
      <c r="Q370">
        <f t="shared" si="274"/>
        <v>133.15098620820109</v>
      </c>
      <c r="R370">
        <f t="shared" si="275"/>
        <v>1.5632859851187921</v>
      </c>
      <c r="S370">
        <f t="shared" si="276"/>
        <v>0.2567752722047616</v>
      </c>
      <c r="T370">
        <f t="shared" si="277"/>
        <v>-1.311112210520208</v>
      </c>
      <c r="U370">
        <f t="shared" si="278"/>
        <v>0.25364801785158725</v>
      </c>
      <c r="V370">
        <f t="shared" si="279"/>
        <v>-1.3143465717010996</v>
      </c>
      <c r="X370">
        <f t="shared" si="296"/>
        <v>-51.034086182206401</v>
      </c>
      <c r="Y370">
        <f t="shared" si="280"/>
        <v>-235.63586080301945</v>
      </c>
      <c r="Z370">
        <f t="shared" si="297"/>
        <v>-55.635860803019455</v>
      </c>
      <c r="AC370">
        <v>1</v>
      </c>
      <c r="AD370">
        <f t="shared" si="281"/>
        <v>153.17714611016999</v>
      </c>
      <c r="AE370">
        <f t="shared" si="282"/>
        <v>-9.0084420760030856E-2</v>
      </c>
      <c r="AF370">
        <f t="shared" si="283"/>
        <v>2.3622263453880001E-2</v>
      </c>
      <c r="AG370">
        <f t="shared" si="315"/>
        <v>406.80495150971512</v>
      </c>
      <c r="AH370">
        <f t="shared" si="316"/>
        <v>-1593.6994561324129</v>
      </c>
      <c r="AJ370">
        <f t="shared" si="284"/>
        <v>26400</v>
      </c>
      <c r="AK370">
        <f t="shared" si="285"/>
        <v>99366.414103756819</v>
      </c>
      <c r="AL370">
        <v>1</v>
      </c>
      <c r="AM370">
        <f t="shared" si="286"/>
        <v>133.14723101971202</v>
      </c>
      <c r="AN370">
        <f t="shared" si="317"/>
        <v>747.73672892471075</v>
      </c>
      <c r="AO370">
        <f t="shared" si="318"/>
        <v>-192.6608843054164</v>
      </c>
      <c r="AQ370">
        <f t="shared" si="287"/>
        <v>4.1091370360219282E-3</v>
      </c>
      <c r="AR370">
        <f t="shared" si="288"/>
        <v>-6.4102537761942076</v>
      </c>
      <c r="AT370">
        <f t="shared" si="313"/>
        <v>-10214.346339498768</v>
      </c>
      <c r="AU370">
        <f t="shared" si="314"/>
        <v>-2614.2717060491345</v>
      </c>
      <c r="AV370">
        <f t="shared" si="302"/>
        <v>-2.8910301692267559</v>
      </c>
      <c r="AW370">
        <f t="shared" si="303"/>
        <v>-79.178767262817814</v>
      </c>
      <c r="AX370">
        <f t="shared" si="304"/>
        <v>-7374.1110880486685</v>
      </c>
      <c r="AY370">
        <f t="shared" si="312"/>
        <v>-1.5815333123979718</v>
      </c>
      <c r="BA370">
        <f t="shared" si="289"/>
        <v>1.4297292268762936</v>
      </c>
      <c r="BB370">
        <f t="shared" si="305"/>
        <v>3.1050759044296354</v>
      </c>
      <c r="BC370">
        <f t="shared" si="306"/>
        <v>-1.3094968568287841</v>
      </c>
      <c r="BD370">
        <f t="shared" si="290"/>
        <v>-255.02864326766905</v>
      </c>
      <c r="BF370">
        <f t="shared" si="291"/>
        <v>-54.497147304143439</v>
      </c>
      <c r="BG370">
        <f t="shared" si="292"/>
        <v>-249.43244189149783</v>
      </c>
      <c r="BH370">
        <f t="shared" si="307"/>
        <v>-69.432441891497831</v>
      </c>
      <c r="BI370">
        <f t="shared" si="308"/>
        <v>-69.432441891497831</v>
      </c>
      <c r="BJ370">
        <f t="shared" si="293"/>
        <v>0</v>
      </c>
      <c r="BK370">
        <f t="shared" si="309"/>
        <v>0</v>
      </c>
      <c r="BM370">
        <f t="shared" si="310"/>
        <v>-57.602223208573079</v>
      </c>
      <c r="BN370">
        <f t="shared" si="294"/>
        <v>-174.40379862382881</v>
      </c>
      <c r="BQ370" s="56">
        <f t="shared" si="311"/>
        <v>20.007036704714771</v>
      </c>
      <c r="BR370" s="59"/>
      <c r="BS370" s="59"/>
      <c r="BT370" s="59">
        <v>398107.17099999997</v>
      </c>
      <c r="BU370" s="59">
        <v>14.525499999999999</v>
      </c>
      <c r="BV370" s="59">
        <v>-214.58500000000001</v>
      </c>
      <c r="BW370" s="61"/>
      <c r="BY370" s="59"/>
      <c r="BZ370" s="59"/>
      <c r="CA370" s="59"/>
      <c r="CC370" s="59"/>
    </row>
    <row r="371" spans="1:81" x14ac:dyDescent="0.2">
      <c r="A371">
        <f t="shared" si="319"/>
        <v>785000</v>
      </c>
      <c r="B371">
        <f t="shared" si="295"/>
        <v>785</v>
      </c>
      <c r="C371">
        <f t="shared" si="264"/>
        <v>1.0046619760605007</v>
      </c>
      <c r="D371">
        <f t="shared" si="265"/>
        <v>9.6373607772558656E-2</v>
      </c>
      <c r="F371">
        <f t="shared" si="266"/>
        <v>8.6348056478218146E-5</v>
      </c>
      <c r="G371">
        <f t="shared" si="267"/>
        <v>1.8964595715255026E-3</v>
      </c>
      <c r="H371">
        <f t="shared" si="268"/>
        <v>-3.1396961904284746</v>
      </c>
      <c r="J371">
        <f t="shared" si="269"/>
        <v>15</v>
      </c>
      <c r="M371">
        <f t="shared" si="270"/>
        <v>1.5933071692066326E-3</v>
      </c>
      <c r="N371">
        <f t="shared" si="271"/>
        <v>-1.5707963250000001</v>
      </c>
      <c r="O371">
        <f t="shared" si="272"/>
        <v>154.16229426227486</v>
      </c>
      <c r="P371">
        <f t="shared" si="273"/>
        <v>1.5643096108457484</v>
      </c>
      <c r="Q371">
        <f t="shared" si="274"/>
        <v>134.00447018162322</v>
      </c>
      <c r="R371">
        <f t="shared" si="275"/>
        <v>1.5633338199083244</v>
      </c>
      <c r="S371">
        <f t="shared" si="276"/>
        <v>0.2552466349970251</v>
      </c>
      <c r="T371">
        <f t="shared" si="277"/>
        <v>-1.3126935477540318</v>
      </c>
      <c r="U371">
        <f t="shared" si="278"/>
        <v>0.25213544041432873</v>
      </c>
      <c r="V371">
        <f t="shared" si="279"/>
        <v>-1.3159099681740638</v>
      </c>
      <c r="X371">
        <f t="shared" si="296"/>
        <v>-51.192906540576139</v>
      </c>
      <c r="Y371">
        <f t="shared" si="280"/>
        <v>-235.77665892151515</v>
      </c>
      <c r="Z371">
        <f t="shared" si="297"/>
        <v>-55.77665892151515</v>
      </c>
      <c r="AC371">
        <v>1</v>
      </c>
      <c r="AD371">
        <f t="shared" si="281"/>
        <v>154.1590508929275</v>
      </c>
      <c r="AE371">
        <f t="shared" si="282"/>
        <v>-9.1243050925131505E-2</v>
      </c>
      <c r="AF371">
        <f t="shared" si="283"/>
        <v>2.3773688219609998E-2</v>
      </c>
      <c r="AG371">
        <f t="shared" si="315"/>
        <v>401.96762364407397</v>
      </c>
      <c r="AH371">
        <f t="shared" si="316"/>
        <v>-1584.8088864618082</v>
      </c>
      <c r="AJ371">
        <f t="shared" si="284"/>
        <v>26400</v>
      </c>
      <c r="AK371">
        <f t="shared" si="285"/>
        <v>100003.3782967296</v>
      </c>
      <c r="AL371">
        <v>1</v>
      </c>
      <c r="AM371">
        <f t="shared" si="286"/>
        <v>134.00073891086402</v>
      </c>
      <c r="AN371">
        <f t="shared" si="317"/>
        <v>747.71835583238851</v>
      </c>
      <c r="AO371">
        <f t="shared" si="318"/>
        <v>-191.43388202680924</v>
      </c>
      <c r="AQ371">
        <f t="shared" si="287"/>
        <v>4.056958068498491E-3</v>
      </c>
      <c r="AR371">
        <f t="shared" si="288"/>
        <v>-6.3694241675426317</v>
      </c>
      <c r="AT371">
        <f t="shared" si="313"/>
        <v>-10092.68925657215</v>
      </c>
      <c r="AU371">
        <f t="shared" si="314"/>
        <v>-2566.7317998072053</v>
      </c>
      <c r="AV371">
        <f t="shared" si="302"/>
        <v>-2.8925560683290845</v>
      </c>
      <c r="AW371">
        <f t="shared" si="303"/>
        <v>-68.37136989804867</v>
      </c>
      <c r="AX371">
        <f t="shared" si="304"/>
        <v>-7328.2678473356082</v>
      </c>
      <c r="AY371">
        <f t="shared" si="312"/>
        <v>-1.5801258692763138</v>
      </c>
      <c r="BA371">
        <f t="shared" si="289"/>
        <v>1.4210047223539952</v>
      </c>
      <c r="BB371">
        <f t="shared" si="305"/>
        <v>3.0519104239804138</v>
      </c>
      <c r="BC371">
        <f t="shared" si="306"/>
        <v>-1.3124301990527707</v>
      </c>
      <c r="BD371">
        <f t="shared" si="290"/>
        <v>-255.19671139716309</v>
      </c>
      <c r="BF371">
        <f t="shared" si="291"/>
        <v>-54.660813744369293</v>
      </c>
      <c r="BG371">
        <f t="shared" si="292"/>
        <v>-249.56625127944687</v>
      </c>
      <c r="BH371">
        <f t="shared" si="307"/>
        <v>-69.566251279446874</v>
      </c>
      <c r="BI371">
        <f t="shared" si="308"/>
        <v>-69.566251279446874</v>
      </c>
      <c r="BJ371">
        <f t="shared" si="293"/>
        <v>0</v>
      </c>
      <c r="BK371">
        <f t="shared" si="309"/>
        <v>0</v>
      </c>
      <c r="BM371">
        <f t="shared" si="310"/>
        <v>-57.712724168349709</v>
      </c>
      <c r="BN371">
        <f t="shared" si="294"/>
        <v>-174.36953988228385</v>
      </c>
      <c r="BQ371" s="56">
        <f t="shared" si="311"/>
        <v>19.953871224265551</v>
      </c>
      <c r="BR371" s="59"/>
      <c r="BS371" s="59"/>
      <c r="BT371" s="59">
        <v>407380.27799999999</v>
      </c>
      <c r="BU371" s="59">
        <v>14.4298</v>
      </c>
      <c r="BV371" s="59">
        <v>-217.34299999999999</v>
      </c>
      <c r="BW371" s="61"/>
      <c r="BY371" s="59"/>
      <c r="BZ371" s="59"/>
      <c r="CA371" s="59"/>
      <c r="CC371" s="59"/>
    </row>
    <row r="372" spans="1:81" x14ac:dyDescent="0.2">
      <c r="A372">
        <f t="shared" si="319"/>
        <v>790000</v>
      </c>
      <c r="B372">
        <f t="shared" si="295"/>
        <v>790</v>
      </c>
      <c r="C372">
        <f t="shared" si="264"/>
        <v>1.0047214134371572</v>
      </c>
      <c r="D372">
        <f t="shared" si="265"/>
        <v>9.698362253690819E-2</v>
      </c>
      <c r="F372">
        <f t="shared" si="266"/>
        <v>8.5258410996679699E-5</v>
      </c>
      <c r="G372">
        <f t="shared" si="267"/>
        <v>1.8844546369753384E-3</v>
      </c>
      <c r="H372">
        <f t="shared" si="268"/>
        <v>-3.139708195363025</v>
      </c>
      <c r="J372">
        <f t="shared" si="269"/>
        <v>15</v>
      </c>
      <c r="M372">
        <f t="shared" si="270"/>
        <v>1.5832229466167173E-3</v>
      </c>
      <c r="N372">
        <f t="shared" si="271"/>
        <v>-1.5707963250000001</v>
      </c>
      <c r="O372">
        <f t="shared" si="272"/>
        <v>155.14417851780604</v>
      </c>
      <c r="P372">
        <f t="shared" si="273"/>
        <v>1.5643506648692378</v>
      </c>
      <c r="Q372">
        <f t="shared" si="274"/>
        <v>134.85795445778882</v>
      </c>
      <c r="R372">
        <f t="shared" si="275"/>
        <v>1.5633810492276987</v>
      </c>
      <c r="S372">
        <f t="shared" si="276"/>
        <v>0.25373546739962932</v>
      </c>
      <c r="T372">
        <f t="shared" si="277"/>
        <v>-1.3142561644918493</v>
      </c>
      <c r="U372">
        <f t="shared" si="278"/>
        <v>0.25064019415796968</v>
      </c>
      <c r="V372">
        <f t="shared" si="279"/>
        <v>-1.3174548254731089</v>
      </c>
      <c r="X372">
        <f t="shared" si="296"/>
        <v>-51.350796491390831</v>
      </c>
      <c r="Y372">
        <f t="shared" si="280"/>
        <v>-235.91538236663015</v>
      </c>
      <c r="Z372">
        <f t="shared" si="297"/>
        <v>-55.915382366630155</v>
      </c>
      <c r="AC372">
        <v>1</v>
      </c>
      <c r="AD372">
        <f t="shared" si="281"/>
        <v>155.14095567568501</v>
      </c>
      <c r="AE372">
        <f t="shared" si="282"/>
        <v>-9.2409084477868594E-2</v>
      </c>
      <c r="AF372">
        <f t="shared" si="283"/>
        <v>2.3925112985339999E-2</v>
      </c>
      <c r="AG372">
        <f t="shared" si="315"/>
        <v>397.21415940221124</v>
      </c>
      <c r="AH372">
        <f t="shared" si="316"/>
        <v>-1576.009142991667</v>
      </c>
      <c r="AJ372">
        <f t="shared" si="284"/>
        <v>26400</v>
      </c>
      <c r="AK372">
        <f t="shared" si="285"/>
        <v>100640.34248970241</v>
      </c>
      <c r="AL372">
        <v>1</v>
      </c>
      <c r="AM372">
        <f t="shared" si="286"/>
        <v>134.85424680201601</v>
      </c>
      <c r="AN372">
        <f t="shared" si="317"/>
        <v>747.70033046552248</v>
      </c>
      <c r="AO372">
        <f t="shared" si="318"/>
        <v>-190.22240884408686</v>
      </c>
      <c r="AQ372">
        <f t="shared" si="287"/>
        <v>4.0057667017438306E-3</v>
      </c>
      <c r="AR372">
        <f t="shared" si="288"/>
        <v>-6.3291113887552521</v>
      </c>
      <c r="AT372">
        <f t="shared" si="313"/>
        <v>-9973.1462684377693</v>
      </c>
      <c r="AU372">
        <f t="shared" si="314"/>
        <v>-2520.3257849940192</v>
      </c>
      <c r="AV372">
        <f t="shared" si="302"/>
        <v>-2.8940639028857689</v>
      </c>
      <c r="AW372">
        <f t="shared" si="303"/>
        <v>-57.776147063148713</v>
      </c>
      <c r="AX372">
        <f t="shared" si="304"/>
        <v>-7282.9857098899447</v>
      </c>
      <c r="AY372">
        <f t="shared" si="312"/>
        <v>-1.5787291907880598</v>
      </c>
      <c r="BA372">
        <f t="shared" si="289"/>
        <v>1.4123811347530244</v>
      </c>
      <c r="BB372">
        <f t="shared" si="305"/>
        <v>2.9990381607243526</v>
      </c>
      <c r="BC372">
        <f t="shared" si="306"/>
        <v>-1.315334712097709</v>
      </c>
      <c r="BD372">
        <f t="shared" si="290"/>
        <v>-255.36312773636888</v>
      </c>
      <c r="BF372">
        <f t="shared" si="291"/>
        <v>-54.823478805783509</v>
      </c>
      <c r="BG372">
        <f t="shared" si="292"/>
        <v>-249.69840417925874</v>
      </c>
      <c r="BH372">
        <f t="shared" si="307"/>
        <v>-69.698404179258745</v>
      </c>
      <c r="BI372">
        <f t="shared" si="308"/>
        <v>-69.698404179258745</v>
      </c>
      <c r="BJ372">
        <f t="shared" si="293"/>
        <v>0</v>
      </c>
      <c r="BK372">
        <f t="shared" si="309"/>
        <v>0</v>
      </c>
      <c r="BM372">
        <f t="shared" si="310"/>
        <v>-57.822516966507855</v>
      </c>
      <c r="BN372">
        <f t="shared" si="294"/>
        <v>-174.33527644288986</v>
      </c>
      <c r="BQ372" s="56">
        <f t="shared" si="311"/>
        <v>19.900998961009488</v>
      </c>
      <c r="BR372" s="59"/>
      <c r="BS372" s="59"/>
      <c r="BT372" s="59">
        <v>416869.38299999997</v>
      </c>
      <c r="BU372" s="59">
        <v>14.126799999999999</v>
      </c>
      <c r="BV372" s="59">
        <v>-219.017</v>
      </c>
      <c r="BW372" s="61"/>
      <c r="BY372" s="59"/>
      <c r="BZ372" s="59"/>
      <c r="CA372" s="59"/>
      <c r="CC372" s="59"/>
    </row>
    <row r="373" spans="1:81" x14ac:dyDescent="0.2">
      <c r="A373">
        <f t="shared" si="319"/>
        <v>795000</v>
      </c>
      <c r="B373">
        <f t="shared" si="295"/>
        <v>795</v>
      </c>
      <c r="C373">
        <f t="shared" si="264"/>
        <v>1.0047812246444354</v>
      </c>
      <c r="D373">
        <f t="shared" si="265"/>
        <v>9.7593564903999439E-2</v>
      </c>
      <c r="F373">
        <f t="shared" si="266"/>
        <v>8.4189262404509813E-5</v>
      </c>
      <c r="G373">
        <f t="shared" si="267"/>
        <v>1.8726007457593437E-3</v>
      </c>
      <c r="H373">
        <f t="shared" si="268"/>
        <v>-3.1397200492542408</v>
      </c>
      <c r="J373">
        <f t="shared" si="269"/>
        <v>15</v>
      </c>
      <c r="M373">
        <f t="shared" si="270"/>
        <v>1.5732655695939706E-3</v>
      </c>
      <c r="N373">
        <f t="shared" si="271"/>
        <v>-1.5707963250000001</v>
      </c>
      <c r="O373">
        <f t="shared" si="272"/>
        <v>156.12606303153331</v>
      </c>
      <c r="P373">
        <f t="shared" si="273"/>
        <v>1.5643912025112361</v>
      </c>
      <c r="Q373">
        <f t="shared" si="274"/>
        <v>135.71143903098613</v>
      </c>
      <c r="R373">
        <f t="shared" si="275"/>
        <v>1.5634276845000452</v>
      </c>
      <c r="S373">
        <f t="shared" si="276"/>
        <v>0.25224148290343473</v>
      </c>
      <c r="T373">
        <f t="shared" si="277"/>
        <v>-1.3158003837110626</v>
      </c>
      <c r="U373">
        <f t="shared" si="278"/>
        <v>0.24916199378613013</v>
      </c>
      <c r="V373">
        <f t="shared" si="279"/>
        <v>-1.3189814641738111</v>
      </c>
      <c r="X373">
        <f t="shared" si="296"/>
        <v>-51.507766286927989</v>
      </c>
      <c r="Y373">
        <f t="shared" si="280"/>
        <v>-236.05206697955893</v>
      </c>
      <c r="Z373">
        <f t="shared" si="297"/>
        <v>-56.05206697955893</v>
      </c>
      <c r="AC373">
        <v>1</v>
      </c>
      <c r="AD373">
        <f t="shared" si="281"/>
        <v>156.12286045844249</v>
      </c>
      <c r="AE373">
        <f t="shared" si="282"/>
        <v>-9.3582521418242109E-2</v>
      </c>
      <c r="AF373">
        <f t="shared" si="283"/>
        <v>2.407653775107E-2</v>
      </c>
      <c r="AG373">
        <f t="shared" si="315"/>
        <v>392.54267670219281</v>
      </c>
      <c r="AH373">
        <f t="shared" si="316"/>
        <v>-1567.2989962346244</v>
      </c>
      <c r="AJ373">
        <f t="shared" si="284"/>
        <v>26400</v>
      </c>
      <c r="AK373">
        <f t="shared" si="285"/>
        <v>101277.3066826752</v>
      </c>
      <c r="AL373">
        <v>1</v>
      </c>
      <c r="AM373">
        <f t="shared" si="286"/>
        <v>135.70775469316803</v>
      </c>
      <c r="AN373">
        <f t="shared" si="317"/>
        <v>747.68264410466327</v>
      </c>
      <c r="AO373">
        <f t="shared" si="318"/>
        <v>-189.0261718196916</v>
      </c>
      <c r="AQ373">
        <f t="shared" si="287"/>
        <v>3.9555381687677825E-3</v>
      </c>
      <c r="AR373">
        <f t="shared" si="288"/>
        <v>-6.2893056883407743</v>
      </c>
      <c r="AT373">
        <f t="shared" si="313"/>
        <v>-9855.6697748086426</v>
      </c>
      <c r="AU373">
        <f t="shared" si="314"/>
        <v>-2475.0204005010919</v>
      </c>
      <c r="AV373">
        <f t="shared" si="302"/>
        <v>-2.8955539845176834</v>
      </c>
      <c r="AW373">
        <f t="shared" si="303"/>
        <v>-47.387558948666303</v>
      </c>
      <c r="AX373">
        <f t="shared" si="304"/>
        <v>-7238.2545105955742</v>
      </c>
      <c r="AY373">
        <f t="shared" si="312"/>
        <v>-1.577343054583028</v>
      </c>
      <c r="BA373">
        <f t="shared" si="289"/>
        <v>1.403856781677955</v>
      </c>
      <c r="BB373">
        <f t="shared" si="305"/>
        <v>2.94645608608141</v>
      </c>
      <c r="BC373">
        <f t="shared" si="306"/>
        <v>-1.3182109299346554</v>
      </c>
      <c r="BD373">
        <f t="shared" si="290"/>
        <v>-255.52792287957448</v>
      </c>
      <c r="BF373">
        <f t="shared" si="291"/>
        <v>-54.985154415813156</v>
      </c>
      <c r="BG373">
        <f t="shared" si="292"/>
        <v>-249.82893137698207</v>
      </c>
      <c r="BH373">
        <f t="shared" si="307"/>
        <v>-69.828931376982069</v>
      </c>
      <c r="BI373">
        <f t="shared" si="308"/>
        <v>-69.828931376982069</v>
      </c>
      <c r="BJ373">
        <f t="shared" si="293"/>
        <v>0</v>
      </c>
      <c r="BK373">
        <f t="shared" si="309"/>
        <v>0</v>
      </c>
      <c r="BM373">
        <f t="shared" si="310"/>
        <v>-57.931610501894568</v>
      </c>
      <c r="BN373">
        <f t="shared" si="294"/>
        <v>-174.30100849740765</v>
      </c>
      <c r="BQ373" s="56">
        <f t="shared" si="311"/>
        <v>19.848416886366547</v>
      </c>
      <c r="BR373" s="59"/>
      <c r="BS373" s="59"/>
      <c r="BT373" s="59">
        <v>426579.51899999997</v>
      </c>
      <c r="BU373" s="59">
        <v>14.106299999999999</v>
      </c>
      <c r="BV373" s="59">
        <v>-221.39400000000001</v>
      </c>
      <c r="BW373" s="61"/>
      <c r="BY373" s="59"/>
      <c r="BZ373" s="59"/>
      <c r="CA373" s="59"/>
      <c r="CC373" s="59"/>
    </row>
    <row r="374" spans="1:81" x14ac:dyDescent="0.2">
      <c r="A374">
        <f t="shared" si="319"/>
        <v>800000</v>
      </c>
      <c r="B374">
        <f t="shared" si="295"/>
        <v>800</v>
      </c>
      <c r="C374">
        <f t="shared" si="264"/>
        <v>1.0048414096155809</v>
      </c>
      <c r="D374">
        <f t="shared" si="265"/>
        <v>9.8203434432967696E-2</v>
      </c>
      <c r="F374">
        <f t="shared" si="266"/>
        <v>8.3140099814385158E-5</v>
      </c>
      <c r="G374">
        <f t="shared" si="267"/>
        <v>1.8608950648770345E-3</v>
      </c>
      <c r="H374">
        <f t="shared" si="268"/>
        <v>-3.1397317549351231</v>
      </c>
      <c r="J374">
        <f t="shared" si="269"/>
        <v>15</v>
      </c>
      <c r="M374">
        <f t="shared" si="270"/>
        <v>1.5634326597840083E-3</v>
      </c>
      <c r="N374">
        <f t="shared" si="271"/>
        <v>-1.5707963250000001</v>
      </c>
      <c r="O374">
        <f t="shared" si="272"/>
        <v>157.10794779861575</v>
      </c>
      <c r="P374">
        <f t="shared" si="273"/>
        <v>1.5644312334533685</v>
      </c>
      <c r="Q374">
        <f t="shared" si="274"/>
        <v>136.56492389564607</v>
      </c>
      <c r="R374">
        <f t="shared" si="275"/>
        <v>1.5634737368629417</v>
      </c>
      <c r="S374">
        <f t="shared" si="276"/>
        <v>0.25076440095538238</v>
      </c>
      <c r="T374">
        <f t="shared" si="277"/>
        <v>-1.3173265211794871</v>
      </c>
      <c r="U374">
        <f t="shared" si="278"/>
        <v>0.24770055996433521</v>
      </c>
      <c r="V374">
        <f t="shared" si="279"/>
        <v>-1.3204901976747259</v>
      </c>
      <c r="X374">
        <f t="shared" si="296"/>
        <v>-51.663826018832054</v>
      </c>
      <c r="Y374">
        <f t="shared" si="280"/>
        <v>-236.18674780360541</v>
      </c>
      <c r="Z374">
        <f t="shared" si="297"/>
        <v>-56.186747803605414</v>
      </c>
      <c r="AC374">
        <v>1</v>
      </c>
      <c r="AD374">
        <f t="shared" si="281"/>
        <v>157.1047652412</v>
      </c>
      <c r="AE374">
        <f t="shared" si="282"/>
        <v>-9.4763361746252051E-2</v>
      </c>
      <c r="AF374">
        <f t="shared" si="283"/>
        <v>2.4227962516800001E-2</v>
      </c>
      <c r="AG374">
        <f t="shared" si="315"/>
        <v>387.95134461721881</v>
      </c>
      <c r="AH374">
        <f t="shared" si="316"/>
        <v>-1558.6772343617674</v>
      </c>
      <c r="AJ374">
        <f t="shared" si="284"/>
        <v>26400</v>
      </c>
      <c r="AK374">
        <f t="shared" si="285"/>
        <v>101914.270875648</v>
      </c>
      <c r="AL374">
        <v>1</v>
      </c>
      <c r="AM374">
        <f t="shared" si="286"/>
        <v>136.56126258432002</v>
      </c>
      <c r="AN374">
        <f t="shared" si="317"/>
        <v>747.66528830196171</v>
      </c>
      <c r="AO374">
        <f t="shared" si="318"/>
        <v>-187.84488533751622</v>
      </c>
      <c r="AQ374">
        <f t="shared" si="287"/>
        <v>3.90624847412169E-3</v>
      </c>
      <c r="AR374">
        <f t="shared" si="288"/>
        <v>-6.2499975585947034</v>
      </c>
      <c r="AT374">
        <f t="shared" si="313"/>
        <v>-9740.2134750502464</v>
      </c>
      <c r="AU374">
        <f t="shared" si="314"/>
        <v>-2430.7835372795239</v>
      </c>
      <c r="AV374">
        <f t="shared" si="302"/>
        <v>-2.8970266178925308</v>
      </c>
      <c r="AW374">
        <f t="shared" si="303"/>
        <v>-37.200245722287377</v>
      </c>
      <c r="AX374">
        <f t="shared" si="304"/>
        <v>-7194.0643273073656</v>
      </c>
      <c r="AY374">
        <f t="shared" si="312"/>
        <v>-1.575967244439082</v>
      </c>
      <c r="BA374">
        <f t="shared" si="289"/>
        <v>1.3954300160132658</v>
      </c>
      <c r="BB374">
        <f t="shared" si="305"/>
        <v>2.8941612103102226</v>
      </c>
      <c r="BC374">
        <f t="shared" si="306"/>
        <v>-1.3210593734534488</v>
      </c>
      <c r="BD374">
        <f t="shared" si="290"/>
        <v>-255.69112667156921</v>
      </c>
      <c r="BF374">
        <f t="shared" si="291"/>
        <v>-55.145852295640985</v>
      </c>
      <c r="BG374">
        <f t="shared" si="292"/>
        <v>-249.95786290498506</v>
      </c>
      <c r="BH374">
        <f t="shared" si="307"/>
        <v>-69.957862904985063</v>
      </c>
      <c r="BI374">
        <f t="shared" si="308"/>
        <v>-69.957862904985063</v>
      </c>
      <c r="BJ374">
        <f t="shared" si="293"/>
        <v>0</v>
      </c>
      <c r="BK374">
        <f t="shared" si="309"/>
        <v>0</v>
      </c>
      <c r="BM374">
        <f t="shared" si="310"/>
        <v>-58.040013505951215</v>
      </c>
      <c r="BN374">
        <f t="shared" si="294"/>
        <v>-174.26673623341586</v>
      </c>
      <c r="BQ374" s="56">
        <f t="shared" si="311"/>
        <v>19.796122010595358</v>
      </c>
      <c r="BR374" s="59"/>
      <c r="BS374" s="59"/>
      <c r="BT374" s="59">
        <v>436515.83199999999</v>
      </c>
      <c r="BU374" s="59">
        <v>13.8226</v>
      </c>
      <c r="BV374" s="59">
        <v>-223.214</v>
      </c>
      <c r="BW374" s="61"/>
      <c r="BY374" s="59"/>
      <c r="BZ374" s="59"/>
      <c r="CA374" s="59"/>
      <c r="CC374" s="59"/>
    </row>
    <row r="375" spans="1:81" x14ac:dyDescent="0.2">
      <c r="A375">
        <f t="shared" si="319"/>
        <v>805000</v>
      </c>
      <c r="B375">
        <f t="shared" si="295"/>
        <v>805</v>
      </c>
      <c r="C375">
        <f t="shared" si="264"/>
        <v>1.0049019682834377</v>
      </c>
      <c r="D375">
        <f t="shared" si="265"/>
        <v>9.8813230683270262E-2</v>
      </c>
      <c r="F375">
        <f t="shared" si="266"/>
        <v>8.211042815818821E-5</v>
      </c>
      <c r="G375">
        <f t="shared" si="267"/>
        <v>1.8493348317418965E-3</v>
      </c>
      <c r="H375">
        <f t="shared" si="268"/>
        <v>-3.1397433151682583</v>
      </c>
      <c r="J375">
        <f t="shared" si="269"/>
        <v>15</v>
      </c>
      <c r="M375">
        <f t="shared" si="270"/>
        <v>1.553721897921996E-3</v>
      </c>
      <c r="N375">
        <f t="shared" si="271"/>
        <v>-1.5707963250000001</v>
      </c>
      <c r="O375">
        <f t="shared" si="272"/>
        <v>158.0898328143326</v>
      </c>
      <c r="P375">
        <f t="shared" si="273"/>
        <v>1.5644707671367386</v>
      </c>
      <c r="Q375">
        <f t="shared" si="274"/>
        <v>137.41840904633796</v>
      </c>
      <c r="R375">
        <f t="shared" si="275"/>
        <v>1.5635192171772807</v>
      </c>
      <c r="S375">
        <f t="shared" si="276"/>
        <v>0.24930394681307594</v>
      </c>
      <c r="T375">
        <f t="shared" si="277"/>
        <v>-1.3188348856501448</v>
      </c>
      <c r="U375">
        <f t="shared" si="278"/>
        <v>0.2462556191733514</v>
      </c>
      <c r="V375">
        <f t="shared" si="279"/>
        <v>-1.321981332392026</v>
      </c>
      <c r="X375">
        <f t="shared" si="296"/>
        <v>-51.818985621252793</v>
      </c>
      <c r="Y375">
        <f t="shared" si="280"/>
        <v>-236.31945910567526</v>
      </c>
      <c r="Z375">
        <f t="shared" si="297"/>
        <v>-56.319459105675264</v>
      </c>
      <c r="AC375">
        <v>1</v>
      </c>
      <c r="AD375">
        <f t="shared" si="281"/>
        <v>158.08667002395751</v>
      </c>
      <c r="AE375">
        <f t="shared" si="282"/>
        <v>-9.5951605461898418E-2</v>
      </c>
      <c r="AF375">
        <f t="shared" si="283"/>
        <v>2.4379387282529998E-2</v>
      </c>
      <c r="AG375">
        <f t="shared" si="315"/>
        <v>383.4383817643394</v>
      </c>
      <c r="AH375">
        <f t="shared" si="316"/>
        <v>-1550.1426630636315</v>
      </c>
      <c r="AJ375">
        <f t="shared" si="284"/>
        <v>26400</v>
      </c>
      <c r="AK375">
        <f t="shared" si="285"/>
        <v>102551.23506862081</v>
      </c>
      <c r="AL375">
        <v>1</v>
      </c>
      <c r="AM375">
        <f t="shared" si="286"/>
        <v>137.41477047547204</v>
      </c>
      <c r="AN375">
        <f t="shared" si="317"/>
        <v>747.64825487107805</v>
      </c>
      <c r="AO375">
        <f t="shared" si="318"/>
        <v>-186.67827087560255</v>
      </c>
      <c r="AQ375">
        <f t="shared" si="287"/>
        <v>3.8578743652349966E-3</v>
      </c>
      <c r="AR375">
        <f t="shared" si="288"/>
        <v>-6.2111777280283444</v>
      </c>
      <c r="AT375">
        <f t="shared" si="313"/>
        <v>-9626.7323269837179</v>
      </c>
      <c r="AU375">
        <f t="shared" si="314"/>
        <v>-2387.5841925281848</v>
      </c>
      <c r="AV375">
        <f t="shared" si="302"/>
        <v>-2.8984821009125312</v>
      </c>
      <c r="AW375">
        <f t="shared" si="303"/>
        <v>-27.209020556363917</v>
      </c>
      <c r="AX375">
        <f t="shared" si="304"/>
        <v>-7150.4054736443886</v>
      </c>
      <c r="AY375">
        <f t="shared" si="312"/>
        <v>-1.5746015500553334</v>
      </c>
      <c r="BA375">
        <f t="shared" si="289"/>
        <v>1.3870992250741592</v>
      </c>
      <c r="BB375">
        <f t="shared" si="305"/>
        <v>2.8421505821121027</v>
      </c>
      <c r="BC375">
        <f t="shared" si="306"/>
        <v>-1.3238805508571978</v>
      </c>
      <c r="BD375">
        <f t="shared" si="290"/>
        <v>-255.8527682302464</v>
      </c>
      <c r="BF375">
        <f t="shared" si="291"/>
        <v>-55.305583964775352</v>
      </c>
      <c r="BG375">
        <f t="shared" si="292"/>
        <v>-250.0852280646867</v>
      </c>
      <c r="BH375">
        <f t="shared" si="307"/>
        <v>-70.085228064686703</v>
      </c>
      <c r="BI375">
        <f t="shared" si="308"/>
        <v>-70.085228064686703</v>
      </c>
      <c r="BJ375">
        <f t="shared" si="293"/>
        <v>0</v>
      </c>
      <c r="BK375">
        <f t="shared" si="309"/>
        <v>0</v>
      </c>
      <c r="BM375">
        <f t="shared" si="310"/>
        <v>-58.147734546887449</v>
      </c>
      <c r="BN375">
        <f t="shared" si="294"/>
        <v>-174.23245983444031</v>
      </c>
      <c r="BQ375" s="56">
        <f t="shared" si="311"/>
        <v>19.744111382397239</v>
      </c>
      <c r="BR375" s="59"/>
      <c r="BS375" s="59"/>
      <c r="BT375" s="59">
        <v>446683.592</v>
      </c>
      <c r="BU375" s="59">
        <v>13.599500000000001</v>
      </c>
      <c r="BV375" s="59">
        <v>-225.053</v>
      </c>
      <c r="BW375" s="61"/>
      <c r="BY375" s="59"/>
      <c r="BZ375" s="59"/>
      <c r="CA375" s="59"/>
      <c r="CC375" s="59"/>
    </row>
    <row r="376" spans="1:81" x14ac:dyDescent="0.2">
      <c r="A376">
        <f t="shared" si="319"/>
        <v>810000</v>
      </c>
      <c r="B376">
        <f t="shared" si="295"/>
        <v>810</v>
      </c>
      <c r="C376">
        <f t="shared" si="264"/>
        <v>1.0049629005804495</v>
      </c>
      <c r="D376">
        <f t="shared" si="265"/>
        <v>9.9422953214688331E-2</v>
      </c>
      <c r="F376">
        <f t="shared" si="266"/>
        <v>8.1099767602817115E-5</v>
      </c>
      <c r="G376">
        <f t="shared" si="267"/>
        <v>1.8379173520070519E-3</v>
      </c>
      <c r="H376">
        <f t="shared" si="268"/>
        <v>-3.1397547326479933</v>
      </c>
      <c r="J376">
        <f t="shared" si="269"/>
        <v>15</v>
      </c>
      <c r="M376">
        <f t="shared" si="270"/>
        <v>1.5441310220088971E-3</v>
      </c>
      <c r="N376">
        <f t="shared" si="271"/>
        <v>-1.5707963250000001</v>
      </c>
      <c r="O376">
        <f t="shared" si="272"/>
        <v>159.07171807407968</v>
      </c>
      <c r="P376">
        <f t="shared" si="273"/>
        <v>1.5645098127693522</v>
      </c>
      <c r="Q376">
        <f t="shared" si="274"/>
        <v>138.27189447776516</v>
      </c>
      <c r="R376">
        <f t="shared" si="275"/>
        <v>1.5635641360358083</v>
      </c>
      <c r="S376">
        <f t="shared" si="276"/>
        <v>0.24785985140327521</v>
      </c>
      <c r="T376">
        <f t="shared" si="277"/>
        <v>-1.3203257790499647</v>
      </c>
      <c r="U376">
        <f t="shared" si="278"/>
        <v>0.24482690356651507</v>
      </c>
      <c r="V376">
        <f t="shared" si="279"/>
        <v>-1.3234551679480246</v>
      </c>
      <c r="X376">
        <f t="shared" si="296"/>
        <v>-51.973254873913518</v>
      </c>
      <c r="Y376">
        <f t="shared" si="280"/>
        <v>-236.45023439709919</v>
      </c>
      <c r="Z376">
        <f t="shared" si="297"/>
        <v>-56.450234397099194</v>
      </c>
      <c r="AC376">
        <v>1</v>
      </c>
      <c r="AD376">
        <f t="shared" si="281"/>
        <v>159.06857480671502</v>
      </c>
      <c r="AE376">
        <f t="shared" si="282"/>
        <v>-9.7147252565181197E-2</v>
      </c>
      <c r="AF376">
        <f t="shared" si="283"/>
        <v>2.4530812048259999E-2</v>
      </c>
      <c r="AG376">
        <f t="shared" si="315"/>
        <v>379.00205475005544</v>
      </c>
      <c r="AH376">
        <f t="shared" si="316"/>
        <v>-1541.6941054019783</v>
      </c>
      <c r="AJ376">
        <f t="shared" si="284"/>
        <v>26400</v>
      </c>
      <c r="AK376">
        <f t="shared" si="285"/>
        <v>103188.1992615936</v>
      </c>
      <c r="AL376">
        <v>1</v>
      </c>
      <c r="AM376">
        <f t="shared" si="286"/>
        <v>138.268278366624</v>
      </c>
      <c r="AN376">
        <f t="shared" si="317"/>
        <v>747.63153587752925</v>
      </c>
      <c r="AO376">
        <f t="shared" si="318"/>
        <v>-185.52605678725649</v>
      </c>
      <c r="AQ376">
        <f t="shared" si="287"/>
        <v>3.8103933049865473E-3</v>
      </c>
      <c r="AR376">
        <f t="shared" si="288"/>
        <v>-6.1728371540782065</v>
      </c>
      <c r="AT376">
        <f t="shared" si="313"/>
        <v>-9515.1825071566982</v>
      </c>
      <c r="AU376">
        <f t="shared" si="314"/>
        <v>-2345.3924259306855</v>
      </c>
      <c r="AV376">
        <f t="shared" si="302"/>
        <v>-2.8999207248962513</v>
      </c>
      <c r="AW376">
        <f t="shared" si="303"/>
        <v>-17.408862968175029</v>
      </c>
      <c r="AX376">
        <f t="shared" si="304"/>
        <v>-7107.2684920386964</v>
      </c>
      <c r="AY376">
        <f t="shared" si="312"/>
        <v>-1.5732457668535278</v>
      </c>
      <c r="BA376">
        <f t="shared" si="289"/>
        <v>1.378862829778511</v>
      </c>
      <c r="BB376">
        <f t="shared" si="305"/>
        <v>2.7904212882258999</v>
      </c>
      <c r="BC376">
        <f t="shared" si="306"/>
        <v>-1.3266749580427235</v>
      </c>
      <c r="BD376">
        <f t="shared" si="290"/>
        <v>-256.01287596840098</v>
      </c>
      <c r="BF376">
        <f t="shared" si="291"/>
        <v>-55.464360745500151</v>
      </c>
      <c r="BG376">
        <f t="shared" si="292"/>
        <v>-250.2110554484793</v>
      </c>
      <c r="BH376">
        <f t="shared" si="307"/>
        <v>-70.2110554484793</v>
      </c>
      <c r="BI376">
        <f t="shared" si="308"/>
        <v>-70.2110554484793</v>
      </c>
      <c r="BJ376">
        <f t="shared" si="293"/>
        <v>0</v>
      </c>
      <c r="BK376">
        <f t="shared" si="309"/>
        <v>0</v>
      </c>
      <c r="BM376">
        <f t="shared" si="310"/>
        <v>-58.254782033726052</v>
      </c>
      <c r="BN376">
        <f t="shared" si="294"/>
        <v>-174.19817948007832</v>
      </c>
      <c r="BQ376" s="56">
        <f t="shared" si="311"/>
        <v>19.692382088511035</v>
      </c>
      <c r="BR376" s="59"/>
      <c r="BS376" s="59"/>
      <c r="BT376" s="59">
        <v>457088.19</v>
      </c>
      <c r="BU376" s="59">
        <v>13.3674</v>
      </c>
      <c r="BV376" s="59">
        <v>-226.50200000000001</v>
      </c>
      <c r="BW376" s="61"/>
      <c r="BY376" s="59"/>
      <c r="BZ376" s="59"/>
      <c r="CA376" s="59"/>
      <c r="CC376" s="59"/>
    </row>
    <row r="377" spans="1:81" x14ac:dyDescent="0.2">
      <c r="A377">
        <f t="shared" si="319"/>
        <v>815000</v>
      </c>
      <c r="B377">
        <f t="shared" si="295"/>
        <v>815</v>
      </c>
      <c r="C377">
        <f t="shared" si="264"/>
        <v>1.0050242064386594</v>
      </c>
      <c r="D377">
        <f t="shared" si="265"/>
        <v>0.10003260158732874</v>
      </c>
      <c r="F377">
        <f t="shared" si="266"/>
        <v>8.0107652991011195E-5</v>
      </c>
      <c r="G377">
        <f t="shared" si="267"/>
        <v>1.8266399974710154E-3</v>
      </c>
      <c r="H377">
        <f t="shared" si="268"/>
        <v>-3.1397660100025293</v>
      </c>
      <c r="J377">
        <f t="shared" si="269"/>
        <v>15</v>
      </c>
      <c r="M377">
        <f t="shared" si="270"/>
        <v>1.5346578255548548E-3</v>
      </c>
      <c r="N377">
        <f t="shared" si="271"/>
        <v>-1.5707963250000001</v>
      </c>
      <c r="O377">
        <f t="shared" si="272"/>
        <v>160.05360357336588</v>
      </c>
      <c r="P377">
        <f t="shared" si="273"/>
        <v>1.5645483793332671</v>
      </c>
      <c r="Q377">
        <f t="shared" si="274"/>
        <v>139.1253801847611</v>
      </c>
      <c r="R377">
        <f t="shared" si="275"/>
        <v>1.5636085037713487</v>
      </c>
      <c r="S377">
        <f t="shared" si="276"/>
        <v>0.24643185118419539</v>
      </c>
      <c r="T377">
        <f t="shared" si="277"/>
        <v>-1.3217994966625999</v>
      </c>
      <c r="U377">
        <f t="shared" si="278"/>
        <v>0.24341415083094237</v>
      </c>
      <c r="V377">
        <f t="shared" si="279"/>
        <v>-1.3249119973537951</v>
      </c>
      <c r="X377">
        <f t="shared" si="296"/>
        <v>-52.126643405110627</v>
      </c>
      <c r="Y377">
        <f t="shared" si="280"/>
        <v>-236.57910645380971</v>
      </c>
      <c r="Z377">
        <f t="shared" si="297"/>
        <v>-56.579106453809715</v>
      </c>
      <c r="AC377">
        <v>1</v>
      </c>
      <c r="AD377">
        <f t="shared" si="281"/>
        <v>160.0504795894725</v>
      </c>
      <c r="AE377">
        <f t="shared" si="282"/>
        <v>-9.8350303056100416E-2</v>
      </c>
      <c r="AF377">
        <f t="shared" si="283"/>
        <v>2.4682236813989997E-2</v>
      </c>
      <c r="AG377">
        <f t="shared" si="315"/>
        <v>374.64067667061312</v>
      </c>
      <c r="AH377">
        <f t="shared" si="316"/>
        <v>-1533.3304016533075</v>
      </c>
      <c r="AJ377">
        <f t="shared" si="284"/>
        <v>26400</v>
      </c>
      <c r="AK377">
        <f t="shared" si="285"/>
        <v>103825.16345456641</v>
      </c>
      <c r="AL377">
        <v>1</v>
      </c>
      <c r="AM377">
        <f t="shared" si="286"/>
        <v>139.12178625777602</v>
      </c>
      <c r="AN377">
        <f t="shared" si="317"/>
        <v>747.61512362944632</v>
      </c>
      <c r="AO377">
        <f t="shared" si="318"/>
        <v>-184.38797809021622</v>
      </c>
      <c r="AQ377">
        <f t="shared" si="287"/>
        <v>3.7637834454501691E-3</v>
      </c>
      <c r="AR377">
        <f t="shared" si="288"/>
        <v>-6.1349670160837757</v>
      </c>
      <c r="AT377">
        <f t="shared" si="313"/>
        <v>-9405.5213725246831</v>
      </c>
      <c r="AU377">
        <f t="shared" si="314"/>
        <v>-2304.1793178396661</v>
      </c>
      <c r="AV377">
        <f t="shared" si="302"/>
        <v>-2.9013427747547746</v>
      </c>
      <c r="AW377">
        <f t="shared" si="303"/>
        <v>-7.7949124570308648</v>
      </c>
      <c r="AX377">
        <f t="shared" si="304"/>
        <v>-7064.6441470290911</v>
      </c>
      <c r="AY377">
        <f t="shared" si="312"/>
        <v>-1.5718996957872431</v>
      </c>
      <c r="BA377">
        <f t="shared" si="289"/>
        <v>1.3707192838395379</v>
      </c>
      <c r="BB377">
        <f t="shared" si="305"/>
        <v>2.7389704530150523</v>
      </c>
      <c r="BC377">
        <f t="shared" si="306"/>
        <v>-1.3294430789675316</v>
      </c>
      <c r="BD377">
        <f t="shared" si="290"/>
        <v>-256.17147761475559</v>
      </c>
      <c r="BF377">
        <f t="shared" si="291"/>
        <v>-55.62219376720801</v>
      </c>
      <c r="BG377">
        <f t="shared" si="292"/>
        <v>-250.33537296087437</v>
      </c>
      <c r="BH377">
        <f t="shared" si="307"/>
        <v>-70.335372960874366</v>
      </c>
      <c r="BI377">
        <f t="shared" si="308"/>
        <v>-70.335372960874366</v>
      </c>
      <c r="BJ377">
        <f t="shared" si="293"/>
        <v>0</v>
      </c>
      <c r="BK377">
        <f t="shared" si="309"/>
        <v>0</v>
      </c>
      <c r="BM377">
        <f t="shared" si="310"/>
        <v>-58.361164220223067</v>
      </c>
      <c r="BN377">
        <f t="shared" si="294"/>
        <v>-174.16389534611881</v>
      </c>
      <c r="BQ377" s="56">
        <f t="shared" si="311"/>
        <v>19.640931253300188</v>
      </c>
      <c r="BR377" s="59"/>
      <c r="BS377" s="59"/>
      <c r="BT377" s="59">
        <v>467735.141</v>
      </c>
      <c r="BU377" s="59">
        <v>13.1959</v>
      </c>
      <c r="BV377" s="59">
        <v>131.81700000000001</v>
      </c>
      <c r="BY377" s="59"/>
      <c r="BZ377" s="59"/>
      <c r="CA377" s="59"/>
      <c r="CC377" s="59"/>
    </row>
    <row r="378" spans="1:81" x14ac:dyDescent="0.2">
      <c r="A378">
        <f t="shared" si="319"/>
        <v>820000</v>
      </c>
      <c r="B378">
        <f t="shared" si="295"/>
        <v>820</v>
      </c>
      <c r="C378">
        <f t="shared" si="264"/>
        <v>1.0050858857897109</v>
      </c>
      <c r="D378">
        <f t="shared" si="265"/>
        <v>0.10064217536162581</v>
      </c>
      <c r="F378">
        <f t="shared" si="266"/>
        <v>7.9133633305975684E-5</v>
      </c>
      <c r="G378">
        <f t="shared" si="267"/>
        <v>1.8155002040601029E-3</v>
      </c>
      <c r="H378">
        <f t="shared" si="268"/>
        <v>-3.1397771497959401</v>
      </c>
      <c r="J378">
        <f t="shared" si="269"/>
        <v>15</v>
      </c>
      <c r="M378">
        <f t="shared" si="270"/>
        <v>1.5253001558868376E-3</v>
      </c>
      <c r="N378">
        <f t="shared" si="271"/>
        <v>-1.5707963250000001</v>
      </c>
      <c r="O378">
        <f t="shared" si="272"/>
        <v>161.03548930780951</v>
      </c>
      <c r="P378">
        <f t="shared" si="273"/>
        <v>1.5645864755914798</v>
      </c>
      <c r="Q378">
        <f t="shared" si="274"/>
        <v>139.9788661622851</v>
      </c>
      <c r="R378">
        <f t="shared" si="275"/>
        <v>1.5636523304647276</v>
      </c>
      <c r="S378">
        <f t="shared" si="276"/>
        <v>0.24501968801150611</v>
      </c>
      <c r="T378">
        <f t="shared" si="277"/>
        <v>-1.3232563273055713</v>
      </c>
      <c r="U378">
        <f t="shared" si="278"/>
        <v>0.24201710405251003</v>
      </c>
      <c r="V378">
        <f t="shared" si="279"/>
        <v>-1.3263521071860915</v>
      </c>
      <c r="X378">
        <f t="shared" si="296"/>
        <v>-52.279160694646336</v>
      </c>
      <c r="Y378">
        <f t="shared" si="280"/>
        <v>-236.7061073358949</v>
      </c>
      <c r="Z378">
        <f t="shared" si="297"/>
        <v>-56.706107335894899</v>
      </c>
      <c r="AC378">
        <v>1</v>
      </c>
      <c r="AD378">
        <f t="shared" si="281"/>
        <v>161.03238437222998</v>
      </c>
      <c r="AE378">
        <f t="shared" si="282"/>
        <v>-9.9560756934656075E-2</v>
      </c>
      <c r="AF378">
        <f t="shared" si="283"/>
        <v>2.4833661579720001E-2</v>
      </c>
      <c r="AG378">
        <f t="shared" si="315"/>
        <v>370.35260566490115</v>
      </c>
      <c r="AH378">
        <f t="shared" si="316"/>
        <v>-1525.0504091449718</v>
      </c>
      <c r="AJ378">
        <f t="shared" si="284"/>
        <v>26400</v>
      </c>
      <c r="AK378">
        <f t="shared" si="285"/>
        <v>104462.12764753921</v>
      </c>
      <c r="AL378">
        <v>1</v>
      </c>
      <c r="AM378">
        <f t="shared" si="286"/>
        <v>139.97529414892801</v>
      </c>
      <c r="AN378">
        <f t="shared" si="317"/>
        <v>747.59901066872771</v>
      </c>
      <c r="AO378">
        <f t="shared" si="318"/>
        <v>-183.26377626353235</v>
      </c>
      <c r="AQ378">
        <f t="shared" si="287"/>
        <v>3.7180236027574351E-3</v>
      </c>
      <c r="AR378">
        <f t="shared" si="288"/>
        <v>-6.0975587085221932</v>
      </c>
      <c r="AT378">
        <f t="shared" si="313"/>
        <v>-9297.7074234880529</v>
      </c>
      <c r="AU378">
        <f t="shared" si="314"/>
        <v>-2263.9169293124996</v>
      </c>
      <c r="AV378">
        <f t="shared" si="302"/>
        <v>-2.9027485291624133</v>
      </c>
      <c r="AW378">
        <f t="shared" si="303"/>
        <v>1.637537576774466</v>
      </c>
      <c r="AX378">
        <f t="shared" si="304"/>
        <v>-7022.5234187898022</v>
      </c>
      <c r="AY378">
        <f t="shared" si="312"/>
        <v>-1.5705631431585541</v>
      </c>
      <c r="BA378">
        <f t="shared" si="289"/>
        <v>1.3626670729787529</v>
      </c>
      <c r="BB378">
        <f t="shared" si="305"/>
        <v>2.6877952380479595</v>
      </c>
      <c r="BC378">
        <f t="shared" si="306"/>
        <v>-1.3321853860038593</v>
      </c>
      <c r="BD378">
        <f t="shared" si="290"/>
        <v>-256.32860023424576</v>
      </c>
      <c r="BF378">
        <f t="shared" si="291"/>
        <v>-55.77909397062021</v>
      </c>
      <c r="BG378">
        <f t="shared" si="292"/>
        <v>-250.45820783890335</v>
      </c>
      <c r="BH378">
        <f t="shared" si="307"/>
        <v>-70.458207838903348</v>
      </c>
      <c r="BI378">
        <f t="shared" si="308"/>
        <v>-70.458207838903348</v>
      </c>
      <c r="BJ378">
        <f t="shared" si="293"/>
        <v>0</v>
      </c>
      <c r="BK378">
        <f t="shared" si="309"/>
        <v>0</v>
      </c>
      <c r="BM378">
        <f t="shared" si="310"/>
        <v>-58.466889208668171</v>
      </c>
      <c r="BN378">
        <f t="shared" si="294"/>
        <v>-174.12960760465765</v>
      </c>
      <c r="BQ378" s="56">
        <f t="shared" si="311"/>
        <v>19.589756038333096</v>
      </c>
      <c r="BR378" s="59"/>
      <c r="BS378" s="59"/>
      <c r="BT378" s="59">
        <v>478630.092</v>
      </c>
      <c r="BU378" s="59">
        <v>13.0069</v>
      </c>
      <c r="BV378" s="59">
        <v>129.95699999999999</v>
      </c>
      <c r="BY378" s="59"/>
      <c r="BZ378" s="59"/>
      <c r="CA378" s="59"/>
      <c r="CC378" s="59"/>
    </row>
    <row r="379" spans="1:81" x14ac:dyDescent="0.2">
      <c r="A379">
        <f t="shared" si="319"/>
        <v>825000</v>
      </c>
      <c r="B379">
        <f t="shared" si="295"/>
        <v>825</v>
      </c>
      <c r="C379">
        <f t="shared" si="264"/>
        <v>1.0051479385648472</v>
      </c>
      <c r="D379">
        <f t="shared" si="265"/>
        <v>0.10125167409834324</v>
      </c>
      <c r="F379">
        <f t="shared" si="266"/>
        <v>7.8177271158654795E-5</v>
      </c>
      <c r="G379">
        <f t="shared" si="267"/>
        <v>1.8044954698842549E-3</v>
      </c>
      <c r="H379">
        <f t="shared" si="268"/>
        <v>-3.1397881545301161</v>
      </c>
      <c r="J379">
        <f t="shared" si="269"/>
        <v>15</v>
      </c>
      <c r="M379">
        <f t="shared" si="270"/>
        <v>1.5160559125178262E-3</v>
      </c>
      <c r="N379">
        <f t="shared" si="271"/>
        <v>-1.5707963250000001</v>
      </c>
      <c r="O379">
        <f t="shared" si="272"/>
        <v>162.01737527313514</v>
      </c>
      <c r="P379">
        <f t="shared" si="273"/>
        <v>1.564624110094565</v>
      </c>
      <c r="Q379">
        <f t="shared" si="274"/>
        <v>140.8323524054187</v>
      </c>
      <c r="R379">
        <f t="shared" si="275"/>
        <v>1.5636956259524077</v>
      </c>
      <c r="S379">
        <f t="shared" si="276"/>
        <v>0.24362310900792913</v>
      </c>
      <c r="T379">
        <f t="shared" si="277"/>
        <v>-1.3246965535019324</v>
      </c>
      <c r="U379">
        <f t="shared" si="278"/>
        <v>0.24063551158450316</v>
      </c>
      <c r="V379">
        <f t="shared" si="279"/>
        <v>-1.3277757777587778</v>
      </c>
      <c r="X379">
        <f t="shared" si="296"/>
        <v>-52.430816076695962</v>
      </c>
      <c r="Y379">
        <f t="shared" si="280"/>
        <v>-236.83126840654904</v>
      </c>
      <c r="Z379">
        <f t="shared" si="297"/>
        <v>-56.831268406549043</v>
      </c>
      <c r="AC379">
        <v>1</v>
      </c>
      <c r="AD379">
        <f t="shared" si="281"/>
        <v>162.01428915498749</v>
      </c>
      <c r="AE379">
        <f t="shared" si="282"/>
        <v>-0.10077861420084815</v>
      </c>
      <c r="AF379">
        <f t="shared" si="283"/>
        <v>2.4985086345450002E-2</v>
      </c>
      <c r="AG379">
        <f t="shared" si="315"/>
        <v>366.13624351793254</v>
      </c>
      <c r="AH379">
        <f t="shared" si="316"/>
        <v>-1516.8530020847093</v>
      </c>
      <c r="AJ379">
        <f t="shared" si="284"/>
        <v>26400</v>
      </c>
      <c r="AK379">
        <f t="shared" si="285"/>
        <v>105099.09184051202</v>
      </c>
      <c r="AL379">
        <v>1</v>
      </c>
      <c r="AM379">
        <f t="shared" si="286"/>
        <v>140.82880204008003</v>
      </c>
      <c r="AN379">
        <f t="shared" si="317"/>
        <v>747.58318976256498</v>
      </c>
      <c r="AO379">
        <f t="shared" si="318"/>
        <v>-182.15319905182983</v>
      </c>
      <c r="AQ379">
        <f t="shared" si="287"/>
        <v>3.6730932330236057E-3</v>
      </c>
      <c r="AR379">
        <f t="shared" si="288"/>
        <v>-6.0606038344889495</v>
      </c>
      <c r="AT379">
        <f t="shared" si="313"/>
        <v>-9191.7002682322327</v>
      </c>
      <c r="AU379">
        <f t="shared" si="314"/>
        <v>-2224.5782639076106</v>
      </c>
      <c r="AV379">
        <f t="shared" si="302"/>
        <v>-2.9041382607221493</v>
      </c>
      <c r="AW379">
        <f t="shared" si="303"/>
        <v>10.893045645311338</v>
      </c>
      <c r="AX379">
        <f t="shared" si="304"/>
        <v>-6980.8974968844686</v>
      </c>
      <c r="AY379">
        <f t="shared" si="312"/>
        <v>-1.5692359204418269</v>
      </c>
      <c r="BA379">
        <f t="shared" si="289"/>
        <v>1.3547047141587778</v>
      </c>
      <c r="BB379">
        <f t="shared" si="305"/>
        <v>2.6368928416727169</v>
      </c>
      <c r="BC379">
        <f t="shared" si="306"/>
        <v>-1.3349023402803224</v>
      </c>
      <c r="BD379">
        <f t="shared" si="290"/>
        <v>-256.48427024759496</v>
      </c>
      <c r="BF379">
        <f t="shared" si="291"/>
        <v>-55.935072111896645</v>
      </c>
      <c r="BG379">
        <f t="shared" si="292"/>
        <v>-250.57958667180387</v>
      </c>
      <c r="BH379">
        <f t="shared" si="307"/>
        <v>-70.579586671803867</v>
      </c>
      <c r="BI379">
        <f t="shared" si="308"/>
        <v>-70.579586671803867</v>
      </c>
      <c r="BJ379">
        <f t="shared" si="293"/>
        <v>0</v>
      </c>
      <c r="BK379">
        <f t="shared" si="309"/>
        <v>0</v>
      </c>
      <c r="BM379">
        <f t="shared" si="310"/>
        <v>-58.571964953569363</v>
      </c>
      <c r="BN379">
        <f t="shared" si="294"/>
        <v>-174.09531642420893</v>
      </c>
      <c r="BQ379" s="56">
        <f t="shared" si="311"/>
        <v>19.538853641957854</v>
      </c>
      <c r="BR379" s="59"/>
      <c r="BS379" s="59"/>
      <c r="BT379" s="59">
        <v>489778.81900000002</v>
      </c>
      <c r="BU379" s="59">
        <v>12.7394</v>
      </c>
      <c r="BV379" s="59">
        <v>126.41800000000001</v>
      </c>
      <c r="BY379" s="59"/>
      <c r="BZ379" s="59"/>
      <c r="CA379" s="59"/>
      <c r="CC379" s="59"/>
    </row>
    <row r="380" spans="1:81" x14ac:dyDescent="0.2">
      <c r="A380">
        <f t="shared" si="319"/>
        <v>830000</v>
      </c>
      <c r="B380">
        <f t="shared" si="295"/>
        <v>830</v>
      </c>
      <c r="C380">
        <f t="shared" si="264"/>
        <v>1.0052103646949129</v>
      </c>
      <c r="D380">
        <f t="shared" si="265"/>
        <v>0.10186109735857583</v>
      </c>
      <c r="F380">
        <f t="shared" si="266"/>
        <v>7.7238142296564825E-5</v>
      </c>
      <c r="G380">
        <f t="shared" si="267"/>
        <v>1.7936233533631658E-3</v>
      </c>
      <c r="H380">
        <f t="shared" si="268"/>
        <v>-3.1397990266466369</v>
      </c>
      <c r="J380">
        <f t="shared" si="269"/>
        <v>15</v>
      </c>
      <c r="M380">
        <f t="shared" si="270"/>
        <v>1.5069230455749478E-3</v>
      </c>
      <c r="N380">
        <f t="shared" si="271"/>
        <v>-1.5707963250000001</v>
      </c>
      <c r="O380">
        <f t="shared" si="272"/>
        <v>162.99926146517043</v>
      </c>
      <c r="P380">
        <f t="shared" si="273"/>
        <v>1.5646612911870725</v>
      </c>
      <c r="Q380">
        <f t="shared" si="274"/>
        <v>141.68583890936202</v>
      </c>
      <c r="R380">
        <f t="shared" si="275"/>
        <v>1.5637383998338488</v>
      </c>
      <c r="S380">
        <f t="shared" si="276"/>
        <v>0.24224186643633505</v>
      </c>
      <c r="T380">
        <f t="shared" si="277"/>
        <v>-1.3261204516466454</v>
      </c>
      <c r="U380">
        <f t="shared" si="278"/>
        <v>0.23926912691982441</v>
      </c>
      <c r="V380">
        <f t="shared" si="279"/>
        <v>-1.3291832832889485</v>
      </c>
      <c r="X380">
        <f t="shared" si="296"/>
        <v>-52.581618742611376</v>
      </c>
      <c r="Y380">
        <f t="shared" si="280"/>
        <v>-236.95462035044289</v>
      </c>
      <c r="Z380">
        <f t="shared" si="297"/>
        <v>-56.954620350442895</v>
      </c>
      <c r="AC380">
        <v>1</v>
      </c>
      <c r="AD380">
        <f t="shared" si="281"/>
        <v>162.99619393774501</v>
      </c>
      <c r="AE380">
        <f t="shared" si="282"/>
        <v>-0.10200387485467664</v>
      </c>
      <c r="AF380">
        <f t="shared" si="283"/>
        <v>2.5136511111180003E-2</v>
      </c>
      <c r="AG380">
        <f t="shared" si="315"/>
        <v>361.99003431298479</v>
      </c>
      <c r="AH380">
        <f t="shared" si="316"/>
        <v>-1508.737071384347</v>
      </c>
      <c r="AJ380">
        <f t="shared" si="284"/>
        <v>26400</v>
      </c>
      <c r="AK380">
        <f t="shared" si="285"/>
        <v>105736.05603348481</v>
      </c>
      <c r="AL380">
        <v>1</v>
      </c>
      <c r="AM380">
        <f t="shared" si="286"/>
        <v>141.68230993123203</v>
      </c>
      <c r="AN380">
        <f t="shared" si="317"/>
        <v>747.56765389532529</v>
      </c>
      <c r="AO380">
        <f t="shared" si="318"/>
        <v>-181.0560002766438</v>
      </c>
      <c r="AQ380">
        <f t="shared" si="287"/>
        <v>3.6289724092856694E-3</v>
      </c>
      <c r="AR380">
        <f t="shared" si="288"/>
        <v>-6.0240941994142112</v>
      </c>
      <c r="AT380">
        <f t="shared" si="313"/>
        <v>-9087.4605883206714</v>
      </c>
      <c r="AU380">
        <f t="shared" si="314"/>
        <v>-2186.1372311555233</v>
      </c>
      <c r="AV380">
        <f t="shared" si="302"/>
        <v>-2.9055122361259862</v>
      </c>
      <c r="AW380">
        <f t="shared" si="303"/>
        <v>19.976027732015048</v>
      </c>
      <c r="AX380">
        <f t="shared" si="304"/>
        <v>-6939.7577742363101</v>
      </c>
      <c r="AY380">
        <f t="shared" si="312"/>
        <v>-1.5679178441143333</v>
      </c>
      <c r="BA380">
        <f t="shared" si="289"/>
        <v>1.3468307548355862</v>
      </c>
      <c r="BB380">
        <f t="shared" si="305"/>
        <v>2.5862604985872268</v>
      </c>
      <c r="BC380">
        <f t="shared" si="306"/>
        <v>-1.3375943920116529</v>
      </c>
      <c r="BD380">
        <f t="shared" si="290"/>
        <v>-256.63851345020731</v>
      </c>
      <c r="BF380">
        <f t="shared" si="291"/>
        <v>-56.090138766639079</v>
      </c>
      <c r="BG380">
        <f t="shared" si="292"/>
        <v>-250.69953542001963</v>
      </c>
      <c r="BH380">
        <f t="shared" si="307"/>
        <v>-70.699535420019629</v>
      </c>
      <c r="BI380">
        <f t="shared" si="308"/>
        <v>-70.699535420019629</v>
      </c>
      <c r="BJ380">
        <f t="shared" si="293"/>
        <v>0</v>
      </c>
      <c r="BK380">
        <f t="shared" si="309"/>
        <v>0</v>
      </c>
      <c r="BM380">
        <f t="shared" si="310"/>
        <v>-58.676399265226294</v>
      </c>
      <c r="BN380">
        <f t="shared" si="294"/>
        <v>-174.06102196981232</v>
      </c>
      <c r="BQ380" s="56">
        <f t="shared" si="311"/>
        <v>19.488221298872364</v>
      </c>
      <c r="BR380" s="59"/>
      <c r="BS380" s="59"/>
      <c r="BT380" s="59">
        <v>501187.234</v>
      </c>
      <c r="BU380" s="59">
        <v>12.4757</v>
      </c>
      <c r="BV380" s="59">
        <v>125.40900000000001</v>
      </c>
      <c r="BY380" s="59"/>
      <c r="BZ380" s="59"/>
      <c r="CA380" s="59"/>
      <c r="CC380" s="59"/>
    </row>
    <row r="381" spans="1:81" x14ac:dyDescent="0.2">
      <c r="A381">
        <f t="shared" si="319"/>
        <v>835000</v>
      </c>
      <c r="B381">
        <f t="shared" si="295"/>
        <v>835</v>
      </c>
      <c r="C381">
        <f t="shared" si="264"/>
        <v>1.0052731641103532</v>
      </c>
      <c r="D381">
        <f t="shared" si="265"/>
        <v>0.1024704447037513</v>
      </c>
      <c r="F381">
        <f t="shared" si="266"/>
        <v>7.6315835133157185E-5</v>
      </c>
      <c r="G381">
        <f t="shared" si="267"/>
        <v>1.7828814714197752E-3</v>
      </c>
      <c r="H381">
        <f t="shared" si="268"/>
        <v>-3.1398097685285804</v>
      </c>
      <c r="J381">
        <f t="shared" si="269"/>
        <v>15</v>
      </c>
      <c r="M381">
        <f t="shared" si="270"/>
        <v>1.49789955428408E-3</v>
      </c>
      <c r="N381">
        <f t="shared" si="271"/>
        <v>-1.5707963250000001</v>
      </c>
      <c r="O381">
        <f t="shared" si="272"/>
        <v>163.98114787984278</v>
      </c>
      <c r="P381">
        <f t="shared" si="273"/>
        <v>1.5646980270136945</v>
      </c>
      <c r="Q381">
        <f t="shared" si="274"/>
        <v>142.53932566943007</v>
      </c>
      <c r="R381">
        <f t="shared" si="275"/>
        <v>1.5637806614786018</v>
      </c>
      <c r="S381">
        <f t="shared" si="276"/>
        <v>0.24087571757624177</v>
      </c>
      <c r="T381">
        <f t="shared" si="277"/>
        <v>-1.3275282921678528</v>
      </c>
      <c r="U381">
        <f t="shared" si="278"/>
        <v>0.23791770856666541</v>
      </c>
      <c r="V381">
        <f t="shared" si="279"/>
        <v>-1.3305748920579314</v>
      </c>
      <c r="X381">
        <f t="shared" si="296"/>
        <v>-52.731577743662221</v>
      </c>
      <c r="Y381">
        <f t="shared" si="280"/>
        <v>-237.07619319153201</v>
      </c>
      <c r="Z381">
        <f t="shared" si="297"/>
        <v>-57.076193191532013</v>
      </c>
      <c r="AC381">
        <v>1</v>
      </c>
      <c r="AD381">
        <f t="shared" si="281"/>
        <v>163.97809872050252</v>
      </c>
      <c r="AE381">
        <f t="shared" si="282"/>
        <v>-0.10323653889614155</v>
      </c>
      <c r="AF381">
        <f t="shared" si="283"/>
        <v>2.528793587691E-2</v>
      </c>
      <c r="AG381">
        <f t="shared" si="315"/>
        <v>357.91246313054336</v>
      </c>
      <c r="AH381">
        <f t="shared" si="316"/>
        <v>-1500.7015244783724</v>
      </c>
      <c r="AJ381">
        <f t="shared" si="284"/>
        <v>26400</v>
      </c>
      <c r="AK381">
        <f t="shared" si="285"/>
        <v>106373.02022645762</v>
      </c>
      <c r="AL381">
        <v>1</v>
      </c>
      <c r="AM381">
        <f t="shared" si="286"/>
        <v>142.53581782238402</v>
      </c>
      <c r="AN381">
        <f t="shared" si="317"/>
        <v>747.55239626077287</v>
      </c>
      <c r="AO381">
        <f t="shared" si="318"/>
        <v>-179.97193965453033</v>
      </c>
      <c r="AQ381">
        <f t="shared" si="287"/>
        <v>3.585641799404138E-3</v>
      </c>
      <c r="AR381">
        <f t="shared" si="288"/>
        <v>-5.9880218050049105</v>
      </c>
      <c r="AT381">
        <f t="shared" si="313"/>
        <v>-8984.9501054922766</v>
      </c>
      <c r="AU381">
        <f t="shared" si="314"/>
        <v>-2148.5686116233092</v>
      </c>
      <c r="AV381">
        <f t="shared" si="302"/>
        <v>-2.9068707163103902</v>
      </c>
      <c r="AW381">
        <f t="shared" si="303"/>
        <v>28.890762608956635</v>
      </c>
      <c r="AX381">
        <f t="shared" si="304"/>
        <v>-6899.0958413057124</v>
      </c>
      <c r="AY381">
        <f t="shared" si="312"/>
        <v>-1.5666087354933798</v>
      </c>
      <c r="BA381">
        <f t="shared" si="289"/>
        <v>1.3390437722297426</v>
      </c>
      <c r="BB381">
        <f t="shared" si="305"/>
        <v>2.5358954794055748</v>
      </c>
      <c r="BC381">
        <f t="shared" si="306"/>
        <v>-1.3402619808170104</v>
      </c>
      <c r="BD381">
        <f t="shared" si="290"/>
        <v>-256.79135503040533</v>
      </c>
      <c r="BF381">
        <f t="shared" si="291"/>
        <v>-56.244304333790758</v>
      </c>
      <c r="BG381">
        <f t="shared" si="292"/>
        <v>-250.81807943354175</v>
      </c>
      <c r="BH381">
        <f t="shared" si="307"/>
        <v>-70.818079433541754</v>
      </c>
      <c r="BI381">
        <f t="shared" si="308"/>
        <v>-70.818079433541754</v>
      </c>
      <c r="BJ381">
        <f t="shared" si="293"/>
        <v>0</v>
      </c>
      <c r="BK381">
        <f t="shared" si="309"/>
        <v>0</v>
      </c>
      <c r="BM381">
        <f t="shared" si="310"/>
        <v>-58.780199813196333</v>
      </c>
      <c r="BN381">
        <f t="shared" si="294"/>
        <v>-174.02672440313648</v>
      </c>
      <c r="BQ381" s="56">
        <f t="shared" si="311"/>
        <v>19.43785627969071</v>
      </c>
      <c r="BR381" s="59"/>
      <c r="BS381" s="59"/>
      <c r="BT381" s="59">
        <v>512861.38400000002</v>
      </c>
      <c r="BU381" s="59">
        <v>12.1639</v>
      </c>
      <c r="BV381" s="59">
        <v>124.027</v>
      </c>
      <c r="BY381" s="59"/>
      <c r="BZ381" s="59"/>
      <c r="CA381" s="59"/>
      <c r="CC381" s="59"/>
    </row>
    <row r="382" spans="1:81" x14ac:dyDescent="0.2">
      <c r="A382">
        <f t="shared" si="319"/>
        <v>840000</v>
      </c>
      <c r="B382">
        <f t="shared" si="295"/>
        <v>840</v>
      </c>
      <c r="C382">
        <f t="shared" si="264"/>
        <v>1.0053363367412151</v>
      </c>
      <c r="D382">
        <f t="shared" si="265"/>
        <v>0.10307971569563219</v>
      </c>
      <c r="F382">
        <f t="shared" si="266"/>
        <v>7.5409950296736642E-5</v>
      </c>
      <c r="G382">
        <f t="shared" si="267"/>
        <v>1.7722674977383094E-3</v>
      </c>
      <c r="H382">
        <f t="shared" si="268"/>
        <v>-3.1398203825022617</v>
      </c>
      <c r="J382">
        <f t="shared" si="269"/>
        <v>15</v>
      </c>
      <c r="M382">
        <f t="shared" si="270"/>
        <v>1.4889834855085792E-3</v>
      </c>
      <c r="N382">
        <f t="shared" si="271"/>
        <v>-1.5707963250000001</v>
      </c>
      <c r="O382">
        <f t="shared" si="272"/>
        <v>164.96303451317681</v>
      </c>
      <c r="P382">
        <f t="shared" si="273"/>
        <v>1.5647343255252144</v>
      </c>
      <c r="Q382">
        <f t="shared" si="274"/>
        <v>143.39281268104938</v>
      </c>
      <c r="R382">
        <f t="shared" si="275"/>
        <v>1.5638224200331523</v>
      </c>
      <c r="S382">
        <f t="shared" si="276"/>
        <v>0.23952442460361931</v>
      </c>
      <c r="T382">
        <f t="shared" si="277"/>
        <v>-1.3289203396832205</v>
      </c>
      <c r="U382">
        <f t="shared" si="278"/>
        <v>0.23658101992754088</v>
      </c>
      <c r="V382">
        <f t="shared" si="279"/>
        <v>-1.3319508665673472</v>
      </c>
      <c r="X382">
        <f t="shared" si="296"/>
        <v>-52.880701993716279</v>
      </c>
      <c r="Y382">
        <f t="shared" si="280"/>
        <v>-237.19601631032248</v>
      </c>
      <c r="Z382">
        <f t="shared" si="297"/>
        <v>-57.196016310322477</v>
      </c>
      <c r="AC382">
        <v>1</v>
      </c>
      <c r="AD382">
        <f t="shared" si="281"/>
        <v>164.96000350326</v>
      </c>
      <c r="AE382">
        <f t="shared" si="282"/>
        <v>-0.1044766063252429</v>
      </c>
      <c r="AF382">
        <f t="shared" si="283"/>
        <v>2.5439360642640001E-2</v>
      </c>
      <c r="AG382">
        <f t="shared" si="315"/>
        <v>353.90205479227194</v>
      </c>
      <c r="AH382">
        <f t="shared" si="316"/>
        <v>-1492.7452851380262</v>
      </c>
      <c r="AJ382">
        <f t="shared" si="284"/>
        <v>26400</v>
      </c>
      <c r="AK382">
        <f t="shared" si="285"/>
        <v>107009.98441943042</v>
      </c>
      <c r="AL382">
        <v>1</v>
      </c>
      <c r="AM382">
        <f t="shared" si="286"/>
        <v>143.38932571353601</v>
      </c>
      <c r="AN382">
        <f t="shared" si="317"/>
        <v>747.53741025461431</v>
      </c>
      <c r="AO382">
        <f t="shared" si="318"/>
        <v>-178.90078262167171</v>
      </c>
      <c r="AQ382">
        <f t="shared" si="287"/>
        <v>3.5430826448828497E-3</v>
      </c>
      <c r="AR382">
        <f t="shared" si="288"/>
        <v>-5.9523788434031877</v>
      </c>
      <c r="AT382">
        <f t="shared" si="313"/>
        <v>-8884.1315496171246</v>
      </c>
      <c r="AU382">
        <f t="shared" si="314"/>
        <v>-2111.8480234954382</v>
      </c>
      <c r="AV382">
        <f t="shared" si="302"/>
        <v>-2.9082139566069869</v>
      </c>
      <c r="AW382">
        <f t="shared" si="303"/>
        <v>37.641396924297759</v>
      </c>
      <c r="AX382">
        <f t="shared" si="304"/>
        <v>-6858.9034804669991</v>
      </c>
      <c r="AY382">
        <f t="shared" si="312"/>
        <v>-1.5653084205796668</v>
      </c>
      <c r="BA382">
        <f t="shared" si="289"/>
        <v>1.3313423726162057</v>
      </c>
      <c r="BB382">
        <f t="shared" si="305"/>
        <v>2.48579509022148</v>
      </c>
      <c r="BC382">
        <f t="shared" si="306"/>
        <v>-1.3429055360273201</v>
      </c>
      <c r="BD382">
        <f t="shared" si="290"/>
        <v>-256.94281958703897</v>
      </c>
      <c r="BF382">
        <f t="shared" si="291"/>
        <v>-56.397579039435456</v>
      </c>
      <c r="BG382">
        <f t="shared" si="292"/>
        <v>-250.93524346961752</v>
      </c>
      <c r="BH382">
        <f t="shared" si="307"/>
        <v>-70.935243469617518</v>
      </c>
      <c r="BI382">
        <f t="shared" si="308"/>
        <v>-70.935243469617518</v>
      </c>
      <c r="BJ382">
        <f t="shared" si="293"/>
        <v>0</v>
      </c>
      <c r="BK382">
        <f t="shared" si="309"/>
        <v>0</v>
      </c>
      <c r="BM382">
        <f t="shared" si="310"/>
        <v>-58.883374129656929</v>
      </c>
      <c r="BN382">
        <f t="shared" si="294"/>
        <v>-173.99242388257855</v>
      </c>
      <c r="BQ382" s="56">
        <f t="shared" si="311"/>
        <v>19.387755890506618</v>
      </c>
      <c r="BR382" s="59"/>
      <c r="BS382" s="59"/>
      <c r="BT382" s="59">
        <v>524807.46</v>
      </c>
      <c r="BU382" s="59">
        <v>11.9579</v>
      </c>
      <c r="BV382" s="59">
        <v>122.795</v>
      </c>
      <c r="BY382" s="59"/>
      <c r="BZ382" s="59"/>
      <c r="CA382" s="59"/>
      <c r="CC382" s="59"/>
    </row>
    <row r="383" spans="1:81" x14ac:dyDescent="0.2">
      <c r="A383">
        <f t="shared" si="319"/>
        <v>845000</v>
      </c>
      <c r="B383">
        <f t="shared" si="295"/>
        <v>845</v>
      </c>
      <c r="C383">
        <f t="shared" si="264"/>
        <v>1.0053998825171477</v>
      </c>
      <c r="D383">
        <f t="shared" si="265"/>
        <v>0.10368890989631759</v>
      </c>
      <c r="F383">
        <f t="shared" si="266"/>
        <v>7.4520100198011534E-5</v>
      </c>
      <c r="G383">
        <f t="shared" si="267"/>
        <v>1.7617791610842048E-3</v>
      </c>
      <c r="H383">
        <f t="shared" si="268"/>
        <v>-3.139830870838916</v>
      </c>
      <c r="J383">
        <f t="shared" si="269"/>
        <v>15</v>
      </c>
      <c r="M383">
        <f t="shared" si="270"/>
        <v>1.4801729323398896E-3</v>
      </c>
      <c r="N383">
        <f t="shared" si="271"/>
        <v>-1.5707963250000001</v>
      </c>
      <c r="O383">
        <f t="shared" si="272"/>
        <v>165.94492136129099</v>
      </c>
      <c r="P383">
        <f t="shared" si="273"/>
        <v>1.5647701944842434</v>
      </c>
      <c r="Q383">
        <f t="shared" si="274"/>
        <v>144.24629993975483</v>
      </c>
      <c r="R383">
        <f t="shared" si="275"/>
        <v>1.563863684427518</v>
      </c>
      <c r="S383">
        <f t="shared" si="276"/>
        <v>0.23818775447391008</v>
      </c>
      <c r="T383">
        <f t="shared" si="277"/>
        <v>-1.3302968531515191</v>
      </c>
      <c r="U383">
        <f t="shared" si="278"/>
        <v>0.23525882918159158</v>
      </c>
      <c r="V383">
        <f t="shared" si="279"/>
        <v>-1.3333114636903973</v>
      </c>
      <c r="X383">
        <f t="shared" si="296"/>
        <v>-53.029000271860397</v>
      </c>
      <c r="Y383">
        <f t="shared" si="280"/>
        <v>-237.31411846061445</v>
      </c>
      <c r="Z383">
        <f t="shared" si="297"/>
        <v>-57.314118460614452</v>
      </c>
      <c r="AC383">
        <v>1</v>
      </c>
      <c r="AD383">
        <f t="shared" si="281"/>
        <v>165.94190828601751</v>
      </c>
      <c r="AE383">
        <f t="shared" si="282"/>
        <v>-0.10572407714198068</v>
      </c>
      <c r="AF383">
        <f t="shared" si="283"/>
        <v>2.5590785408370002E-2</v>
      </c>
      <c r="AG383">
        <f t="shared" si="315"/>
        <v>349.95737264830404</v>
      </c>
      <c r="AH383">
        <f t="shared" si="316"/>
        <v>-1484.8672932815041</v>
      </c>
      <c r="AJ383">
        <f t="shared" si="284"/>
        <v>26400</v>
      </c>
      <c r="AK383">
        <f t="shared" si="285"/>
        <v>107646.94861240321</v>
      </c>
      <c r="AL383">
        <v>1</v>
      </c>
      <c r="AM383">
        <f t="shared" si="286"/>
        <v>144.24283360468803</v>
      </c>
      <c r="AN383">
        <f t="shared" si="317"/>
        <v>747.52268946735046</v>
      </c>
      <c r="AO383">
        <f t="shared" si="318"/>
        <v>-177.84230016470585</v>
      </c>
      <c r="AQ383">
        <f t="shared" si="287"/>
        <v>3.5012767405634463E-3</v>
      </c>
      <c r="AR383">
        <f t="shared" si="288"/>
        <v>-5.9171576915522248</v>
      </c>
      <c r="AT383">
        <f t="shared" si="313"/>
        <v>-8784.9686277659421</v>
      </c>
      <c r="AU383">
        <f t="shared" si="314"/>
        <v>-2075.9518905981104</v>
      </c>
      <c r="AV383">
        <f t="shared" si="302"/>
        <v>-2.9095422068886743</v>
      </c>
      <c r="AW383">
        <f t="shared" si="303"/>
        <v>46.231950071191697</v>
      </c>
      <c r="AX383">
        <f t="shared" si="304"/>
        <v>-6819.1726605763433</v>
      </c>
      <c r="AY383">
        <f t="shared" si="312"/>
        <v>-1.5640167299066101</v>
      </c>
      <c r="BA383">
        <f t="shared" si="289"/>
        <v>1.3237251906322764</v>
      </c>
      <c r="BB383">
        <f t="shared" si="305"/>
        <v>2.435956672169636</v>
      </c>
      <c r="BC383">
        <f t="shared" si="306"/>
        <v>-1.3455254769820642</v>
      </c>
      <c r="BD383">
        <f t="shared" si="290"/>
        <v>-257.0929311464908</v>
      </c>
      <c r="BF383">
        <f t="shared" si="291"/>
        <v>-56.549972940498719</v>
      </c>
      <c r="BG383">
        <f t="shared" si="292"/>
        <v>-251.05105170985144</v>
      </c>
      <c r="BH383">
        <f t="shared" si="307"/>
        <v>-71.051051709851436</v>
      </c>
      <c r="BI383">
        <f t="shared" si="308"/>
        <v>-71.051051709851436</v>
      </c>
      <c r="BJ383">
        <f t="shared" si="293"/>
        <v>0</v>
      </c>
      <c r="BK383">
        <f t="shared" si="309"/>
        <v>0</v>
      </c>
      <c r="BM383">
        <f t="shared" si="310"/>
        <v>-58.985929612668357</v>
      </c>
      <c r="BN383">
        <f t="shared" si="294"/>
        <v>-173.95812056336067</v>
      </c>
      <c r="BQ383" s="56">
        <f t="shared" si="311"/>
        <v>19.337917472454773</v>
      </c>
      <c r="BR383" s="59"/>
      <c r="BS383" s="59"/>
      <c r="BT383" s="59">
        <v>537031.79599999997</v>
      </c>
      <c r="BU383" s="59">
        <v>11.690200000000001</v>
      </c>
      <c r="BV383" s="59">
        <v>121.76300000000001</v>
      </c>
      <c r="BY383" s="59"/>
      <c r="BZ383" s="59"/>
      <c r="CA383" s="59"/>
      <c r="CC383" s="59"/>
    </row>
    <row r="384" spans="1:81" x14ac:dyDescent="0.2">
      <c r="A384">
        <f t="shared" si="319"/>
        <v>850000</v>
      </c>
      <c r="B384">
        <f t="shared" si="295"/>
        <v>850</v>
      </c>
      <c r="C384">
        <f t="shared" si="264"/>
        <v>1.005463801367402</v>
      </c>
      <c r="D384">
        <f t="shared" si="265"/>
        <v>0.10429802686824488</v>
      </c>
      <c r="F384">
        <f t="shared" si="266"/>
        <v>7.3645908615401604E-5</v>
      </c>
      <c r="G384">
        <f t="shared" si="267"/>
        <v>1.7514142436833521E-3</v>
      </c>
      <c r="H384">
        <f t="shared" si="268"/>
        <v>-3.1398412357563168</v>
      </c>
      <c r="J384">
        <f t="shared" si="269"/>
        <v>15</v>
      </c>
      <c r="M384">
        <f t="shared" si="270"/>
        <v>1.4714660327378904E-3</v>
      </c>
      <c r="N384">
        <f t="shared" si="271"/>
        <v>-1.5707963250000001</v>
      </c>
      <c r="O384">
        <f t="shared" si="272"/>
        <v>166.92680842039528</v>
      </c>
      <c r="P384">
        <f t="shared" si="273"/>
        <v>1.5648056414707532</v>
      </c>
      <c r="Q384">
        <f t="shared" si="274"/>
        <v>145.09978744118624</v>
      </c>
      <c r="R384">
        <f t="shared" si="275"/>
        <v>1.5639044633816157</v>
      </c>
      <c r="S384">
        <f t="shared" si="276"/>
        <v>0.23686547880817338</v>
      </c>
      <c r="T384">
        <f t="shared" si="277"/>
        <v>-1.3316580860196103</v>
      </c>
      <c r="U384">
        <f t="shared" si="278"/>
        <v>0.23395090917006076</v>
      </c>
      <c r="V384">
        <f t="shared" si="279"/>
        <v>-1.3346569348185451</v>
      </c>
      <c r="X384">
        <f t="shared" si="296"/>
        <v>-53.176481224963567</v>
      </c>
      <c r="Y384">
        <f t="shared" si="280"/>
        <v>-237.43052778573772</v>
      </c>
      <c r="Z384">
        <f t="shared" si="297"/>
        <v>-57.430527785737723</v>
      </c>
      <c r="AC384">
        <v>1</v>
      </c>
      <c r="AD384">
        <f t="shared" si="281"/>
        <v>166.92381306877502</v>
      </c>
      <c r="AE384">
        <f t="shared" si="282"/>
        <v>-0.10697895134635486</v>
      </c>
      <c r="AF384">
        <f t="shared" si="283"/>
        <v>2.57422101741E-2</v>
      </c>
      <c r="AG384">
        <f t="shared" si="315"/>
        <v>346.07701740621724</v>
      </c>
      <c r="AH384">
        <f t="shared" si="316"/>
        <v>-1477.0665047808268</v>
      </c>
      <c r="AJ384">
        <f t="shared" si="284"/>
        <v>26400</v>
      </c>
      <c r="AK384">
        <f t="shared" si="285"/>
        <v>108283.91280537602</v>
      </c>
      <c r="AL384">
        <v>1</v>
      </c>
      <c r="AM384">
        <f t="shared" si="286"/>
        <v>145.09634149584002</v>
      </c>
      <c r="AN384">
        <f t="shared" si="317"/>
        <v>747.50822767742329</v>
      </c>
      <c r="AO384">
        <f t="shared" si="318"/>
        <v>-176.79626865752536</v>
      </c>
      <c r="AQ384">
        <f t="shared" si="287"/>
        <v>3.4602064151534897E-3</v>
      </c>
      <c r="AR384">
        <f t="shared" si="288"/>
        <v>-5.8823509057609327</v>
      </c>
      <c r="AT384">
        <f t="shared" si="313"/>
        <v>-8687.4259943508659</v>
      </c>
      <c r="AU384">
        <f t="shared" si="314"/>
        <v>-2040.8574117979551</v>
      </c>
      <c r="AV384">
        <f t="shared" si="302"/>
        <v>-2.9108557117113145</v>
      </c>
      <c r="AW384">
        <f t="shared" si="303"/>
        <v>54.666318848774466</v>
      </c>
      <c r="AX384">
        <f t="shared" si="304"/>
        <v>-6779.8955317233431</v>
      </c>
      <c r="AY384">
        <f t="shared" si="312"/>
        <v>-1.5627334983953622</v>
      </c>
      <c r="BA384">
        <f t="shared" si="289"/>
        <v>1.3161908886032518</v>
      </c>
      <c r="BB384">
        <f t="shared" si="305"/>
        <v>2.3863776009855671</v>
      </c>
      <c r="BC384">
        <f t="shared" si="306"/>
        <v>-1.3481222133159523</v>
      </c>
      <c r="BD384">
        <f t="shared" si="290"/>
        <v>-257.24171317910088</v>
      </c>
      <c r="BF384">
        <f t="shared" si="291"/>
        <v>-56.701495928354475</v>
      </c>
      <c r="BG384">
        <f t="shared" si="292"/>
        <v>-251.16552777672314</v>
      </c>
      <c r="BH384">
        <f t="shared" si="307"/>
        <v>-71.165527776723138</v>
      </c>
      <c r="BI384">
        <f t="shared" si="308"/>
        <v>-71.165527776723138</v>
      </c>
      <c r="BJ384">
        <f t="shared" si="293"/>
        <v>0</v>
      </c>
      <c r="BK384">
        <f t="shared" si="309"/>
        <v>0</v>
      </c>
      <c r="BM384">
        <f t="shared" si="310"/>
        <v>-59.087873529340051</v>
      </c>
      <c r="BN384">
        <f t="shared" si="294"/>
        <v>-173.92381459762228</v>
      </c>
      <c r="BQ384" s="56">
        <f t="shared" si="311"/>
        <v>19.288338401270703</v>
      </c>
      <c r="BR384" s="59"/>
      <c r="BS384" s="59"/>
      <c r="BT384" s="59">
        <v>549540.87399999995</v>
      </c>
      <c r="BU384" s="59">
        <v>11.575799999999999</v>
      </c>
      <c r="BV384" s="59">
        <v>121.762</v>
      </c>
      <c r="BY384" s="59"/>
      <c r="BZ384" s="59"/>
      <c r="CA384" s="59"/>
      <c r="CC384" s="59"/>
    </row>
    <row r="385" spans="1:81" x14ac:dyDescent="0.2">
      <c r="A385">
        <f t="shared" si="319"/>
        <v>855000</v>
      </c>
      <c r="B385">
        <f t="shared" si="295"/>
        <v>855</v>
      </c>
      <c r="C385">
        <f t="shared" si="264"/>
        <v>1.0055280932208319</v>
      </c>
      <c r="D385">
        <f t="shared" si="265"/>
        <v>0.10490706617419171</v>
      </c>
      <c r="F385">
        <f t="shared" si="266"/>
        <v>7.2787010297274717E-5</v>
      </c>
      <c r="G385">
        <f t="shared" si="267"/>
        <v>1.7411705796582454E-3</v>
      </c>
      <c r="H385">
        <f t="shared" si="268"/>
        <v>-3.1398514794203418</v>
      </c>
      <c r="J385">
        <f t="shared" si="269"/>
        <v>15</v>
      </c>
      <c r="M385">
        <f t="shared" si="270"/>
        <v>1.4628609682189552E-3</v>
      </c>
      <c r="N385">
        <f t="shared" si="271"/>
        <v>-1.5707963250000001</v>
      </c>
      <c r="O385">
        <f t="shared" si="272"/>
        <v>167.90869568678821</v>
      </c>
      <c r="P385">
        <f t="shared" si="273"/>
        <v>1.5648406738874174</v>
      </c>
      <c r="Q385">
        <f t="shared" si="274"/>
        <v>145.95327518108544</v>
      </c>
      <c r="R385">
        <f t="shared" si="275"/>
        <v>1.5639447654114034</v>
      </c>
      <c r="S385">
        <f t="shared" si="276"/>
        <v>0.23555737378226685</v>
      </c>
      <c r="T385">
        <f t="shared" si="277"/>
        <v>-1.3330042863649927</v>
      </c>
      <c r="U385">
        <f t="shared" si="278"/>
        <v>0.23265703728485596</v>
      </c>
      <c r="V385">
        <f t="shared" si="279"/>
        <v>-1.3359875260037457</v>
      </c>
      <c r="X385">
        <f t="shared" si="296"/>
        <v>-53.323153370183356</v>
      </c>
      <c r="Y385">
        <f t="shared" si="280"/>
        <v>-237.54527183430102</v>
      </c>
      <c r="Z385">
        <f t="shared" si="297"/>
        <v>-57.545271834301019</v>
      </c>
      <c r="AC385">
        <v>1</v>
      </c>
      <c r="AD385">
        <f t="shared" si="281"/>
        <v>167.9057178515325</v>
      </c>
      <c r="AE385">
        <f t="shared" si="282"/>
        <v>-0.10824122893836546</v>
      </c>
      <c r="AF385">
        <f t="shared" si="283"/>
        <v>2.5893634939830001E-2</v>
      </c>
      <c r="AG385">
        <f t="shared" si="315"/>
        <v>342.25962600012127</v>
      </c>
      <c r="AH385">
        <f t="shared" si="316"/>
        <v>-1469.3418912658949</v>
      </c>
      <c r="AJ385">
        <f t="shared" si="284"/>
        <v>26400</v>
      </c>
      <c r="AK385">
        <f t="shared" si="285"/>
        <v>108920.8769983488</v>
      </c>
      <c r="AL385">
        <v>1</v>
      </c>
      <c r="AM385">
        <f t="shared" si="286"/>
        <v>145.94984938699201</v>
      </c>
      <c r="AN385">
        <f t="shared" si="317"/>
        <v>747.4940188446401</v>
      </c>
      <c r="AO385">
        <f t="shared" si="318"/>
        <v>-175.76246970380001</v>
      </c>
      <c r="AQ385">
        <f t="shared" si="287"/>
        <v>3.4198545125493271E-3</v>
      </c>
      <c r="AR385">
        <f t="shared" si="288"/>
        <v>-5.8479512164593492</v>
      </c>
      <c r="AT385">
        <f t="shared" si="313"/>
        <v>-8591.4692222966314</v>
      </c>
      <c r="AU385">
        <f t="shared" si="314"/>
        <v>-2006.5425317096544</v>
      </c>
      <c r="AV385">
        <f t="shared" si="302"/>
        <v>-2.9121547104511478</v>
      </c>
      <c r="AW385">
        <f t="shared" si="303"/>
        <v>62.948281925316692</v>
      </c>
      <c r="AX385">
        <f t="shared" si="304"/>
        <v>-6741.0644201589548</v>
      </c>
      <c r="AY385">
        <f t="shared" si="312"/>
        <v>-1.5614585652152877</v>
      </c>
      <c r="BA385">
        <f t="shared" si="289"/>
        <v>1.3087381558853757</v>
      </c>
      <c r="BB385">
        <f t="shared" si="305"/>
        <v>2.337055286564715</v>
      </c>
      <c r="BC385">
        <f t="shared" si="306"/>
        <v>-1.3506961452358601</v>
      </c>
      <c r="BD385">
        <f t="shared" si="290"/>
        <v>-257.38918861503407</v>
      </c>
      <c r="BF385">
        <f t="shared" si="291"/>
        <v>-56.852157732339357</v>
      </c>
      <c r="BG385">
        <f t="shared" si="292"/>
        <v>-251.27869474954423</v>
      </c>
      <c r="BH385">
        <f t="shared" si="307"/>
        <v>-71.278694749544229</v>
      </c>
      <c r="BI385">
        <f t="shared" si="308"/>
        <v>-71.278694749544229</v>
      </c>
      <c r="BJ385">
        <f t="shared" si="293"/>
        <v>0</v>
      </c>
      <c r="BK385">
        <f t="shared" si="309"/>
        <v>0</v>
      </c>
      <c r="BM385">
        <f t="shared" si="310"/>
        <v>-59.18921301890407</v>
      </c>
      <c r="BN385">
        <f t="shared" si="294"/>
        <v>-173.88950613451013</v>
      </c>
      <c r="BQ385" s="56">
        <f t="shared" si="311"/>
        <v>19.239016086849851</v>
      </c>
      <c r="BR385" s="59"/>
      <c r="BS385" s="59"/>
      <c r="BT385" s="59">
        <v>562341.32499999995</v>
      </c>
      <c r="BU385" s="59">
        <v>11.314</v>
      </c>
      <c r="BV385" s="59">
        <v>119.89400000000001</v>
      </c>
      <c r="BY385" s="59"/>
      <c r="BZ385" s="59"/>
      <c r="CA385" s="59"/>
      <c r="CC385" s="59"/>
    </row>
    <row r="386" spans="1:81" x14ac:dyDescent="0.2">
      <c r="A386">
        <f t="shared" si="319"/>
        <v>860000</v>
      </c>
      <c r="B386">
        <f t="shared" si="295"/>
        <v>860</v>
      </c>
      <c r="C386">
        <f t="shared" si="264"/>
        <v>1.0055927580058945</v>
      </c>
      <c r="D386">
        <f t="shared" si="265"/>
        <v>0.10551602737727764</v>
      </c>
      <c r="F386">
        <f t="shared" si="266"/>
        <v>7.194305058032778E-5</v>
      </c>
      <c r="G386">
        <f t="shared" si="267"/>
        <v>1.7310460535187055E-3</v>
      </c>
      <c r="H386">
        <f t="shared" si="268"/>
        <v>-3.1398616039464815</v>
      </c>
      <c r="J386">
        <f t="shared" si="269"/>
        <v>15</v>
      </c>
      <c r="M386">
        <f t="shared" si="270"/>
        <v>1.4543559625897753E-3</v>
      </c>
      <c r="N386">
        <f t="shared" si="271"/>
        <v>-1.5707963250000001</v>
      </c>
      <c r="O386">
        <f t="shared" si="272"/>
        <v>168.89058315685438</v>
      </c>
      <c r="P386">
        <f t="shared" si="273"/>
        <v>1.5648752989647645</v>
      </c>
      <c r="Q386">
        <f t="shared" si="274"/>
        <v>146.80676315529334</v>
      </c>
      <c r="R386">
        <f t="shared" si="275"/>
        <v>1.5639845988348093</v>
      </c>
      <c r="S386">
        <f t="shared" si="276"/>
        <v>0.23426322001898006</v>
      </c>
      <c r="T386">
        <f t="shared" si="277"/>
        <v>-1.3343356970340581</v>
      </c>
      <c r="U386">
        <f t="shared" si="278"/>
        <v>0.23137699536010689</v>
      </c>
      <c r="V386">
        <f t="shared" si="279"/>
        <v>-1.3373034780963817</v>
      </c>
      <c r="X386">
        <f t="shared" si="296"/>
        <v>-53.469025097417095</v>
      </c>
      <c r="Y386">
        <f t="shared" si="280"/>
        <v>-237.65837757546714</v>
      </c>
      <c r="Z386">
        <f t="shared" si="297"/>
        <v>-57.658377575467142</v>
      </c>
      <c r="AC386">
        <v>1</v>
      </c>
      <c r="AD386">
        <f t="shared" si="281"/>
        <v>168.88762263428998</v>
      </c>
      <c r="AE386">
        <f t="shared" si="282"/>
        <v>-0.1095109099180125</v>
      </c>
      <c r="AF386">
        <f t="shared" si="283"/>
        <v>2.6045059705560002E-2</v>
      </c>
      <c r="AG386">
        <f t="shared" si="315"/>
        <v>338.50387049835012</v>
      </c>
      <c r="AH386">
        <f t="shared" si="316"/>
        <v>-1461.6924399261934</v>
      </c>
      <c r="AJ386">
        <f t="shared" si="284"/>
        <v>26400</v>
      </c>
      <c r="AK386">
        <f t="shared" si="285"/>
        <v>109557.8411913216</v>
      </c>
      <c r="AL386">
        <v>1</v>
      </c>
      <c r="AM386">
        <f t="shared" si="286"/>
        <v>146.80335727814401</v>
      </c>
      <c r="AN386">
        <f t="shared" si="317"/>
        <v>747.48005710386781</v>
      </c>
      <c r="AO386">
        <f t="shared" si="318"/>
        <v>-174.74068998499166</v>
      </c>
      <c r="AQ386">
        <f t="shared" si="287"/>
        <v>3.3802043739168557E-3</v>
      </c>
      <c r="AR386">
        <f t="shared" si="288"/>
        <v>-5.8139515231369918</v>
      </c>
      <c r="AT386">
        <f t="shared" si="313"/>
        <v>-8497.0647752030709</v>
      </c>
      <c r="AU386">
        <f t="shared" si="314"/>
        <v>-1972.9859126504095</v>
      </c>
      <c r="AV386">
        <f t="shared" si="302"/>
        <v>-2.9134394374380808</v>
      </c>
      <c r="AW386">
        <f t="shared" si="303"/>
        <v>71.081504113053541</v>
      </c>
      <c r="AX386">
        <f t="shared" si="304"/>
        <v>-6702.6718233929532</v>
      </c>
      <c r="AY386">
        <f t="shared" si="312"/>
        <v>-1.5601917736496629</v>
      </c>
      <c r="BA386">
        <f t="shared" si="289"/>
        <v>1.30136570822566</v>
      </c>
      <c r="BB386">
        <f t="shared" si="305"/>
        <v>2.2879871725212837</v>
      </c>
      <c r="BC386">
        <f t="shared" si="306"/>
        <v>-1.3532476637884179</v>
      </c>
      <c r="BD386">
        <f t="shared" si="290"/>
        <v>-257.53537985961202</v>
      </c>
      <c r="BF386">
        <f t="shared" si="291"/>
        <v>-57.001967923177652</v>
      </c>
      <c r="BG386">
        <f t="shared" si="292"/>
        <v>-251.39057517987629</v>
      </c>
      <c r="BH386">
        <f t="shared" si="307"/>
        <v>-71.390575179876294</v>
      </c>
      <c r="BI386">
        <f t="shared" si="308"/>
        <v>-71.390575179876294</v>
      </c>
      <c r="BJ386">
        <f t="shared" si="293"/>
        <v>0</v>
      </c>
      <c r="BK386">
        <f t="shared" si="309"/>
        <v>0</v>
      </c>
      <c r="BM386">
        <f t="shared" si="310"/>
        <v>-59.289955095698943</v>
      </c>
      <c r="BN386">
        <f t="shared" si="294"/>
        <v>-173.85519532026427</v>
      </c>
      <c r="BQ386" s="56">
        <f t="shared" si="311"/>
        <v>19.189947972806422</v>
      </c>
      <c r="BR386" s="59"/>
      <c r="BS386" s="59"/>
      <c r="BT386" s="59">
        <v>575439.93700000003</v>
      </c>
      <c r="BU386" s="59">
        <v>11.0791</v>
      </c>
      <c r="BV386" s="59">
        <v>119.196</v>
      </c>
      <c r="BY386" s="59"/>
      <c r="BZ386" s="59"/>
      <c r="CA386" s="59"/>
      <c r="CC386" s="59"/>
    </row>
    <row r="387" spans="1:81" x14ac:dyDescent="0.2">
      <c r="A387">
        <f t="shared" si="319"/>
        <v>865000</v>
      </c>
      <c r="B387">
        <f t="shared" si="295"/>
        <v>865</v>
      </c>
      <c r="C387">
        <f t="shared" si="264"/>
        <v>1.0056577956506501</v>
      </c>
      <c r="D387">
        <f t="shared" si="265"/>
        <v>0.10612491004096596</v>
      </c>
      <c r="F387">
        <f t="shared" si="266"/>
        <v>7.1113685023366599E-5</v>
      </c>
      <c r="G387">
        <f t="shared" si="267"/>
        <v>1.7210385987049791E-3</v>
      </c>
      <c r="H387">
        <f t="shared" si="268"/>
        <v>-3.1398716114012952</v>
      </c>
      <c r="J387">
        <f t="shared" si="269"/>
        <v>15</v>
      </c>
      <c r="M387">
        <f t="shared" si="270"/>
        <v>1.4459492807250946E-3</v>
      </c>
      <c r="N387">
        <f t="shared" si="271"/>
        <v>-1.5707963250000001</v>
      </c>
      <c r="O387">
        <f t="shared" si="272"/>
        <v>169.87247082706207</v>
      </c>
      <c r="P387">
        <f t="shared" si="273"/>
        <v>1.5649095237661526</v>
      </c>
      <c r="Q387">
        <f t="shared" si="274"/>
        <v>147.66025135974698</v>
      </c>
      <c r="R387">
        <f t="shared" si="275"/>
        <v>1.5640239717774542</v>
      </c>
      <c r="S387">
        <f t="shared" si="276"/>
        <v>0.23298280248303629</v>
      </c>
      <c r="T387">
        <f t="shared" si="277"/>
        <v>-1.3356525557762049</v>
      </c>
      <c r="U387">
        <f t="shared" si="278"/>
        <v>0.23011056956663323</v>
      </c>
      <c r="V387">
        <f t="shared" si="279"/>
        <v>-1.338605026879045</v>
      </c>
      <c r="X387">
        <f t="shared" si="296"/>
        <v>-53.614104671699181</v>
      </c>
      <c r="Y387">
        <f t="shared" si="280"/>
        <v>-237.76987141377319</v>
      </c>
      <c r="Z387">
        <f t="shared" si="297"/>
        <v>-57.769871413773188</v>
      </c>
      <c r="AC387">
        <v>1</v>
      </c>
      <c r="AD387">
        <f t="shared" si="281"/>
        <v>169.86952741704749</v>
      </c>
      <c r="AE387">
        <f t="shared" si="282"/>
        <v>-0.110787994285296</v>
      </c>
      <c r="AF387">
        <f t="shared" si="283"/>
        <v>2.6196484471290003E-2</v>
      </c>
      <c r="AG387">
        <f t="shared" si="315"/>
        <v>334.8084570483137</v>
      </c>
      <c r="AH387">
        <f t="shared" si="316"/>
        <v>-1454.1171533105924</v>
      </c>
      <c r="AJ387">
        <f t="shared" si="284"/>
        <v>26400</v>
      </c>
      <c r="AK387">
        <f t="shared" si="285"/>
        <v>110194.80538429441</v>
      </c>
      <c r="AL387">
        <v>1</v>
      </c>
      <c r="AM387">
        <f t="shared" si="286"/>
        <v>147.65686516929603</v>
      </c>
      <c r="AN387">
        <f t="shared" si="317"/>
        <v>747.46633675897806</v>
      </c>
      <c r="AO387">
        <f t="shared" si="318"/>
        <v>-173.73072111363803</v>
      </c>
      <c r="AQ387">
        <f t="shared" si="287"/>
        <v>3.3412398204952318E-3</v>
      </c>
      <c r="AR387">
        <f t="shared" si="288"/>
        <v>-5.7803448894567513</v>
      </c>
      <c r="AT387">
        <f t="shared" si="313"/>
        <v>-8404.1799804613529</v>
      </c>
      <c r="AU387">
        <f t="shared" si="314"/>
        <v>-1940.166907782427</v>
      </c>
      <c r="AV387">
        <f t="shared" si="302"/>
        <v>-2.9147101220849834</v>
      </c>
      <c r="AW387">
        <f t="shared" si="303"/>
        <v>79.069540463714986</v>
      </c>
      <c r="AX387">
        <f t="shared" si="304"/>
        <v>-6664.7104054542579</v>
      </c>
      <c r="AY387">
        <f t="shared" si="312"/>
        <v>-1.5589329709663706</v>
      </c>
      <c r="BA387">
        <f t="shared" si="289"/>
        <v>1.2940722871381733</v>
      </c>
      <c r="BB387">
        <f t="shared" si="305"/>
        <v>2.2391707357474493</v>
      </c>
      <c r="BC387">
        <f t="shared" si="306"/>
        <v>-1.3557771511186127</v>
      </c>
      <c r="BD387">
        <f t="shared" si="290"/>
        <v>-257.68030880812961</v>
      </c>
      <c r="BF387">
        <f t="shared" si="291"/>
        <v>-57.150935916319469</v>
      </c>
      <c r="BG387">
        <f t="shared" si="292"/>
        <v>-251.50119110643115</v>
      </c>
      <c r="BH387">
        <f t="shared" si="307"/>
        <v>-71.501191106431151</v>
      </c>
      <c r="BI387">
        <f t="shared" si="308"/>
        <v>-71.501191106431151</v>
      </c>
      <c r="BJ387">
        <f t="shared" si="293"/>
        <v>0</v>
      </c>
      <c r="BK387">
        <f t="shared" si="309"/>
        <v>0</v>
      </c>
      <c r="BM387">
        <f t="shared" si="310"/>
        <v>-59.390106652066919</v>
      </c>
      <c r="BN387">
        <f t="shared" si="294"/>
        <v>-173.82088229830154</v>
      </c>
      <c r="BQ387" s="56">
        <f t="shared" si="311"/>
        <v>19.141131536032589</v>
      </c>
      <c r="BR387" s="59"/>
      <c r="BS387" s="59"/>
      <c r="BT387" s="59">
        <v>588843.65500000003</v>
      </c>
      <c r="BU387" s="59">
        <v>10.8666</v>
      </c>
      <c r="BV387" s="59">
        <v>116.889</v>
      </c>
      <c r="BY387" s="59"/>
      <c r="BZ387" s="59"/>
      <c r="CA387" s="59"/>
      <c r="CC387" s="59"/>
    </row>
    <row r="388" spans="1:81" x14ac:dyDescent="0.2">
      <c r="A388">
        <f t="shared" si="319"/>
        <v>870000</v>
      </c>
      <c r="B388">
        <f t="shared" si="295"/>
        <v>870</v>
      </c>
      <c r="C388">
        <f t="shared" si="264"/>
        <v>1.0057232060827628</v>
      </c>
      <c r="D388">
        <f t="shared" si="265"/>
        <v>0.1067337137290655</v>
      </c>
      <c r="F388">
        <f t="shared" si="266"/>
        <v>7.0298579055779072E-5</v>
      </c>
      <c r="G388">
        <f t="shared" si="267"/>
        <v>1.7111461961810957E-3</v>
      </c>
      <c r="H388">
        <f t="shared" si="268"/>
        <v>-3.139881503803819</v>
      </c>
      <c r="J388">
        <f t="shared" si="269"/>
        <v>15</v>
      </c>
      <c r="M388">
        <f t="shared" si="270"/>
        <v>1.4376392273875939E-3</v>
      </c>
      <c r="N388">
        <f t="shared" si="271"/>
        <v>-1.5707963250000001</v>
      </c>
      <c r="O388">
        <f t="shared" si="272"/>
        <v>170.85435869396068</v>
      </c>
      <c r="P388">
        <f t="shared" si="273"/>
        <v>1.5649433551925733</v>
      </c>
      <c r="Q388">
        <f t="shared" si="274"/>
        <v>148.51373979047676</v>
      </c>
      <c r="R388">
        <f t="shared" si="275"/>
        <v>1.5640628921781776</v>
      </c>
      <c r="S388">
        <f t="shared" si="276"/>
        <v>0.23171591037888264</v>
      </c>
      <c r="T388">
        <f t="shared" si="277"/>
        <v>-1.3369550953739475</v>
      </c>
      <c r="U388">
        <f t="shared" si="278"/>
        <v>0.22885755030924063</v>
      </c>
      <c r="V388">
        <f t="shared" si="279"/>
        <v>-1.3398924031963109</v>
      </c>
      <c r="X388">
        <f t="shared" si="296"/>
        <v>-53.758400235545778</v>
      </c>
      <c r="Y388">
        <f t="shared" si="280"/>
        <v>-237.87977920350906</v>
      </c>
      <c r="Z388">
        <f t="shared" si="297"/>
        <v>-57.879779203509059</v>
      </c>
      <c r="AC388">
        <v>1</v>
      </c>
      <c r="AD388">
        <f t="shared" si="281"/>
        <v>170.851432199805</v>
      </c>
      <c r="AE388">
        <f t="shared" si="282"/>
        <v>-0.1120724820402159</v>
      </c>
      <c r="AF388">
        <f t="shared" si="283"/>
        <v>2.634790923702E-2</v>
      </c>
      <c r="AG388">
        <f t="shared" si="315"/>
        <v>331.17212485711735</v>
      </c>
      <c r="AH388">
        <f t="shared" si="316"/>
        <v>-1446.6150491256335</v>
      </c>
      <c r="AJ388">
        <f t="shared" si="284"/>
        <v>26400</v>
      </c>
      <c r="AK388">
        <f t="shared" si="285"/>
        <v>110831.7695772672</v>
      </c>
      <c r="AL388">
        <v>1</v>
      </c>
      <c r="AM388">
        <f t="shared" si="286"/>
        <v>148.51037306044802</v>
      </c>
      <c r="AN388">
        <f t="shared" si="317"/>
        <v>747.45285227703823</v>
      </c>
      <c r="AO388">
        <f t="shared" si="318"/>
        <v>-172.73235949169444</v>
      </c>
      <c r="AQ388">
        <f t="shared" si="287"/>
        <v>3.3029451370903892E-3</v>
      </c>
      <c r="AR388">
        <f t="shared" si="288"/>
        <v>-5.7471245385372773</v>
      </c>
      <c r="AT388">
        <f t="shared" si="313"/>
        <v>-8312.783003287901</v>
      </c>
      <c r="AU388">
        <f t="shared" si="314"/>
        <v>-1908.0655353876216</v>
      </c>
      <c r="AV388">
        <f t="shared" si="302"/>
        <v>-2.9159669890131275</v>
      </c>
      <c r="AW388">
        <f t="shared" si="303"/>
        <v>86.915840193276154</v>
      </c>
      <c r="AX388">
        <f t="shared" si="304"/>
        <v>-6627.1729923078565</v>
      </c>
      <c r="AY388">
        <f t="shared" si="312"/>
        <v>-1.5576820082933833</v>
      </c>
      <c r="BA388">
        <f t="shared" si="289"/>
        <v>1.2868566592963753</v>
      </c>
      <c r="BB388">
        <f t="shared" si="305"/>
        <v>2.1906034859733223</v>
      </c>
      <c r="BC388">
        <f t="shared" si="306"/>
        <v>-1.3582849807197441</v>
      </c>
      <c r="BD388">
        <f t="shared" si="290"/>
        <v>-257.82399686017663</v>
      </c>
      <c r="BF388">
        <f t="shared" si="291"/>
        <v>-57.299070975194468</v>
      </c>
      <c r="BG388">
        <f t="shared" si="292"/>
        <v>-251.61056406947267</v>
      </c>
      <c r="BH388">
        <f t="shared" si="307"/>
        <v>-71.610564069472673</v>
      </c>
      <c r="BI388">
        <f t="shared" si="308"/>
        <v>-71.610564069472673</v>
      </c>
      <c r="BJ388">
        <f t="shared" si="293"/>
        <v>0</v>
      </c>
      <c r="BK388">
        <f t="shared" si="309"/>
        <v>0</v>
      </c>
      <c r="BM388">
        <f t="shared" si="310"/>
        <v>-59.489674461167787</v>
      </c>
      <c r="BN388">
        <f t="shared" si="294"/>
        <v>-173.78656720929609</v>
      </c>
      <c r="BQ388" s="56">
        <f t="shared" si="311"/>
        <v>19.092564286258458</v>
      </c>
      <c r="BR388" s="59"/>
      <c r="BS388" s="59"/>
      <c r="BT388" s="59">
        <v>602559.58600000001</v>
      </c>
      <c r="BU388" s="59">
        <v>10.6013</v>
      </c>
      <c r="BV388" s="59">
        <v>117.324</v>
      </c>
      <c r="BY388" s="59"/>
      <c r="BZ388" s="59"/>
      <c r="CA388" s="59"/>
      <c r="CC388" s="59"/>
    </row>
    <row r="389" spans="1:81" x14ac:dyDescent="0.2">
      <c r="A389">
        <f t="shared" si="319"/>
        <v>875000</v>
      </c>
      <c r="B389">
        <f t="shared" si="295"/>
        <v>875</v>
      </c>
      <c r="C389">
        <f t="shared" si="264"/>
        <v>1.0057889892295011</v>
      </c>
      <c r="D389">
        <f t="shared" si="265"/>
        <v>0.10734243800573245</v>
      </c>
      <c r="F389">
        <f t="shared" si="266"/>
        <v>6.9497407640031772E-5</v>
      </c>
      <c r="G389">
        <f t="shared" si="267"/>
        <v>1.7013668730764828E-3</v>
      </c>
      <c r="H389">
        <f t="shared" si="268"/>
        <v>-3.1398912831269237</v>
      </c>
      <c r="J389">
        <f t="shared" si="269"/>
        <v>15</v>
      </c>
      <c r="M389">
        <f t="shared" si="270"/>
        <v>1.4294241460882362E-3</v>
      </c>
      <c r="N389">
        <f t="shared" si="271"/>
        <v>-1.5707963250000001</v>
      </c>
      <c r="O389">
        <f t="shared" si="272"/>
        <v>171.8362467541784</v>
      </c>
      <c r="P389">
        <f t="shared" si="273"/>
        <v>1.5649767999872906</v>
      </c>
      <c r="Q389">
        <f t="shared" si="274"/>
        <v>149.36722844360386</v>
      </c>
      <c r="R389">
        <f t="shared" si="275"/>
        <v>1.5641013677943734</v>
      </c>
      <c r="S389">
        <f t="shared" si="276"/>
        <v>0.23046233705118918</v>
      </c>
      <c r="T389">
        <f t="shared" si="277"/>
        <v>-1.3382435437691578</v>
      </c>
      <c r="U389">
        <f t="shared" si="278"/>
        <v>0.22761773212676278</v>
      </c>
      <c r="V389">
        <f t="shared" si="279"/>
        <v>-1.3411658330806375</v>
      </c>
      <c r="X389">
        <f t="shared" si="296"/>
        <v>-53.901919811248135</v>
      </c>
      <c r="Y389">
        <f t="shared" si="280"/>
        <v>-237.98812626267062</v>
      </c>
      <c r="Z389">
        <f t="shared" si="297"/>
        <v>-57.988126262670619</v>
      </c>
      <c r="AC389">
        <v>1</v>
      </c>
      <c r="AD389">
        <f t="shared" si="281"/>
        <v>171.83333698256251</v>
      </c>
      <c r="AE389">
        <f t="shared" si="282"/>
        <v>-0.11336437318277222</v>
      </c>
      <c r="AF389">
        <f t="shared" si="283"/>
        <v>2.6499334002750001E-2</v>
      </c>
      <c r="AG389">
        <f t="shared" si="315"/>
        <v>327.59364520661654</v>
      </c>
      <c r="AH389">
        <f t="shared" si="316"/>
        <v>-1439.1851600326934</v>
      </c>
      <c r="AJ389">
        <f t="shared" si="284"/>
        <v>26400</v>
      </c>
      <c r="AK389">
        <f t="shared" si="285"/>
        <v>111468.73377024</v>
      </c>
      <c r="AL389">
        <v>1</v>
      </c>
      <c r="AM389">
        <f t="shared" si="286"/>
        <v>149.36388095160001</v>
      </c>
      <c r="AN389">
        <f t="shared" si="317"/>
        <v>747.43959828273205</v>
      </c>
      <c r="AO389">
        <f t="shared" si="318"/>
        <v>-171.74540617373049</v>
      </c>
      <c r="AQ389">
        <f t="shared" si="287"/>
        <v>3.2653050562269203E-3</v>
      </c>
      <c r="AR389">
        <f t="shared" si="288"/>
        <v>-5.7142838483971108</v>
      </c>
      <c r="AT389">
        <f t="shared" si="313"/>
        <v>-8222.8428216415505</v>
      </c>
      <c r="AU389">
        <f t="shared" si="314"/>
        <v>-1876.6624542216041</v>
      </c>
      <c r="AV389">
        <f t="shared" si="302"/>
        <v>-2.9172102581739079</v>
      </c>
      <c r="AW389">
        <f t="shared" si="303"/>
        <v>94.62375044401405</v>
      </c>
      <c r="AX389">
        <f t="shared" si="304"/>
        <v>-6590.0525674223081</v>
      </c>
      <c r="AY389">
        <f t="shared" si="312"/>
        <v>-1.5564387404988291</v>
      </c>
      <c r="BA389">
        <f t="shared" si="289"/>
        <v>1.2797176159411161</v>
      </c>
      <c r="BB389">
        <f t="shared" si="305"/>
        <v>2.1422829653282496</v>
      </c>
      <c r="BC389">
        <f t="shared" si="306"/>
        <v>-1.3607715176750788</v>
      </c>
      <c r="BD389">
        <f t="shared" si="290"/>
        <v>-257.96646493348339</v>
      </c>
      <c r="BF389">
        <f t="shared" si="291"/>
        <v>-57.446382214383689</v>
      </c>
      <c r="BG389">
        <f t="shared" si="292"/>
        <v>-251.71871512474044</v>
      </c>
      <c r="BH389">
        <f t="shared" si="307"/>
        <v>-71.718715124740442</v>
      </c>
      <c r="BI389">
        <f t="shared" si="308"/>
        <v>-71.718715124740442</v>
      </c>
      <c r="BJ389">
        <f t="shared" si="293"/>
        <v>0</v>
      </c>
      <c r="BK389">
        <f t="shared" si="309"/>
        <v>0</v>
      </c>
      <c r="BM389">
        <f t="shared" si="310"/>
        <v>-59.588665179711946</v>
      </c>
      <c r="BN389">
        <f t="shared" si="294"/>
        <v>-173.7522501912571</v>
      </c>
      <c r="BQ389" s="56">
        <f t="shared" si="311"/>
        <v>19.044243765613388</v>
      </c>
      <c r="BR389" s="59"/>
      <c r="BS389" s="59"/>
      <c r="BT389" s="59">
        <v>616595.00199999998</v>
      </c>
      <c r="BU389" s="59">
        <v>10.4749</v>
      </c>
      <c r="BV389" s="59">
        <v>115.142</v>
      </c>
      <c r="BY389" s="59"/>
      <c r="BZ389" s="59"/>
      <c r="CA389" s="59"/>
      <c r="CC389" s="59"/>
    </row>
    <row r="390" spans="1:81" x14ac:dyDescent="0.2">
      <c r="A390">
        <f t="shared" si="319"/>
        <v>880000</v>
      </c>
      <c r="B390">
        <f t="shared" si="295"/>
        <v>880</v>
      </c>
      <c r="C390">
        <f t="shared" si="264"/>
        <v>1.0058551450177382</v>
      </c>
      <c r="D390">
        <f t="shared" si="265"/>
        <v>0.10795108243547208</v>
      </c>
      <c r="F390">
        <f t="shared" si="266"/>
        <v>6.8709854947553788E-5</v>
      </c>
      <c r="G390">
        <f t="shared" si="267"/>
        <v>1.6916987013739036E-3</v>
      </c>
      <c r="H390">
        <f t="shared" si="268"/>
        <v>-3.1399009512986265</v>
      </c>
      <c r="J390">
        <f t="shared" si="269"/>
        <v>15</v>
      </c>
      <c r="M390">
        <f t="shared" si="270"/>
        <v>1.4213024179854622E-3</v>
      </c>
      <c r="N390">
        <f t="shared" si="271"/>
        <v>-1.5707963250000001</v>
      </c>
      <c r="O390">
        <f t="shared" si="272"/>
        <v>172.81813500442021</v>
      </c>
      <c r="P390">
        <f t="shared" si="273"/>
        <v>1.5650098647403208</v>
      </c>
      <c r="Q390">
        <f t="shared" si="274"/>
        <v>150.22071731533754</v>
      </c>
      <c r="R390">
        <f t="shared" si="275"/>
        <v>1.5641394062071439</v>
      </c>
      <c r="S390">
        <f t="shared" si="276"/>
        <v>0.22922187988798085</v>
      </c>
      <c r="T390">
        <f t="shared" si="277"/>
        <v>-1.339518124185566</v>
      </c>
      <c r="U390">
        <f t="shared" si="278"/>
        <v>0.22639091359477154</v>
      </c>
      <c r="V390">
        <f t="shared" si="279"/>
        <v>-1.3424255378745213</v>
      </c>
      <c r="X390">
        <f t="shared" si="296"/>
        <v>-54.044671303115663</v>
      </c>
      <c r="Y390">
        <f t="shared" si="280"/>
        <v>-238.09493738650039</v>
      </c>
      <c r="Z390">
        <f t="shared" si="297"/>
        <v>-58.094937386500391</v>
      </c>
      <c r="AC390">
        <v>1</v>
      </c>
      <c r="AD390">
        <f t="shared" si="281"/>
        <v>172.81524176532</v>
      </c>
      <c r="AE390">
        <f t="shared" si="282"/>
        <v>-0.11466366771296499</v>
      </c>
      <c r="AF390">
        <f t="shared" si="283"/>
        <v>2.6650758768480002E-2</v>
      </c>
      <c r="AG390">
        <f t="shared" si="315"/>
        <v>324.07182050162714</v>
      </c>
      <c r="AH390">
        <f t="shared" si="316"/>
        <v>-1431.8265334443454</v>
      </c>
      <c r="AJ390">
        <f t="shared" si="284"/>
        <v>26400</v>
      </c>
      <c r="AK390">
        <f t="shared" si="285"/>
        <v>112105.69796321281</v>
      </c>
      <c r="AL390">
        <v>1</v>
      </c>
      <c r="AM390">
        <f t="shared" si="286"/>
        <v>150.217388842752</v>
      </c>
      <c r="AN390">
        <f t="shared" si="317"/>
        <v>747.42656955300242</v>
      </c>
      <c r="AO390">
        <f t="shared" si="318"/>
        <v>-170.76966673478918</v>
      </c>
      <c r="AQ390">
        <f t="shared" si="287"/>
        <v>3.2283047429284791E-3</v>
      </c>
      <c r="AR390">
        <f t="shared" si="288"/>
        <v>-5.6818163475541237</v>
      </c>
      <c r="AT390">
        <f t="shared" si="313"/>
        <v>-8134.3292019906585</v>
      </c>
      <c r="AU390">
        <f t="shared" si="314"/>
        <v>-1845.9389398967401</v>
      </c>
      <c r="AV390">
        <f t="shared" si="302"/>
        <v>-2.9184401449669539</v>
      </c>
      <c r="AW390">
        <f t="shared" si="303"/>
        <v>102.1965198915187</v>
      </c>
      <c r="AX390">
        <f t="shared" si="304"/>
        <v>-6553.3422674820467</v>
      </c>
      <c r="AY390">
        <f t="shared" si="312"/>
        <v>-1.5552030260754492</v>
      </c>
      <c r="BA390">
        <f t="shared" si="289"/>
        <v>1.2726539723038879</v>
      </c>
      <c r="BB390">
        <f t="shared" si="305"/>
        <v>2.0942067479037374</v>
      </c>
      <c r="BC390">
        <f t="shared" si="306"/>
        <v>-1.3632371188915047</v>
      </c>
      <c r="BD390">
        <f t="shared" si="290"/>
        <v>-258.10773347730833</v>
      </c>
      <c r="BF390">
        <f t="shared" si="291"/>
        <v>-57.59287860271187</v>
      </c>
      <c r="BG390">
        <f t="shared" si="292"/>
        <v>-251.82566485691217</v>
      </c>
      <c r="BH390">
        <f t="shared" si="307"/>
        <v>-71.825664856912169</v>
      </c>
      <c r="BI390">
        <f t="shared" si="308"/>
        <v>-71.825664856912169</v>
      </c>
      <c r="BJ390">
        <f t="shared" si="293"/>
        <v>0</v>
      </c>
      <c r="BK390">
        <f t="shared" si="309"/>
        <v>0</v>
      </c>
      <c r="BM390">
        <f t="shared" si="310"/>
        <v>-59.687085350615604</v>
      </c>
      <c r="BN390">
        <f t="shared" si="294"/>
        <v>-173.71793137960381</v>
      </c>
      <c r="BQ390" s="56">
        <f t="shared" si="311"/>
        <v>18.996167548188872</v>
      </c>
      <c r="BR390" s="59"/>
      <c r="BS390" s="59"/>
      <c r="BT390" s="59">
        <v>630957.34400000004</v>
      </c>
      <c r="BU390" s="59">
        <v>10.283799999999999</v>
      </c>
      <c r="BV390" s="59">
        <v>115.247</v>
      </c>
      <c r="BY390" s="59"/>
      <c r="BZ390" s="59"/>
      <c r="CA390" s="59"/>
      <c r="CC390" s="59"/>
    </row>
    <row r="391" spans="1:81" x14ac:dyDescent="0.2">
      <c r="A391">
        <f t="shared" si="319"/>
        <v>885000</v>
      </c>
      <c r="B391">
        <f t="shared" si="295"/>
        <v>885</v>
      </c>
      <c r="C391">
        <f t="shared" si="264"/>
        <v>1.0059216733739524</v>
      </c>
      <c r="D391">
        <f t="shared" si="265"/>
        <v>0.10855964658314048</v>
      </c>
      <c r="F391">
        <f t="shared" si="266"/>
        <v>6.7935614047404957E-5</v>
      </c>
      <c r="G391">
        <f t="shared" si="267"/>
        <v>1.6821397966419007E-3</v>
      </c>
      <c r="H391">
        <f t="shared" si="268"/>
        <v>-3.1399105102033582</v>
      </c>
      <c r="J391">
        <f t="shared" si="269"/>
        <v>15</v>
      </c>
      <c r="M391">
        <f t="shared" si="270"/>
        <v>1.4132724608217023E-3</v>
      </c>
      <c r="N391">
        <f t="shared" si="271"/>
        <v>-1.5707963250000001</v>
      </c>
      <c r="O391">
        <f t="shared" si="272"/>
        <v>173.80002344146544</v>
      </c>
      <c r="P391">
        <f t="shared" si="273"/>
        <v>1.5650425558927614</v>
      </c>
      <c r="Q391">
        <f t="shared" si="274"/>
        <v>151.07420640197284</v>
      </c>
      <c r="R391">
        <f t="shared" si="275"/>
        <v>1.5641770148262801</v>
      </c>
      <c r="S391">
        <f t="shared" si="276"/>
        <v>0.22799434022632795</v>
      </c>
      <c r="T391">
        <f t="shared" si="277"/>
        <v>-1.3407790552476497</v>
      </c>
      <c r="U391">
        <f t="shared" si="278"/>
        <v>0.22517689723087828</v>
      </c>
      <c r="V391">
        <f t="shared" si="279"/>
        <v>-1.3436717343490354</v>
      </c>
      <c r="X391">
        <f t="shared" si="296"/>
        <v>-54.186662499670305</v>
      </c>
      <c r="Y391">
        <f t="shared" si="280"/>
        <v>-238.20023686063024</v>
      </c>
      <c r="Z391">
        <f t="shared" si="297"/>
        <v>-58.200236860630241</v>
      </c>
      <c r="AC391">
        <v>1</v>
      </c>
      <c r="AD391">
        <f t="shared" si="281"/>
        <v>173.79714654807751</v>
      </c>
      <c r="AE391">
        <f t="shared" si="282"/>
        <v>-0.11597036563079416</v>
      </c>
      <c r="AF391">
        <f t="shared" si="283"/>
        <v>2.6802183534209999E-2</v>
      </c>
      <c r="AG391">
        <f t="shared" si="315"/>
        <v>320.60548335006405</v>
      </c>
      <c r="AH391">
        <f t="shared" si="316"/>
        <v>-1424.5382313202563</v>
      </c>
      <c r="AJ391">
        <f t="shared" si="284"/>
        <v>26400</v>
      </c>
      <c r="AK391">
        <f t="shared" si="285"/>
        <v>112742.6621561856</v>
      </c>
      <c r="AL391">
        <v>1</v>
      </c>
      <c r="AM391">
        <f t="shared" si="286"/>
        <v>151.07089673390402</v>
      </c>
      <c r="AN391">
        <f t="shared" si="317"/>
        <v>747.41376101190497</v>
      </c>
      <c r="AO391">
        <f t="shared" si="318"/>
        <v>-169.80495114272412</v>
      </c>
      <c r="AQ391">
        <f t="shared" si="287"/>
        <v>3.1919297800983818E-3</v>
      </c>
      <c r="AR391">
        <f t="shared" si="288"/>
        <v>-5.6497157107741351</v>
      </c>
      <c r="AT391">
        <f t="shared" si="313"/>
        <v>-8047.2126758984832</v>
      </c>
      <c r="AU391">
        <f t="shared" si="314"/>
        <v>-1815.8768622466321</v>
      </c>
      <c r="AV391">
        <f t="shared" si="302"/>
        <v>-2.9196568603547663</v>
      </c>
      <c r="AW391">
        <f t="shared" si="303"/>
        <v>109.63730220391049</v>
      </c>
      <c r="AX391">
        <f t="shared" si="304"/>
        <v>-6517.0353782390021</v>
      </c>
      <c r="AY391">
        <f t="shared" si="312"/>
        <v>-1.5539747270292625</v>
      </c>
      <c r="BA391">
        <f t="shared" si="289"/>
        <v>1.2656645670449542</v>
      </c>
      <c r="BB391">
        <f t="shared" si="305"/>
        <v>2.0463724393184686</v>
      </c>
      <c r="BC391">
        <f t="shared" si="306"/>
        <v>-1.3656821333255038</v>
      </c>
      <c r="BD391">
        <f t="shared" si="290"/>
        <v>-258.24782248538514</v>
      </c>
      <c r="BF391">
        <f t="shared" si="291"/>
        <v>-57.738568966262314</v>
      </c>
      <c r="BG391">
        <f t="shared" si="292"/>
        <v>-251.93143339262326</v>
      </c>
      <c r="BH391">
        <f t="shared" si="307"/>
        <v>-71.931433392623262</v>
      </c>
      <c r="BI391">
        <f t="shared" si="308"/>
        <v>-71.931433392623262</v>
      </c>
      <c r="BJ391">
        <f t="shared" si="293"/>
        <v>0</v>
      </c>
      <c r="BK391">
        <f t="shared" si="309"/>
        <v>0</v>
      </c>
      <c r="BM391">
        <f t="shared" si="310"/>
        <v>-59.784941405580781</v>
      </c>
      <c r="BN391">
        <f t="shared" si="294"/>
        <v>-173.68361090723815</v>
      </c>
      <c r="BQ391" s="56">
        <f t="shared" si="311"/>
        <v>18.948333239603606</v>
      </c>
      <c r="BR391" s="59"/>
      <c r="BS391" s="59"/>
      <c r="BT391" s="59">
        <v>645654.22900000005</v>
      </c>
      <c r="BU391" s="59">
        <v>9.9821899999999992</v>
      </c>
      <c r="BV391" s="59">
        <v>113.164</v>
      </c>
      <c r="BY391" s="59"/>
      <c r="BZ391" s="59"/>
      <c r="CA391" s="59"/>
      <c r="CC391" s="59"/>
    </row>
    <row r="392" spans="1:81" x14ac:dyDescent="0.2">
      <c r="A392">
        <f t="shared" si="319"/>
        <v>890000</v>
      </c>
      <c r="B392">
        <f t="shared" si="295"/>
        <v>890</v>
      </c>
      <c r="C392">
        <f t="shared" si="264"/>
        <v>1.0059885742242274</v>
      </c>
      <c r="D392">
        <f t="shared" si="265"/>
        <v>0.10916813001394648</v>
      </c>
      <c r="F392">
        <f t="shared" si="266"/>
        <v>6.7174386607154931E-5</v>
      </c>
      <c r="G392">
        <f t="shared" si="267"/>
        <v>1.6726883168099798E-3</v>
      </c>
      <c r="H392">
        <f t="shared" si="268"/>
        <v>-3.1399199616831903</v>
      </c>
      <c r="J392">
        <f t="shared" si="269"/>
        <v>15</v>
      </c>
      <c r="M392">
        <f t="shared" si="270"/>
        <v>1.4053327278957378E-3</v>
      </c>
      <c r="N392">
        <f t="shared" si="271"/>
        <v>-1.5707963250000001</v>
      </c>
      <c r="O392">
        <f t="shared" si="272"/>
        <v>174.78191206216582</v>
      </c>
      <c r="P392">
        <f t="shared" si="273"/>
        <v>1.5650748797409748</v>
      </c>
      <c r="Q392">
        <f t="shared" si="274"/>
        <v>151.92769569988792</v>
      </c>
      <c r="R392">
        <f t="shared" si="275"/>
        <v>1.5642142008950732</v>
      </c>
      <c r="S392">
        <f t="shared" si="276"/>
        <v>0.22677952326052239</v>
      </c>
      <c r="T392">
        <f t="shared" si="277"/>
        <v>-1.3420265510960274</v>
      </c>
      <c r="U392">
        <f t="shared" si="278"/>
        <v>0.22397548940255255</v>
      </c>
      <c r="V392">
        <f t="shared" si="279"/>
        <v>-1.3449046348188718</v>
      </c>
      <c r="X392">
        <f t="shared" si="296"/>
        <v>-54.327901075792873</v>
      </c>
      <c r="Y392">
        <f t="shared" si="280"/>
        <v>-238.3040484738392</v>
      </c>
      <c r="Z392">
        <f t="shared" si="297"/>
        <v>-58.304048473839202</v>
      </c>
      <c r="AC392">
        <v>1</v>
      </c>
      <c r="AD392">
        <f t="shared" si="281"/>
        <v>174.77905133083499</v>
      </c>
      <c r="AE392">
        <f t="shared" si="282"/>
        <v>-0.11728446693625975</v>
      </c>
      <c r="AF392">
        <f t="shared" si="283"/>
        <v>2.695360829994E-2</v>
      </c>
      <c r="AG392">
        <f t="shared" si="315"/>
        <v>317.19349567382238</v>
      </c>
      <c r="AH392">
        <f t="shared" si="316"/>
        <v>-1417.3193299628872</v>
      </c>
      <c r="AJ392">
        <f t="shared" si="284"/>
        <v>26400</v>
      </c>
      <c r="AK392">
        <f t="shared" si="285"/>
        <v>113379.62634915841</v>
      </c>
      <c r="AL392">
        <v>1</v>
      </c>
      <c r="AM392">
        <f t="shared" si="286"/>
        <v>151.92440462505601</v>
      </c>
      <c r="AN392">
        <f t="shared" si="317"/>
        <v>747.40116772566466</v>
      </c>
      <c r="AO392">
        <f t="shared" si="318"/>
        <v>-168.85107363483851</v>
      </c>
      <c r="AQ392">
        <f t="shared" si="287"/>
        <v>3.1561661544735027E-3</v>
      </c>
      <c r="AR392">
        <f t="shared" si="288"/>
        <v>-5.6179757549628349</v>
      </c>
      <c r="AT392">
        <f t="shared" si="313"/>
        <v>-7961.4645173962053</v>
      </c>
      <c r="AU392">
        <f t="shared" si="314"/>
        <v>-1786.4586636267529</v>
      </c>
      <c r="AV392">
        <f t="shared" si="302"/>
        <v>-2.9208606109739854</v>
      </c>
      <c r="AW392">
        <f t="shared" si="303"/>
        <v>116.94915936013285</v>
      </c>
      <c r="AX392">
        <f t="shared" si="304"/>
        <v>-6481.1253304982565</v>
      </c>
      <c r="AY392">
        <f t="shared" si="312"/>
        <v>-1.5527537087722632</v>
      </c>
      <c r="BA392">
        <f t="shared" si="289"/>
        <v>1.2587482617059662</v>
      </c>
      <c r="BB392">
        <f t="shared" si="305"/>
        <v>1.9987776762856742</v>
      </c>
      <c r="BC392">
        <f t="shared" si="306"/>
        <v>-1.3681069022017223</v>
      </c>
      <c r="BD392">
        <f t="shared" si="290"/>
        <v>-258.38675150844585</v>
      </c>
      <c r="BF392">
        <f t="shared" si="291"/>
        <v>-57.883461991316807</v>
      </c>
      <c r="BG392">
        <f t="shared" si="292"/>
        <v>-252.0360404130605</v>
      </c>
      <c r="BH392">
        <f t="shared" si="307"/>
        <v>-72.036040413060505</v>
      </c>
      <c r="BI392">
        <f t="shared" si="308"/>
        <v>-72.036040413060505</v>
      </c>
      <c r="BJ392">
        <f t="shared" si="293"/>
        <v>0</v>
      </c>
      <c r="BK392">
        <f t="shared" si="309"/>
        <v>0</v>
      </c>
      <c r="BM392">
        <f t="shared" si="310"/>
        <v>-59.882239667602484</v>
      </c>
      <c r="BN392">
        <f t="shared" si="294"/>
        <v>-173.64928890461462</v>
      </c>
      <c r="BQ392" s="56">
        <f t="shared" si="311"/>
        <v>18.900738476570812</v>
      </c>
      <c r="BR392" s="59"/>
      <c r="BS392" s="59"/>
      <c r="BT392" s="59">
        <v>660693.44799999997</v>
      </c>
      <c r="BU392" s="59">
        <v>9.7520900000000008</v>
      </c>
      <c r="BV392" s="59">
        <v>112.872</v>
      </c>
      <c r="BY392" s="59"/>
      <c r="BZ392" s="59"/>
      <c r="CA392" s="59"/>
      <c r="CC392" s="59"/>
    </row>
    <row r="393" spans="1:81" x14ac:dyDescent="0.2">
      <c r="A393">
        <f t="shared" si="319"/>
        <v>895000</v>
      </c>
      <c r="B393">
        <f t="shared" si="295"/>
        <v>895</v>
      </c>
      <c r="C393">
        <f t="shared" ref="C393:C456" si="320">SQRT((A393/Fesr)^2+1)</f>
        <v>1.0060558474942525</v>
      </c>
      <c r="D393">
        <f t="shared" ref="D393:D456" si="321">ATAN(A393/Fesr)</f>
        <v>0.10977653229345326</v>
      </c>
      <c r="F393">
        <f t="shared" ref="F393:F456" si="322">(Ro/(Ro+Rdcr))/SQRT((A393/(Q*Fo))^2+(1-(A393^2/Fo^2))^2)</f>
        <v>6.6425882605428903E-5</v>
      </c>
      <c r="G393">
        <f t="shared" ref="G393:G456" si="323">-ATAN(A393*Fo/(Q*(Fo^2-A393^2)))</f>
        <v>1.6633424609848733E-3</v>
      </c>
      <c r="H393">
        <f t="shared" ref="H393:H456" si="324">IF(G393&gt;0,G393-Pi,G393)</f>
        <v>-3.1399293075390156</v>
      </c>
      <c r="J393">
        <f t="shared" ref="J393:J456" si="325">Vin/Vramp</f>
        <v>15</v>
      </c>
      <c r="M393">
        <f t="shared" ref="M393:M456" si="326">1/(2*Pi*_Rfb1*(Cc1ea_u+Cc2ea_u)*A393)</f>
        <v>1.3974817070695048E-3</v>
      </c>
      <c r="N393">
        <f t="shared" ref="N393:N456" si="327">-Pi/2</f>
        <v>-1.5707963250000001</v>
      </c>
      <c r="O393">
        <f t="shared" ref="O393:O456" si="328">SQRT(1+(A393/Fz1_u)^2)</f>
        <v>175.76380086344344</v>
      </c>
      <c r="P393">
        <f t="shared" ref="P393:P456" si="329">ATAN2(Fz1_u,A393)</f>
        <v>1.5651068424406296</v>
      </c>
      <c r="Q393">
        <f t="shared" ref="Q393:Q456" si="330">SQRT(1+(A393/Fz2_u)^2)</f>
        <v>152.78118520554193</v>
      </c>
      <c r="R393">
        <f t="shared" ref="R393:R456" si="331">ATAN2(Fz2_u,A393)</f>
        <v>1.5642509714949644</v>
      </c>
      <c r="S393">
        <f t="shared" ref="S393:S456" si="332">1/SQRT(1+(A393/Fp1_u)^2)</f>
        <v>0.22557723795267037</v>
      </c>
      <c r="T393">
        <f t="shared" ref="T393:T456" si="333">-ATAN2(Fp1_u,A393)</f>
        <v>-1.3432608214994755</v>
      </c>
      <c r="U393">
        <f t="shared" ref="U393:U456" si="334">1/SQRT(1+(A393/Fp2_u)^2)</f>
        <v>0.22278650023738594</v>
      </c>
      <c r="V393">
        <f t="shared" ref="V393:V456" si="335">-ATAN2(Fp2_u,A393)</f>
        <v>-1.3461244472540022</v>
      </c>
      <c r="X393">
        <f t="shared" si="296"/>
        <v>-54.468394594822939</v>
      </c>
      <c r="Y393">
        <f t="shared" ref="Y393:Y456" si="336">(180/Pi)*(D393+H393+N393+P393+R393+T393+V393)</f>
        <v>-238.40639553043903</v>
      </c>
      <c r="Z393">
        <f t="shared" si="297"/>
        <v>-58.406395530439028</v>
      </c>
      <c r="AC393">
        <v>1</v>
      </c>
      <c r="AD393">
        <f t="shared" ref="AD393:AD456" si="337">Rcea1_u*Cc1ea_u*A393*2*Pi</f>
        <v>175.7609561135925</v>
      </c>
      <c r="AE393">
        <f t="shared" ref="AE393:AE456" si="338">-Rcea1_u*Cc1ea_u*Cc2ea_u*(A393*2*Pi)^2</f>
        <v>-0.1186059716293618</v>
      </c>
      <c r="AF393">
        <f t="shared" ref="AF393:AF456" si="339">(Cc2ea_u+Cc1ea_u)*A393*2*Pi</f>
        <v>2.7105033065670001E-2</v>
      </c>
      <c r="AG393">
        <f t="shared" si="315"/>
        <v>313.83474784927563</v>
      </c>
      <c r="AH393">
        <f t="shared" si="316"/>
        <v>-1410.1689198132799</v>
      </c>
      <c r="AJ393">
        <f t="shared" ref="AJ393:AJ456" si="340">_Rfb1</f>
        <v>26400</v>
      </c>
      <c r="AK393">
        <f t="shared" ref="AK393:AK456" si="341">_Rfb1*Rcea2_u*Cc3ea_u*A393*2*Pi</f>
        <v>114016.59054213121</v>
      </c>
      <c r="AL393">
        <v>1</v>
      </c>
      <c r="AM393">
        <f t="shared" ref="AM393:AM456" si="342">(_Rfb1+Rcea2_u)*Cc3ea_u*A393*2*Pi</f>
        <v>152.77791251620803</v>
      </c>
      <c r="AN393">
        <f t="shared" si="317"/>
        <v>747.38878489792273</v>
      </c>
      <c r="AO393">
        <f t="shared" si="318"/>
        <v>-167.90785259865768</v>
      </c>
      <c r="AQ393">
        <f t="shared" ref="AQ393:AQ456" si="343">Eadcg/(1+(Eadcg*A393/GBP)^2)</f>
        <v>3.1210002431259188E-3</v>
      </c>
      <c r="AR393">
        <f t="shared" ref="AR393:AR456" si="344">-(A393*Eadcg*Eadcg/GBP)/(1+(Eadcg*A393/GBP)^2)</f>
        <v>-5.5865904351953946</v>
      </c>
      <c r="AT393">
        <f t="shared" si="313"/>
        <v>-7877.0567211143516</v>
      </c>
      <c r="AU393">
        <f t="shared" si="314"/>
        <v>-1757.6673381083076</v>
      </c>
      <c r="AV393">
        <f t="shared" si="302"/>
        <v>-2.922051599243408</v>
      </c>
      <c r="AW393">
        <f t="shared" si="303"/>
        <v>124.13506483383999</v>
      </c>
      <c r="AX393">
        <f t="shared" si="304"/>
        <v>-6445.6056962326875</v>
      </c>
      <c r="AY393">
        <f t="shared" si="312"/>
        <v>-1.551539840018983</v>
      </c>
      <c r="BA393">
        <f t="shared" ref="BA393:BA456" si="345">SQRT(AT393^2+AU393^2)/SQRT(AW393^2+AX393^2)</f>
        <v>1.2519039401766996</v>
      </c>
      <c r="BB393">
        <f t="shared" si="305"/>
        <v>1.9514201261832287</v>
      </c>
      <c r="BC393">
        <f t="shared" si="306"/>
        <v>-1.3705117592244249</v>
      </c>
      <c r="BD393">
        <f t="shared" ref="BD393:BD456" si="346">BC393*180/Pi-180</f>
        <v>-258.52453966633658</v>
      </c>
      <c r="BF393">
        <f t="shared" ref="BF393:BF456" si="347">20*LOG(BA393*J393*F393*C393)</f>
        <v>-58.027566227222529</v>
      </c>
      <c r="BG393">
        <f t="shared" ref="BG393:BG456" si="348">(180/Pi)*(D393+H393+BC393)</f>
        <v>-252.13950516614483</v>
      </c>
      <c r="BH393">
        <f t="shared" si="307"/>
        <v>-72.139505166144829</v>
      </c>
      <c r="BI393">
        <f t="shared" si="308"/>
        <v>-72.139505166144829</v>
      </c>
      <c r="BJ393">
        <f t="shared" ref="BJ393:BJ456" si="349">SUM((BF394&lt;0)*(BF393&gt;0))*A393</f>
        <v>0</v>
      </c>
      <c r="BK393">
        <f t="shared" si="309"/>
        <v>0</v>
      </c>
      <c r="BM393">
        <f t="shared" si="310"/>
        <v>-59.978986353405759</v>
      </c>
      <c r="BN393">
        <f t="shared" ref="BN393:BN456" si="350">(H393+D393)*180/Pi</f>
        <v>-173.61496549980825</v>
      </c>
      <c r="BQ393" s="56">
        <f t="shared" si="311"/>
        <v>18.853380926468365</v>
      </c>
      <c r="BR393" s="59"/>
      <c r="BS393" s="59"/>
      <c r="BT393" s="59">
        <v>676082.97499999998</v>
      </c>
      <c r="BU393" s="59">
        <v>9.5117999999999991</v>
      </c>
      <c r="BV393" s="59">
        <v>110.592</v>
      </c>
      <c r="BY393" s="59"/>
      <c r="BZ393" s="59"/>
      <c r="CA393" s="59"/>
      <c r="CC393" s="59"/>
    </row>
    <row r="394" spans="1:81" x14ac:dyDescent="0.2">
      <c r="A394">
        <f t="shared" si="319"/>
        <v>900000</v>
      </c>
      <c r="B394">
        <f t="shared" ref="B394:B457" si="351">A394/1000</f>
        <v>900</v>
      </c>
      <c r="C394">
        <f t="shared" si="320"/>
        <v>1.0061234931093235</v>
      </c>
      <c r="D394">
        <f t="shared" si="321"/>
        <v>0.11038485298758016</v>
      </c>
      <c r="F394">
        <f t="shared" si="322"/>
        <v>6.568982005560296E-5</v>
      </c>
      <c r="G394">
        <f t="shared" si="323"/>
        <v>1.6541004683062752E-3</v>
      </c>
      <c r="H394">
        <f t="shared" si="324"/>
        <v>-3.1399385495316938</v>
      </c>
      <c r="J394">
        <f t="shared" si="325"/>
        <v>15</v>
      </c>
      <c r="M394">
        <f t="shared" si="326"/>
        <v>1.3897179198080073E-3</v>
      </c>
      <c r="N394">
        <f t="shared" si="327"/>
        <v>-1.5707963250000001</v>
      </c>
      <c r="O394">
        <f t="shared" si="328"/>
        <v>176.74568984228878</v>
      </c>
      <c r="P394">
        <f t="shared" si="329"/>
        <v>1.5651384500106091</v>
      </c>
      <c r="Q394">
        <f t="shared" si="330"/>
        <v>153.63467491547274</v>
      </c>
      <c r="R394">
        <f t="shared" si="331"/>
        <v>1.5642873335500409</v>
      </c>
      <c r="S394">
        <f t="shared" si="332"/>
        <v>0.22438729694563192</v>
      </c>
      <c r="T394">
        <f t="shared" si="333"/>
        <v>-1.3444820719636799</v>
      </c>
      <c r="U394">
        <f t="shared" si="334"/>
        <v>0.22160974353573076</v>
      </c>
      <c r="V394">
        <f t="shared" si="335"/>
        <v>-1.3473313753880731</v>
      </c>
      <c r="X394">
        <f t="shared" ref="X394:X457" si="352">20*LOG(C394*J394*O394*Q394*F394*M394*S394*U394)</f>
        <v>-54.608150510613136</v>
      </c>
      <c r="Y394">
        <f t="shared" si="336"/>
        <v>-238.5073008622995</v>
      </c>
      <c r="Z394">
        <f t="shared" ref="Z394:Z457" si="353">Y394+180</f>
        <v>-58.507300862299502</v>
      </c>
      <c r="AC394">
        <v>1</v>
      </c>
      <c r="AD394">
        <f t="shared" si="337"/>
        <v>176.74286089634998</v>
      </c>
      <c r="AE394">
        <f t="shared" si="338"/>
        <v>-0.11993487971010026</v>
      </c>
      <c r="AF394">
        <f t="shared" si="339"/>
        <v>2.7256457831400002E-2</v>
      </c>
      <c r="AG394">
        <f t="shared" si="315"/>
        <v>310.52815787629731</v>
      </c>
      <c r="AH394">
        <f t="shared" si="316"/>
        <v>-1403.0861052471696</v>
      </c>
      <c r="AJ394">
        <f t="shared" si="340"/>
        <v>26400</v>
      </c>
      <c r="AK394">
        <f t="shared" si="341"/>
        <v>114653.55473510401</v>
      </c>
      <c r="AL394">
        <v>1</v>
      </c>
      <c r="AM394">
        <f t="shared" si="342"/>
        <v>153.63142040736</v>
      </c>
      <c r="AN394">
        <f t="shared" si="317"/>
        <v>747.37660786517074</v>
      </c>
      <c r="AO394">
        <f t="shared" si="318"/>
        <v>-166.97511045667514</v>
      </c>
      <c r="AQ394">
        <f t="shared" si="343"/>
        <v>3.0864188004880245E-3</v>
      </c>
      <c r="AR394">
        <f t="shared" si="344"/>
        <v>-5.5555538408784439</v>
      </c>
      <c r="AT394">
        <f t="shared" si="313"/>
        <v>-7793.9619811445391</v>
      </c>
      <c r="AU394">
        <f t="shared" si="314"/>
        <v>-1729.4864115245098</v>
      </c>
      <c r="AV394">
        <f t="shared" ref="AV394:AV457" si="354">ATAN2(AT394,AU394)</f>
        <v>-2.9232300234688573</v>
      </c>
      <c r="AW394">
        <f t="shared" ref="AW394:AW457" si="355">AG394-AH394*AO394/_Rfb2+AG394*AN394/_Rfb2+AN394-AO394*AR394+AQ394*AN394</f>
        <v>131.19790664905366</v>
      </c>
      <c r="AX394">
        <f t="shared" ref="AX394:AX457" si="356">AH394+AH394*AN394/_Rfb2+AG394*AO394/_Rfb2+AO394+AO394*AQ394+AN394*AR394</f>
        <v>-6410.4701848218265</v>
      </c>
      <c r="AY394">
        <f t="shared" si="312"/>
        <v>-1.5503329926867604</v>
      </c>
      <c r="BA394">
        <f t="shared" si="345"/>
        <v>1.2451305081755422</v>
      </c>
      <c r="BB394">
        <f t="shared" ref="BB394:BB457" si="357">20*LOG(BA394)</f>
        <v>1.9042974866267146</v>
      </c>
      <c r="BC394">
        <f t="shared" ref="BC394:BC457" si="358">AV394-AY394</f>
        <v>-1.3728970307820969</v>
      </c>
      <c r="BD394">
        <f t="shared" si="346"/>
        <v>-258.66120565973995</v>
      </c>
      <c r="BF394">
        <f t="shared" si="347"/>
        <v>-58.170890089188021</v>
      </c>
      <c r="BG394">
        <f t="shared" si="348"/>
        <v>-252.24184647831979</v>
      </c>
      <c r="BH394">
        <f t="shared" ref="BH394:BH457" si="359">IF(BG394&gt;180,BG394-180,BG394+180)</f>
        <v>-72.241846478319786</v>
      </c>
      <c r="BI394">
        <f t="shared" ref="BI394:BI457" si="360">IF(BH394&gt;180,BH394-360,BH394)</f>
        <v>-72.241846478319786</v>
      </c>
      <c r="BJ394">
        <f t="shared" si="349"/>
        <v>0</v>
      </c>
      <c r="BK394">
        <f t="shared" ref="BK394:BK457" si="361">IF(BJ394&gt;0,BI394,0)</f>
        <v>0</v>
      </c>
      <c r="BM394">
        <f t="shared" ref="BM394:BM457" si="362">20*LOG(J394*F394*C394)</f>
        <v>-60.075187575814731</v>
      </c>
      <c r="BN394">
        <f t="shared" si="350"/>
        <v>-173.58064081857987</v>
      </c>
      <c r="BQ394" s="56">
        <f t="shared" ref="BQ394:BQ457" si="363">20*LOG(BA394*7)</f>
        <v>18.806258286911852</v>
      </c>
      <c r="BR394" s="59"/>
      <c r="BS394" s="59"/>
      <c r="BT394" s="59">
        <v>691830.97100000002</v>
      </c>
      <c r="BU394" s="59">
        <v>9.28308</v>
      </c>
      <c r="BV394" s="59">
        <v>111.01300000000001</v>
      </c>
      <c r="BY394" s="59"/>
      <c r="BZ394" s="59"/>
      <c r="CA394" s="59"/>
      <c r="CC394" s="59"/>
    </row>
    <row r="395" spans="1:81" x14ac:dyDescent="0.2">
      <c r="A395">
        <f t="shared" si="319"/>
        <v>905000</v>
      </c>
      <c r="B395">
        <f t="shared" si="351"/>
        <v>905</v>
      </c>
      <c r="C395">
        <f t="shared" si="320"/>
        <v>1.0061915109943427</v>
      </c>
      <c r="D395">
        <f t="shared" si="321"/>
        <v>0.11099309166260453</v>
      </c>
      <c r="F395">
        <f t="shared" si="322"/>
        <v>6.4965924740157372E-5</v>
      </c>
      <c r="G395">
        <f t="shared" si="323"/>
        <v>1.6449606168405294E-3</v>
      </c>
      <c r="H395">
        <f t="shared" si="324"/>
        <v>-3.1399476893831597</v>
      </c>
      <c r="J395">
        <f t="shared" si="325"/>
        <v>15</v>
      </c>
      <c r="M395">
        <f t="shared" si="326"/>
        <v>1.3820399202510571E-3</v>
      </c>
      <c r="N395">
        <f t="shared" si="327"/>
        <v>-1.5707963250000001</v>
      </c>
      <c r="O395">
        <f t="shared" si="328"/>
        <v>177.72757899575876</v>
      </c>
      <c r="P395">
        <f t="shared" si="329"/>
        <v>1.5651697083367906</v>
      </c>
      <c r="Q395">
        <f t="shared" si="330"/>
        <v>154.48816482629471</v>
      </c>
      <c r="R395">
        <f t="shared" si="331"/>
        <v>1.5643232938313825</v>
      </c>
      <c r="S395">
        <f t="shared" si="332"/>
        <v>0.22320951647824197</v>
      </c>
      <c r="T395">
        <f t="shared" si="333"/>
        <v>-1.3456905038368288</v>
      </c>
      <c r="U395">
        <f t="shared" si="334"/>
        <v>0.22044503668564586</v>
      </c>
      <c r="V395">
        <f t="shared" si="335"/>
        <v>-1.3485256188236407</v>
      </c>
      <c r="X395">
        <f t="shared" si="352"/>
        <v>-54.747176169539017</v>
      </c>
      <c r="Y395">
        <f t="shared" si="336"/>
        <v>-238.60678684052604</v>
      </c>
      <c r="Z395">
        <f t="shared" si="353"/>
        <v>-58.606786840526041</v>
      </c>
      <c r="AC395">
        <v>1</v>
      </c>
      <c r="AD395">
        <f t="shared" si="337"/>
        <v>177.72476567910749</v>
      </c>
      <c r="AE395">
        <f t="shared" si="338"/>
        <v>-0.12127119117847514</v>
      </c>
      <c r="AF395">
        <f t="shared" si="339"/>
        <v>2.740788259713E-2</v>
      </c>
      <c r="AG395">
        <f t="shared" si="315"/>
        <v>307.27267057476286</v>
      </c>
      <c r="AH395">
        <f t="shared" si="316"/>
        <v>-1396.0700043716402</v>
      </c>
      <c r="AJ395">
        <f t="shared" si="340"/>
        <v>26400</v>
      </c>
      <c r="AK395">
        <f t="shared" si="341"/>
        <v>115290.51892807681</v>
      </c>
      <c r="AL395">
        <v>1</v>
      </c>
      <c r="AM395">
        <f t="shared" si="342"/>
        <v>154.48492829851202</v>
      </c>
      <c r="AN395">
        <f t="shared" si="317"/>
        <v>747.36463209235785</v>
      </c>
      <c r="AO395">
        <f t="shared" si="318"/>
        <v>-166.05267355491742</v>
      </c>
      <c r="AQ395">
        <f t="shared" si="343"/>
        <v>3.0524089458780421E-3</v>
      </c>
      <c r="AR395">
        <f t="shared" si="344"/>
        <v>-5.5248601920392568</v>
      </c>
      <c r="AT395">
        <f t="shared" si="313"/>
        <v>-7712.1536706044599</v>
      </c>
      <c r="AU395">
        <f t="shared" si="314"/>
        <v>-1701.8999223305154</v>
      </c>
      <c r="AV395">
        <f t="shared" si="354"/>
        <v>-2.924396077945012</v>
      </c>
      <c r="AW395">
        <f t="shared" si="355"/>
        <v>138.14049031345419</v>
      </c>
      <c r="AX395">
        <f t="shared" si="356"/>
        <v>-6375.7126394102406</v>
      </c>
      <c r="AY395">
        <f t="shared" ref="AY395:AY458" si="364">ATAN2(AW395,AX395)</f>
        <v>-1.5491330417995639</v>
      </c>
      <c r="BA395">
        <f t="shared" si="345"/>
        <v>1.2384268927433724</v>
      </c>
      <c r="BB395">
        <f t="shared" si="357"/>
        <v>1.8574074850457074</v>
      </c>
      <c r="BC395">
        <f t="shared" si="358"/>
        <v>-1.3752630361454481</v>
      </c>
      <c r="BD395">
        <f t="shared" si="346"/>
        <v>-258.7967677815202</v>
      </c>
      <c r="BF395">
        <f t="shared" si="347"/>
        <v>-58.313441861010361</v>
      </c>
      <c r="BG395">
        <f t="shared" si="348"/>
        <v>-252.34308276595965</v>
      </c>
      <c r="BH395">
        <f t="shared" si="359"/>
        <v>-72.34308276595965</v>
      </c>
      <c r="BI395">
        <f t="shared" si="360"/>
        <v>-72.34308276595965</v>
      </c>
      <c r="BJ395">
        <f t="shared" si="349"/>
        <v>0</v>
      </c>
      <c r="BK395">
        <f t="shared" si="361"/>
        <v>0</v>
      </c>
      <c r="BM395">
        <f t="shared" si="362"/>
        <v>-60.170849346056066</v>
      </c>
      <c r="BN395">
        <f t="shared" si="350"/>
        <v>-173.54631498443945</v>
      </c>
      <c r="BQ395" s="56">
        <f t="shared" si="363"/>
        <v>18.759368285330844</v>
      </c>
      <c r="BR395" s="59"/>
      <c r="BS395" s="59"/>
      <c r="BT395" s="59">
        <v>707945.78399999999</v>
      </c>
      <c r="BU395" s="59">
        <v>9.1002899999999993</v>
      </c>
      <c r="BV395" s="59">
        <v>109.21</v>
      </c>
      <c r="BY395" s="59"/>
      <c r="BZ395" s="59"/>
      <c r="CA395" s="59"/>
      <c r="CC395" s="59"/>
    </row>
    <row r="396" spans="1:81" x14ac:dyDescent="0.2">
      <c r="A396">
        <f t="shared" si="319"/>
        <v>910000</v>
      </c>
      <c r="B396">
        <f t="shared" si="351"/>
        <v>910</v>
      </c>
      <c r="C396">
        <f t="shared" si="320"/>
        <v>1.00625990107382</v>
      </c>
      <c r="D396">
        <f t="shared" si="321"/>
        <v>0.11160124788516336</v>
      </c>
      <c r="F396">
        <f t="shared" si="322"/>
        <v>6.4253929955220587E-5</v>
      </c>
      <c r="G396">
        <f t="shared" si="323"/>
        <v>1.6359212225108017E-3</v>
      </c>
      <c r="H396">
        <f t="shared" si="324"/>
        <v>-3.1399567287774892</v>
      </c>
      <c r="J396">
        <f t="shared" si="325"/>
        <v>15</v>
      </c>
      <c r="M396">
        <f t="shared" si="326"/>
        <v>1.3744462943156119E-3</v>
      </c>
      <c r="N396">
        <f t="shared" si="327"/>
        <v>-1.5707963250000001</v>
      </c>
      <c r="O396">
        <f t="shared" si="328"/>
        <v>178.70946832097516</v>
      </c>
      <c r="P396">
        <f t="shared" si="329"/>
        <v>1.5652006231756972</v>
      </c>
      <c r="Q396">
        <f t="shared" si="330"/>
        <v>155.34165493469649</v>
      </c>
      <c r="R396">
        <f t="shared" si="331"/>
        <v>1.5643588589612638</v>
      </c>
      <c r="S396">
        <f t="shared" si="332"/>
        <v>0.22204371630274805</v>
      </c>
      <c r="T396">
        <f t="shared" si="333"/>
        <v>-1.3468863144121512</v>
      </c>
      <c r="U396">
        <f t="shared" si="334"/>
        <v>0.219292200580084</v>
      </c>
      <c r="V396">
        <f t="shared" si="335"/>
        <v>-1.349707373134351</v>
      </c>
      <c r="X396">
        <f t="shared" si="352"/>
        <v>-54.885478812465564</v>
      </c>
      <c r="Y396">
        <f t="shared" si="336"/>
        <v>-238.70487538679978</v>
      </c>
      <c r="Z396">
        <f t="shared" si="353"/>
        <v>-58.704875386799785</v>
      </c>
      <c r="AC396">
        <v>1</v>
      </c>
      <c r="AD396">
        <f t="shared" si="337"/>
        <v>178.706670461865</v>
      </c>
      <c r="AE396">
        <f t="shared" si="338"/>
        <v>-0.12261490603448645</v>
      </c>
      <c r="AF396">
        <f t="shared" si="339"/>
        <v>2.7559307362860001E-2</v>
      </c>
      <c r="AG396">
        <f t="shared" si="315"/>
        <v>304.06725680752834</v>
      </c>
      <c r="AH396">
        <f t="shared" si="316"/>
        <v>-1389.1197488225357</v>
      </c>
      <c r="AJ396">
        <f t="shared" si="340"/>
        <v>26400</v>
      </c>
      <c r="AK396">
        <f t="shared" si="341"/>
        <v>115927.4831210496</v>
      </c>
      <c r="AL396">
        <v>1</v>
      </c>
      <c r="AM396">
        <f t="shared" si="342"/>
        <v>155.33843618966401</v>
      </c>
      <c r="AN396">
        <f t="shared" si="317"/>
        <v>747.35285316866998</v>
      </c>
      <c r="AO396">
        <f t="shared" si="318"/>
        <v>-165.14037205518244</v>
      </c>
      <c r="AQ396">
        <f t="shared" si="343"/>
        <v>3.0189581515039999E-3</v>
      </c>
      <c r="AR396">
        <f t="shared" si="344"/>
        <v>-5.4945038357372793</v>
      </c>
      <c r="AT396">
        <f t="shared" si="313"/>
        <v>-7631.6058218802837</v>
      </c>
      <c r="AU396">
        <f t="shared" si="314"/>
        <v>-1674.8924032401999</v>
      </c>
      <c r="AV396">
        <f t="shared" si="354"/>
        <v>-2.9255499530542886</v>
      </c>
      <c r="AW396">
        <f t="shared" si="355"/>
        <v>144.96554163486644</v>
      </c>
      <c r="AX396">
        <f t="shared" si="356"/>
        <v>-6341.3270333810724</v>
      </c>
      <c r="AY396">
        <f t="shared" si="364"/>
        <v>-1.5479398653952248</v>
      </c>
      <c r="BA396">
        <f t="shared" si="345"/>
        <v>1.2317920417504811</v>
      </c>
      <c r="BB396">
        <f t="shared" si="357"/>
        <v>1.81074787826353</v>
      </c>
      <c r="BC396">
        <f t="shared" si="358"/>
        <v>-1.3776100876590638</v>
      </c>
      <c r="BD396">
        <f t="shared" si="346"/>
        <v>-258.9312439277038</v>
      </c>
      <c r="BF396">
        <f t="shared" si="347"/>
        <v>-58.455229697735341</v>
      </c>
      <c r="BG396">
        <f t="shared" si="348"/>
        <v>-252.44323204641123</v>
      </c>
      <c r="BH396">
        <f t="shared" si="359"/>
        <v>-72.443232046411225</v>
      </c>
      <c r="BI396">
        <f t="shared" si="360"/>
        <v>-72.443232046411225</v>
      </c>
      <c r="BJ396">
        <f t="shared" si="349"/>
        <v>0</v>
      </c>
      <c r="BK396">
        <f t="shared" si="361"/>
        <v>0</v>
      </c>
      <c r="BM396">
        <f t="shared" si="362"/>
        <v>-60.265977575998875</v>
      </c>
      <c r="BN396">
        <f t="shared" si="350"/>
        <v>-173.51198811870742</v>
      </c>
      <c r="BQ396" s="56">
        <f t="shared" si="363"/>
        <v>18.712708678548665</v>
      </c>
      <c r="BR396" s="59"/>
      <c r="BS396" s="59"/>
      <c r="BT396" s="59">
        <v>724435.96</v>
      </c>
      <c r="BU396" s="59">
        <v>8.7908299999999997</v>
      </c>
      <c r="BV396" s="59">
        <v>107.553</v>
      </c>
      <c r="BY396" s="59"/>
      <c r="BZ396" s="59"/>
      <c r="CA396" s="59"/>
      <c r="CC396" s="59"/>
    </row>
    <row r="397" spans="1:81" x14ac:dyDescent="0.2">
      <c r="A397">
        <f t="shared" si="319"/>
        <v>915000</v>
      </c>
      <c r="B397">
        <f t="shared" si="351"/>
        <v>915</v>
      </c>
      <c r="C397">
        <f t="shared" si="320"/>
        <v>1.0063286632718722</v>
      </c>
      <c r="D397">
        <f t="shared" si="321"/>
        <v>0.1122093212222551</v>
      </c>
      <c r="F397">
        <f t="shared" si="322"/>
        <v>6.3553576264859568E-5</v>
      </c>
      <c r="G397">
        <f t="shared" si="323"/>
        <v>1.6269806380623483E-3</v>
      </c>
      <c r="H397">
        <f t="shared" si="324"/>
        <v>-3.139965669361938</v>
      </c>
      <c r="J397">
        <f t="shared" si="325"/>
        <v>15</v>
      </c>
      <c r="M397">
        <f t="shared" si="326"/>
        <v>1.3669356588275482E-3</v>
      </c>
      <c r="N397">
        <f t="shared" si="327"/>
        <v>-1.5707963250000001</v>
      </c>
      <c r="O397">
        <f t="shared" si="328"/>
        <v>179.69135781512244</v>
      </c>
      <c r="P397">
        <f t="shared" si="329"/>
        <v>1.5652312001580333</v>
      </c>
      <c r="Q397">
        <f t="shared" si="330"/>
        <v>156.19514523743928</v>
      </c>
      <c r="R397">
        <f t="shared" si="331"/>
        <v>1.5643940354172208</v>
      </c>
      <c r="S397">
        <f t="shared" si="332"/>
        <v>0.22088971960440182</v>
      </c>
      <c r="T397">
        <f t="shared" si="333"/>
        <v>-1.3480696970275023</v>
      </c>
      <c r="U397">
        <f t="shared" si="334"/>
        <v>0.21815105953625527</v>
      </c>
      <c r="V397">
        <f t="shared" si="335"/>
        <v>-1.3508768299641649</v>
      </c>
      <c r="X397">
        <f t="shared" si="352"/>
        <v>-55.023065576671435</v>
      </c>
      <c r="Y397">
        <f t="shared" si="336"/>
        <v>-238.80158798439302</v>
      </c>
      <c r="Z397">
        <f t="shared" si="353"/>
        <v>-58.801587984393024</v>
      </c>
      <c r="AC397">
        <v>1</v>
      </c>
      <c r="AD397">
        <f t="shared" si="337"/>
        <v>179.68857524462251</v>
      </c>
      <c r="AE397">
        <f t="shared" si="338"/>
        <v>-0.12396602427813419</v>
      </c>
      <c r="AF397">
        <f t="shared" si="339"/>
        <v>2.7710732128590002E-2</v>
      </c>
      <c r="AG397">
        <f t="shared" si="315"/>
        <v>300.91091272892174</v>
      </c>
      <c r="AH397">
        <f t="shared" si="316"/>
        <v>-1382.2344835628119</v>
      </c>
      <c r="AJ397">
        <f t="shared" si="340"/>
        <v>26400</v>
      </c>
      <c r="AK397">
        <f t="shared" si="341"/>
        <v>116564.44731402241</v>
      </c>
      <c r="AL397">
        <v>1</v>
      </c>
      <c r="AM397">
        <f t="shared" si="342"/>
        <v>156.19194408081603</v>
      </c>
      <c r="AN397">
        <f t="shared" si="317"/>
        <v>747.34126680346628</v>
      </c>
      <c r="AO397">
        <f t="shared" si="318"/>
        <v>-164.23803983080884</v>
      </c>
      <c r="AQ397">
        <f t="shared" si="343"/>
        <v>2.9860542309253094E-3</v>
      </c>
      <c r="AR397">
        <f t="shared" si="344"/>
        <v>-5.4644792425933169</v>
      </c>
      <c r="AT397">
        <f t="shared" si="313"/>
        <v>-7552.2931075215929</v>
      </c>
      <c r="AU397">
        <f t="shared" si="314"/>
        <v>-1648.4488636047756</v>
      </c>
      <c r="AV397">
        <f t="shared" si="354"/>
        <v>-2.9266918353628837</v>
      </c>
      <c r="AW397">
        <f t="shared" si="355"/>
        <v>151.6757094262228</v>
      </c>
      <c r="AX397">
        <f t="shared" si="356"/>
        <v>-6307.3074669404996</v>
      </c>
      <c r="AY397">
        <f t="shared" si="364"/>
        <v>-1.5467533444359407</v>
      </c>
      <c r="BA397">
        <f t="shared" si="345"/>
        <v>1.2252249234161898</v>
      </c>
      <c r="BB397">
        <f t="shared" si="357"/>
        <v>1.7643164520806658</v>
      </c>
      <c r="BC397">
        <f t="shared" si="358"/>
        <v>-1.379938490926943</v>
      </c>
      <c r="BD397">
        <f t="shared" si="346"/>
        <v>-259.06465160811024</v>
      </c>
      <c r="BF397">
        <f t="shared" si="347"/>
        <v>-58.59626162825262</v>
      </c>
      <c r="BG397">
        <f t="shared" si="348"/>
        <v>-252.54231194868393</v>
      </c>
      <c r="BH397">
        <f t="shared" si="359"/>
        <v>-72.542311948683931</v>
      </c>
      <c r="BI397">
        <f t="shared" si="360"/>
        <v>-72.542311948683931</v>
      </c>
      <c r="BJ397">
        <f t="shared" si="349"/>
        <v>0</v>
      </c>
      <c r="BK397">
        <f t="shared" si="361"/>
        <v>0</v>
      </c>
      <c r="BM397">
        <f t="shared" si="362"/>
        <v>-60.360578080333283</v>
      </c>
      <c r="BN397">
        <f t="shared" si="350"/>
        <v>-173.47766034057369</v>
      </c>
      <c r="BQ397" s="56">
        <f t="shared" si="363"/>
        <v>18.666277252365802</v>
      </c>
      <c r="BR397" s="59"/>
      <c r="BS397" s="59"/>
      <c r="BT397" s="59">
        <v>741310.24100000004</v>
      </c>
      <c r="BU397" s="59">
        <v>8.6150300000000009</v>
      </c>
      <c r="BV397" s="59">
        <v>107.324</v>
      </c>
      <c r="BY397" s="59"/>
      <c r="BZ397" s="59"/>
      <c r="CA397" s="59"/>
      <c r="CC397" s="59"/>
    </row>
    <row r="398" spans="1:81" x14ac:dyDescent="0.2">
      <c r="A398">
        <f t="shared" si="319"/>
        <v>920000</v>
      </c>
      <c r="B398">
        <f t="shared" si="351"/>
        <v>920</v>
      </c>
      <c r="C398">
        <f t="shared" si="320"/>
        <v>1.0063977975122242</v>
      </c>
      <c r="D398">
        <f t="shared" si="321"/>
        <v>0.11281731124124139</v>
      </c>
      <c r="F398">
        <f t="shared" si="322"/>
        <v>6.2864611264693959E-5</v>
      </c>
      <c r="G398">
        <f t="shared" si="323"/>
        <v>1.6181372520615355E-3</v>
      </c>
      <c r="H398">
        <f t="shared" si="324"/>
        <v>-3.1399745127479388</v>
      </c>
      <c r="J398">
        <f t="shared" si="325"/>
        <v>15</v>
      </c>
      <c r="M398">
        <f t="shared" si="326"/>
        <v>1.3595066606817464E-3</v>
      </c>
      <c r="N398">
        <f t="shared" si="327"/>
        <v>-1.5707963250000001</v>
      </c>
      <c r="O398">
        <f t="shared" si="328"/>
        <v>180.67324747544646</v>
      </c>
      <c r="P398">
        <f t="shared" si="329"/>
        <v>1.5652614447921034</v>
      </c>
      <c r="Q398">
        <f t="shared" si="330"/>
        <v>157.04863573135461</v>
      </c>
      <c r="R398">
        <f t="shared" si="331"/>
        <v>1.5644288295359829</v>
      </c>
      <c r="S398">
        <f t="shared" si="332"/>
        <v>0.21974735292314387</v>
      </c>
      <c r="T398">
        <f t="shared" si="333"/>
        <v>-1.3492408411620889</v>
      </c>
      <c r="U398">
        <f t="shared" si="334"/>
        <v>0.21702144121710598</v>
      </c>
      <c r="V398">
        <f t="shared" si="335"/>
        <v>-1.3520341771237274</v>
      </c>
      <c r="X398">
        <f t="shared" si="352"/>
        <v>-55.159943497731703</v>
      </c>
      <c r="Y398">
        <f t="shared" si="336"/>
        <v>-238.89694568886796</v>
      </c>
      <c r="Z398">
        <f t="shared" si="353"/>
        <v>-58.896945688867959</v>
      </c>
      <c r="AC398">
        <v>1</v>
      </c>
      <c r="AD398">
        <f t="shared" si="337"/>
        <v>180.67048002738002</v>
      </c>
      <c r="AE398">
        <f t="shared" si="338"/>
        <v>-0.12532454590941836</v>
      </c>
      <c r="AF398">
        <f t="shared" si="339"/>
        <v>2.7862156894319999E-2</v>
      </c>
      <c r="AG398">
        <f t="shared" si="315"/>
        <v>297.80265905782005</v>
      </c>
      <c r="AH398">
        <f t="shared" si="316"/>
        <v>-1375.4133666819953</v>
      </c>
      <c r="AJ398">
        <f t="shared" si="340"/>
        <v>26400</v>
      </c>
      <c r="AK398">
        <f t="shared" si="341"/>
        <v>117201.41150699521</v>
      </c>
      <c r="AL398">
        <v>1</v>
      </c>
      <c r="AM398">
        <f t="shared" si="342"/>
        <v>157.04545197196802</v>
      </c>
      <c r="AN398">
        <f t="shared" si="317"/>
        <v>747.32986882237242</v>
      </c>
      <c r="AO398">
        <f t="shared" si="318"/>
        <v>-163.34551436584437</v>
      </c>
      <c r="AQ398">
        <f t="shared" si="343"/>
        <v>2.9536853279521127E-3</v>
      </c>
      <c r="AR398">
        <f t="shared" si="344"/>
        <v>-5.4347810034318869</v>
      </c>
      <c r="AT398">
        <f t="shared" si="313"/>
        <v>-7474.1908217649207</v>
      </c>
      <c r="AU398">
        <f t="shared" si="314"/>
        <v>-1622.5547724999813</v>
      </c>
      <c r="AV398">
        <f t="shared" si="354"/>
        <v>-2.9278219077140561</v>
      </c>
      <c r="AW398">
        <f t="shared" si="355"/>
        <v>158.27356810401349</v>
      </c>
      <c r="AX398">
        <f t="shared" si="356"/>
        <v>-6273.6481638090254</v>
      </c>
      <c r="AY398">
        <f t="shared" si="364"/>
        <v>-1.545573362721919</v>
      </c>
      <c r="BA398">
        <f t="shared" si="345"/>
        <v>1.2187245258408281</v>
      </c>
      <c r="BB398">
        <f t="shared" si="357"/>
        <v>1.7181110208619932</v>
      </c>
      <c r="BC398">
        <f t="shared" si="358"/>
        <v>-1.3822485449921371</v>
      </c>
      <c r="BD398">
        <f t="shared" si="346"/>
        <v>-259.19700795664414</v>
      </c>
      <c r="BF398">
        <f t="shared" si="347"/>
        <v>-58.736545557827611</v>
      </c>
      <c r="BG398">
        <f t="shared" si="348"/>
        <v>-252.64033972379906</v>
      </c>
      <c r="BH398">
        <f t="shared" si="359"/>
        <v>-72.640339723799059</v>
      </c>
      <c r="BI398">
        <f t="shared" si="360"/>
        <v>-72.640339723799059</v>
      </c>
      <c r="BJ398">
        <f t="shared" si="349"/>
        <v>0</v>
      </c>
      <c r="BK398">
        <f t="shared" si="361"/>
        <v>0</v>
      </c>
      <c r="BM398">
        <f t="shared" si="362"/>
        <v>-60.454656578689601</v>
      </c>
      <c r="BN398">
        <f t="shared" si="350"/>
        <v>-173.44333176715494</v>
      </c>
      <c r="BQ398" s="56">
        <f t="shared" si="363"/>
        <v>18.620071821147128</v>
      </c>
      <c r="BR398" s="59"/>
      <c r="BS398" s="59"/>
      <c r="BT398" s="59">
        <v>758577.57499999995</v>
      </c>
      <c r="BU398" s="59">
        <v>8.3056699999999992</v>
      </c>
      <c r="BV398" s="59">
        <v>105.50700000000001</v>
      </c>
      <c r="BY398" s="59"/>
      <c r="BZ398" s="59"/>
      <c r="CA398" s="59"/>
      <c r="CC398" s="59"/>
    </row>
    <row r="399" spans="1:81" x14ac:dyDescent="0.2">
      <c r="A399">
        <f t="shared" si="319"/>
        <v>925000</v>
      </c>
      <c r="B399">
        <f t="shared" si="351"/>
        <v>925</v>
      </c>
      <c r="C399">
        <f t="shared" si="320"/>
        <v>1.0064673037182092</v>
      </c>
      <c r="D399">
        <f t="shared" si="321"/>
        <v>0.11342521750984885</v>
      </c>
      <c r="F399">
        <f t="shared" si="322"/>
        <v>6.21867893544315E-5</v>
      </c>
      <c r="G399">
        <f t="shared" si="323"/>
        <v>1.6093894879273434E-3</v>
      </c>
      <c r="H399">
        <f t="shared" si="324"/>
        <v>-3.1399832605120728</v>
      </c>
      <c r="J399">
        <f t="shared" si="325"/>
        <v>15</v>
      </c>
      <c r="M399">
        <f t="shared" si="326"/>
        <v>1.3521579760294128E-3</v>
      </c>
      <c r="N399">
        <f t="shared" si="327"/>
        <v>-1.5707963250000001</v>
      </c>
      <c r="O399">
        <f t="shared" si="328"/>
        <v>181.65513729925252</v>
      </c>
      <c r="P399">
        <f t="shared" si="329"/>
        <v>1.5652913624671192</v>
      </c>
      <c r="Q399">
        <f t="shared" si="330"/>
        <v>157.90212641334247</v>
      </c>
      <c r="R399">
        <f t="shared" si="331"/>
        <v>1.5644632475172788</v>
      </c>
      <c r="S399">
        <f t="shared" si="332"/>
        <v>0.21861644607732239</v>
      </c>
      <c r="T399">
        <f t="shared" si="333"/>
        <v>-1.3503999325304317</v>
      </c>
      <c r="U399">
        <f t="shared" si="334"/>
        <v>0.21590317655485133</v>
      </c>
      <c r="V399">
        <f t="shared" si="335"/>
        <v>-1.3531795986839699</v>
      </c>
      <c r="X399">
        <f t="shared" si="352"/>
        <v>-55.296119511360459</v>
      </c>
      <c r="Y399">
        <f t="shared" si="336"/>
        <v>-238.99096913847214</v>
      </c>
      <c r="Z399">
        <f t="shared" si="353"/>
        <v>-58.990969138472138</v>
      </c>
      <c r="AC399">
        <v>1</v>
      </c>
      <c r="AD399">
        <f t="shared" si="337"/>
        <v>181.65238481013751</v>
      </c>
      <c r="AE399">
        <f t="shared" si="338"/>
        <v>-0.12669047092833893</v>
      </c>
      <c r="AF399">
        <f t="shared" si="339"/>
        <v>2.801358166005E-2</v>
      </c>
      <c r="AG399">
        <f t="shared" si="315"/>
        <v>294.74154037442338</v>
      </c>
      <c r="AH399">
        <f t="shared" si="316"/>
        <v>-1368.6555691969054</v>
      </c>
      <c r="AJ399">
        <f t="shared" si="340"/>
        <v>26400</v>
      </c>
      <c r="AK399">
        <f t="shared" si="341"/>
        <v>117838.37569996802</v>
      </c>
      <c r="AL399">
        <v>1</v>
      </c>
      <c r="AM399">
        <f t="shared" si="342"/>
        <v>157.89895986312001</v>
      </c>
      <c r="AN399">
        <f t="shared" si="317"/>
        <v>747.31865516352025</v>
      </c>
      <c r="AO399">
        <f t="shared" si="318"/>
        <v>-162.46263665748251</v>
      </c>
      <c r="AQ399">
        <f t="shared" si="343"/>
        <v>2.9218399059635046E-3</v>
      </c>
      <c r="AR399">
        <f t="shared" si="344"/>
        <v>-5.405403826032483</v>
      </c>
      <c r="AT399">
        <f t="shared" si="313"/>
        <v>-7397.2748626630073</v>
      </c>
      <c r="AU399">
        <f t="shared" si="314"/>
        <v>-1597.1960424902143</v>
      </c>
      <c r="AV399">
        <f t="shared" si="354"/>
        <v>-2.9289403493187494</v>
      </c>
      <c r="AW399">
        <f t="shared" si="355"/>
        <v>164.7616201849915</v>
      </c>
      <c r="AX399">
        <f t="shared" si="356"/>
        <v>-6240.3434680157507</v>
      </c>
      <c r="AY399">
        <f t="shared" si="364"/>
        <v>-1.5443998068080316</v>
      </c>
      <c r="BA399">
        <f t="shared" si="345"/>
        <v>1.2122898565497451</v>
      </c>
      <c r="BB399">
        <f t="shared" si="357"/>
        <v>1.6721294271280398</v>
      </c>
      <c r="BC399">
        <f t="shared" si="358"/>
        <v>-1.3845405425107178</v>
      </c>
      <c r="BD399">
        <f t="shared" si="346"/>
        <v>-259.3283297412633</v>
      </c>
      <c r="BF399">
        <f t="shared" si="347"/>
        <v>-58.87608927057201</v>
      </c>
      <c r="BG399">
        <f t="shared" si="348"/>
        <v>-252.73733225481334</v>
      </c>
      <c r="BH399">
        <f t="shared" si="359"/>
        <v>-72.737332254813339</v>
      </c>
      <c r="BI399">
        <f t="shared" si="360"/>
        <v>-72.737332254813339</v>
      </c>
      <c r="BJ399">
        <f t="shared" si="349"/>
        <v>0</v>
      </c>
      <c r="BK399">
        <f t="shared" si="361"/>
        <v>0</v>
      </c>
      <c r="BM399">
        <f t="shared" si="362"/>
        <v>-60.548218697700051</v>
      </c>
      <c r="BN399">
        <f t="shared" si="350"/>
        <v>-173.40900251355001</v>
      </c>
      <c r="BQ399" s="56">
        <f t="shared" si="363"/>
        <v>18.574090227413176</v>
      </c>
      <c r="BR399" s="59"/>
      <c r="BS399" s="59"/>
      <c r="BT399" s="59">
        <v>776247.11699999997</v>
      </c>
      <c r="BU399" s="59">
        <v>7.9999099999999999</v>
      </c>
      <c r="BV399" s="59">
        <v>105.28700000000001</v>
      </c>
      <c r="BY399" s="59"/>
      <c r="BZ399" s="59"/>
      <c r="CA399" s="59"/>
      <c r="CC399" s="59"/>
    </row>
    <row r="400" spans="1:81" x14ac:dyDescent="0.2">
      <c r="A400">
        <f t="shared" si="319"/>
        <v>930000</v>
      </c>
      <c r="B400">
        <f t="shared" si="351"/>
        <v>930</v>
      </c>
      <c r="C400">
        <f t="shared" si="320"/>
        <v>1.0065371818127695</v>
      </c>
      <c r="D400">
        <f t="shared" si="321"/>
        <v>0.11403303959617074</v>
      </c>
      <c r="F400">
        <f t="shared" si="322"/>
        <v>6.1519871518942468E-5</v>
      </c>
      <c r="G400">
        <f t="shared" si="323"/>
        <v>1.6007358029941185E-3</v>
      </c>
      <c r="H400">
        <f t="shared" si="324"/>
        <v>-3.1399919141970063</v>
      </c>
      <c r="J400">
        <f t="shared" si="325"/>
        <v>15</v>
      </c>
      <c r="M400">
        <f t="shared" si="326"/>
        <v>1.3448883094916201E-3</v>
      </c>
      <c r="N400">
        <f t="shared" si="327"/>
        <v>-1.5707963250000001</v>
      </c>
      <c r="O400">
        <f t="shared" si="328"/>
        <v>182.63702728390385</v>
      </c>
      <c r="P400">
        <f t="shared" si="329"/>
        <v>1.5653209584564012</v>
      </c>
      <c r="Q400">
        <f t="shared" si="330"/>
        <v>158.75561728036956</v>
      </c>
      <c r="R400">
        <f t="shared" si="331"/>
        <v>1.5644972954275178</v>
      </c>
      <c r="S400">
        <f t="shared" si="332"/>
        <v>0.21749683208938844</v>
      </c>
      <c r="T400">
        <f t="shared" si="333"/>
        <v>-1.3515471531736518</v>
      </c>
      <c r="U400">
        <f t="shared" si="334"/>
        <v>0.21479609967650432</v>
      </c>
      <c r="V400">
        <f t="shared" si="335"/>
        <v>-1.3543132750670408</v>
      </c>
      <c r="X400">
        <f t="shared" si="352"/>
        <v>-55.431600455213882</v>
      </c>
      <c r="Y400">
        <f t="shared" si="336"/>
        <v>-239.083678564237</v>
      </c>
      <c r="Z400">
        <f t="shared" si="353"/>
        <v>-59.083678564237005</v>
      </c>
      <c r="AC400">
        <v>1</v>
      </c>
      <c r="AD400">
        <f t="shared" si="337"/>
        <v>182.63428959289499</v>
      </c>
      <c r="AE400">
        <f t="shared" si="338"/>
        <v>-0.12806379933489595</v>
      </c>
      <c r="AF400">
        <f t="shared" si="339"/>
        <v>2.8165006425780001E-2</v>
      </c>
      <c r="AG400">
        <f t="shared" si="315"/>
        <v>291.72662443986934</v>
      </c>
      <c r="AH400">
        <f t="shared" si="316"/>
        <v>-1361.9602748537859</v>
      </c>
      <c r="AJ400">
        <f t="shared" si="340"/>
        <v>26400</v>
      </c>
      <c r="AK400">
        <f t="shared" si="341"/>
        <v>118475.33989294081</v>
      </c>
      <c r="AL400">
        <v>1</v>
      </c>
      <c r="AM400">
        <f t="shared" si="342"/>
        <v>158.752467754272</v>
      </c>
      <c r="AN400">
        <f t="shared" si="317"/>
        <v>747.30762187392816</v>
      </c>
      <c r="AO400">
        <f t="shared" si="318"/>
        <v>-161.58925112164602</v>
      </c>
      <c r="AQ400">
        <f t="shared" si="343"/>
        <v>2.8905067376266799E-3</v>
      </c>
      <c r="AR400">
        <f t="shared" si="344"/>
        <v>-5.3763425319856246</v>
      </c>
      <c r="AT400">
        <f t="shared" si="313"/>
        <v>-7321.5217147977519</v>
      </c>
      <c r="AU400">
        <f t="shared" si="314"/>
        <v>-1572.3590140395113</v>
      </c>
      <c r="AV400">
        <f t="shared" si="354"/>
        <v>-2.9300473358436316</v>
      </c>
      <c r="AW400">
        <f t="shared" si="355"/>
        <v>171.14229868565059</v>
      </c>
      <c r="AX400">
        <f t="shared" si="356"/>
        <v>-6207.3878407918755</v>
      </c>
      <c r="AY400">
        <f t="shared" si="364"/>
        <v>-1.5432325659233643</v>
      </c>
      <c r="BA400">
        <f t="shared" si="345"/>
        <v>1.2059199420490319</v>
      </c>
      <c r="BB400">
        <f t="shared" si="357"/>
        <v>1.6263695411503787</v>
      </c>
      <c r="BC400">
        <f t="shared" si="358"/>
        <v>-1.3868147699202673</v>
      </c>
      <c r="BD400">
        <f t="shared" si="346"/>
        <v>-259.45863337363232</v>
      </c>
      <c r="BF400">
        <f t="shared" si="347"/>
        <v>-59.014900431854471</v>
      </c>
      <c r="BG400">
        <f t="shared" si="348"/>
        <v>-252.83330606652598</v>
      </c>
      <c r="BH400">
        <f t="shared" si="359"/>
        <v>-72.833306066525978</v>
      </c>
      <c r="BI400">
        <f t="shared" si="360"/>
        <v>-72.833306066525978</v>
      </c>
      <c r="BJ400">
        <f t="shared" si="349"/>
        <v>0</v>
      </c>
      <c r="BK400">
        <f t="shared" si="361"/>
        <v>0</v>
      </c>
      <c r="BM400">
        <f t="shared" si="362"/>
        <v>-60.641269973004846</v>
      </c>
      <c r="BN400">
        <f t="shared" si="350"/>
        <v>-173.37467269289365</v>
      </c>
      <c r="BQ400" s="56">
        <f t="shared" si="363"/>
        <v>18.528330341435513</v>
      </c>
      <c r="BR400" s="59"/>
      <c r="BS400" s="59"/>
      <c r="BT400" s="59">
        <v>794328.23499999999</v>
      </c>
      <c r="BU400" s="59">
        <v>7.7399399999999998</v>
      </c>
      <c r="BV400" s="59">
        <v>105.286</v>
      </c>
      <c r="BY400" s="59"/>
      <c r="BZ400" s="59"/>
      <c r="CA400" s="59"/>
      <c r="CC400" s="59"/>
    </row>
    <row r="401" spans="1:81" x14ac:dyDescent="0.2">
      <c r="A401">
        <f t="shared" si="319"/>
        <v>935000</v>
      </c>
      <c r="B401">
        <f t="shared" si="351"/>
        <v>935</v>
      </c>
      <c r="C401">
        <f t="shared" si="320"/>
        <v>1.0066074317184557</v>
      </c>
      <c r="D401">
        <f t="shared" si="321"/>
        <v>0.11464077706866872</v>
      </c>
      <c r="F401">
        <f t="shared" si="322"/>
        <v>6.0863625117508352E-5</v>
      </c>
      <c r="G401">
        <f t="shared" si="323"/>
        <v>1.5921746876044181E-3</v>
      </c>
      <c r="H401">
        <f t="shared" si="324"/>
        <v>-3.1400004753123958</v>
      </c>
      <c r="J401">
        <f t="shared" si="325"/>
        <v>15</v>
      </c>
      <c r="M401">
        <f t="shared" si="326"/>
        <v>1.3376963933980821E-3</v>
      </c>
      <c r="N401">
        <f t="shared" si="327"/>
        <v>-1.5707963250000001</v>
      </c>
      <c r="O401">
        <f t="shared" si="328"/>
        <v>183.61891742682019</v>
      </c>
      <c r="P401">
        <f t="shared" si="329"/>
        <v>1.5653502379204773</v>
      </c>
      <c r="Q401">
        <f t="shared" si="330"/>
        <v>159.60910832946749</v>
      </c>
      <c r="R401">
        <f t="shared" si="331"/>
        <v>1.5645309792033557</v>
      </c>
      <c r="S401">
        <f t="shared" si="332"/>
        <v>0.21638834711351237</v>
      </c>
      <c r="T401">
        <f t="shared" si="333"/>
        <v>-1.3526826815481676</v>
      </c>
      <c r="U401">
        <f t="shared" si="334"/>
        <v>0.21370004783134269</v>
      </c>
      <c r="V401">
        <f t="shared" si="335"/>
        <v>-1.3554353831346462</v>
      </c>
      <c r="X401">
        <f t="shared" si="352"/>
        <v>-55.566393070654954</v>
      </c>
      <c r="Y401">
        <f t="shared" si="336"/>
        <v>-239.17509379979202</v>
      </c>
      <c r="Z401">
        <f t="shared" si="353"/>
        <v>-59.175093799792023</v>
      </c>
      <c r="AC401">
        <v>1</v>
      </c>
      <c r="AD401">
        <f t="shared" si="337"/>
        <v>183.6161943756525</v>
      </c>
      <c r="AE401">
        <f t="shared" si="338"/>
        <v>-0.12944453112908935</v>
      </c>
      <c r="AF401">
        <f t="shared" si="339"/>
        <v>2.8316431191510002E-2</v>
      </c>
      <c r="AG401">
        <f t="shared" si="315"/>
        <v>288.75700153786926</v>
      </c>
      <c r="AH401">
        <f t="shared" si="316"/>
        <v>-1355.3266799319661</v>
      </c>
      <c r="AJ401">
        <f t="shared" si="340"/>
        <v>26400</v>
      </c>
      <c r="AK401">
        <f t="shared" si="341"/>
        <v>119112.30408591362</v>
      </c>
      <c r="AL401">
        <v>1</v>
      </c>
      <c r="AM401">
        <f t="shared" si="342"/>
        <v>159.60597564542402</v>
      </c>
      <c r="AN401">
        <f t="shared" si="317"/>
        <v>747.2967651060178</v>
      </c>
      <c r="AO401">
        <f t="shared" si="318"/>
        <v>-160.72520550159902</v>
      </c>
      <c r="AQ401">
        <f t="shared" si="343"/>
        <v>2.8596748949998871E-3</v>
      </c>
      <c r="AR401">
        <f t="shared" si="344"/>
        <v>-5.3475920536497892</v>
      </c>
      <c r="AT401">
        <f t="shared" si="313"/>
        <v>-7246.9084325556796</v>
      </c>
      <c r="AU401">
        <f t="shared" si="314"/>
        <v>-1548.0304405407746</v>
      </c>
      <c r="AV401">
        <f t="shared" si="354"/>
        <v>-2.9311430394966478</v>
      </c>
      <c r="AW401">
        <f t="shared" si="355"/>
        <v>177.41796942878128</v>
      </c>
      <c r="AX401">
        <f t="shared" si="356"/>
        <v>-6174.7758575598891</v>
      </c>
      <c r="AY401">
        <f t="shared" si="364"/>
        <v>-1.5420715318935421</v>
      </c>
      <c r="BA401">
        <f t="shared" si="345"/>
        <v>1.1996138273926436</v>
      </c>
      <c r="BB401">
        <f t="shared" si="357"/>
        <v>1.580829260551303</v>
      </c>
      <c r="BC401">
        <f t="shared" si="358"/>
        <v>-1.3890715076031057</v>
      </c>
      <c r="BD401">
        <f t="shared" si="346"/>
        <v>-259.58793491847484</v>
      </c>
      <c r="BF401">
        <f t="shared" si="347"/>
        <v>-59.152986590653249</v>
      </c>
      <c r="BG401">
        <f t="shared" si="348"/>
        <v>-252.92827733488295</v>
      </c>
      <c r="BH401">
        <f t="shared" si="359"/>
        <v>-72.928277334882949</v>
      </c>
      <c r="BI401">
        <f t="shared" si="360"/>
        <v>-72.928277334882949</v>
      </c>
      <c r="BJ401">
        <f t="shared" si="349"/>
        <v>0</v>
      </c>
      <c r="BK401">
        <f t="shared" si="361"/>
        <v>0</v>
      </c>
      <c r="BM401">
        <f t="shared" si="362"/>
        <v>-60.733815851204554</v>
      </c>
      <c r="BN401">
        <f t="shared" si="350"/>
        <v>-173.34034241640808</v>
      </c>
      <c r="BQ401" s="56">
        <f t="shared" si="363"/>
        <v>18.482790060836439</v>
      </c>
      <c r="BR401" s="59"/>
      <c r="BS401" s="59"/>
      <c r="BT401" s="59">
        <v>812830.51599999995</v>
      </c>
      <c r="BU401" s="59">
        <v>7.5259600000000004</v>
      </c>
      <c r="BV401" s="59">
        <v>105.187</v>
      </c>
      <c r="BY401" s="59"/>
      <c r="BZ401" s="59"/>
      <c r="CA401" s="59"/>
      <c r="CC401" s="59"/>
    </row>
    <row r="402" spans="1:81" x14ac:dyDescent="0.2">
      <c r="A402">
        <f t="shared" si="319"/>
        <v>940000</v>
      </c>
      <c r="B402">
        <f t="shared" si="351"/>
        <v>940</v>
      </c>
      <c r="C402">
        <f t="shared" si="320"/>
        <v>1.0066780533574291</v>
      </c>
      <c r="D402">
        <f t="shared" si="321"/>
        <v>0.11524842949617467</v>
      </c>
      <c r="F402">
        <f t="shared" si="322"/>
        <v>6.0217823680897973E-5</v>
      </c>
      <c r="G402">
        <f t="shared" si="323"/>
        <v>1.5837046642308127E-3</v>
      </c>
      <c r="H402">
        <f t="shared" si="324"/>
        <v>-3.1400089453357696</v>
      </c>
      <c r="J402">
        <f t="shared" si="325"/>
        <v>15</v>
      </c>
      <c r="M402">
        <f t="shared" si="326"/>
        <v>1.33058098705022E-3</v>
      </c>
      <c r="N402">
        <f t="shared" si="327"/>
        <v>-1.5707963250000001</v>
      </c>
      <c r="O402">
        <f t="shared" si="328"/>
        <v>184.60080772547607</v>
      </c>
      <c r="P402">
        <f t="shared" si="329"/>
        <v>1.5653792059100826</v>
      </c>
      <c r="Q402">
        <f t="shared" si="330"/>
        <v>160.46259955773093</v>
      </c>
      <c r="R402">
        <f t="shared" si="331"/>
        <v>1.5645643046551443</v>
      </c>
      <c r="S402">
        <f t="shared" si="332"/>
        <v>0.21529083036506619</v>
      </c>
      <c r="T402">
        <f t="shared" si="333"/>
        <v>-1.3538066926118866</v>
      </c>
      <c r="U402">
        <f t="shared" si="334"/>
        <v>0.21261486132026008</v>
      </c>
      <c r="V402">
        <f t="shared" si="335"/>
        <v>-1.356546096273888</v>
      </c>
      <c r="X402">
        <f t="shared" si="352"/>
        <v>-55.700504004480607</v>
      </c>
      <c r="Y402">
        <f t="shared" si="336"/>
        <v>-239.26523429090193</v>
      </c>
      <c r="Z402">
        <f t="shared" si="353"/>
        <v>-59.26523429090193</v>
      </c>
      <c r="AC402">
        <v>1</v>
      </c>
      <c r="AD402">
        <f t="shared" si="337"/>
        <v>184.59809915841001</v>
      </c>
      <c r="AE402">
        <f t="shared" si="338"/>
        <v>-0.13083266631091922</v>
      </c>
      <c r="AF402">
        <f t="shared" si="339"/>
        <v>2.8467855957239999E-2</v>
      </c>
      <c r="AG402">
        <f t="shared" si="315"/>
        <v>285.83178383757212</v>
      </c>
      <c r="AH402">
        <f t="shared" si="316"/>
        <v>-1348.7539930491635</v>
      </c>
      <c r="AJ402">
        <f t="shared" si="340"/>
        <v>26400</v>
      </c>
      <c r="AK402">
        <f t="shared" si="341"/>
        <v>119749.26827888642</v>
      </c>
      <c r="AL402">
        <v>1</v>
      </c>
      <c r="AM402">
        <f t="shared" si="342"/>
        <v>160.45948353657602</v>
      </c>
      <c r="AN402">
        <f t="shared" si="317"/>
        <v>747.28608111425922</v>
      </c>
      <c r="AO402">
        <f t="shared" si="318"/>
        <v>-159.87035077947462</v>
      </c>
      <c r="AQ402">
        <f t="shared" si="343"/>
        <v>2.829333740002903E-3</v>
      </c>
      <c r="AR402">
        <f t="shared" si="344"/>
        <v>-5.3191474312054572</v>
      </c>
      <c r="AT402">
        <f t="shared" si="313"/>
        <v>-7173.4126239455845</v>
      </c>
      <c r="AU402">
        <f t="shared" si="314"/>
        <v>-1524.1974739359928</v>
      </c>
      <c r="AV402">
        <f t="shared" si="354"/>
        <v>-2.9322276291101468</v>
      </c>
      <c r="AW402">
        <f t="shared" si="355"/>
        <v>183.59093326118625</v>
      </c>
      <c r="AX402">
        <f t="shared" si="356"/>
        <v>-6142.5022050149755</v>
      </c>
      <c r="AY402">
        <f t="shared" si="364"/>
        <v>-1.5409165990657223</v>
      </c>
      <c r="BA402">
        <f t="shared" si="345"/>
        <v>1.193370575760607</v>
      </c>
      <c r="BB402">
        <f t="shared" si="357"/>
        <v>1.5355065099078422</v>
      </c>
      <c r="BC402">
        <f t="shared" si="358"/>
        <v>-1.3913110300444245</v>
      </c>
      <c r="BD402">
        <f t="shared" si="346"/>
        <v>-259.71625010263392</v>
      </c>
      <c r="BF402">
        <f t="shared" si="347"/>
        <v>-59.290355181852455</v>
      </c>
      <c r="BG402">
        <f t="shared" si="348"/>
        <v>-253.02226189608746</v>
      </c>
      <c r="BH402">
        <f t="shared" si="359"/>
        <v>-73.022261896087457</v>
      </c>
      <c r="BI402">
        <f t="shared" si="360"/>
        <v>-73.022261896087457</v>
      </c>
      <c r="BJ402">
        <f t="shared" si="349"/>
        <v>0</v>
      </c>
      <c r="BK402">
        <f t="shared" si="361"/>
        <v>0</v>
      </c>
      <c r="BM402">
        <f t="shared" si="362"/>
        <v>-60.825861691760295</v>
      </c>
      <c r="BN402">
        <f t="shared" si="350"/>
        <v>-173.30601179345354</v>
      </c>
      <c r="BQ402" s="56">
        <f t="shared" si="363"/>
        <v>18.437467310192979</v>
      </c>
      <c r="BR402" s="59"/>
      <c r="BS402" s="59"/>
      <c r="BT402" s="59">
        <v>831763.77099999995</v>
      </c>
      <c r="BU402" s="59">
        <v>7.3913599999999997</v>
      </c>
      <c r="BV402" s="59">
        <v>104.541</v>
      </c>
      <c r="BY402" s="59"/>
      <c r="BZ402" s="59"/>
      <c r="CA402" s="59"/>
      <c r="CC402" s="59"/>
    </row>
    <row r="403" spans="1:81" x14ac:dyDescent="0.2">
      <c r="A403">
        <f t="shared" si="319"/>
        <v>945000</v>
      </c>
      <c r="B403">
        <f t="shared" si="351"/>
        <v>945</v>
      </c>
      <c r="C403">
        <f t="shared" si="320"/>
        <v>1.0067490466514601</v>
      </c>
      <c r="D403">
        <f t="shared" si="321"/>
        <v>0.11585599644789231</v>
      </c>
      <c r="F403">
        <f t="shared" si="322"/>
        <v>5.9582246715940544E-5</v>
      </c>
      <c r="G403">
        <f t="shared" si="323"/>
        <v>1.5753242866255832E-3</v>
      </c>
      <c r="H403">
        <f t="shared" si="324"/>
        <v>-3.1400173257133748</v>
      </c>
      <c r="J403">
        <f t="shared" si="325"/>
        <v>15</v>
      </c>
      <c r="M403">
        <f t="shared" si="326"/>
        <v>1.323540876007626E-3</v>
      </c>
      <c r="N403">
        <f t="shared" si="327"/>
        <v>-1.5707963250000001</v>
      </c>
      <c r="O403">
        <f t="shared" si="328"/>
        <v>185.58269817739949</v>
      </c>
      <c r="P403">
        <f t="shared" si="329"/>
        <v>1.5654078673690635</v>
      </c>
      <c r="Q403">
        <f t="shared" si="330"/>
        <v>161.31609096231611</v>
      </c>
      <c r="R403">
        <f t="shared" si="331"/>
        <v>1.5645972774702734</v>
      </c>
      <c r="S403">
        <f t="shared" si="332"/>
        <v>0.21420412405192127</v>
      </c>
      <c r="T403">
        <f t="shared" si="333"/>
        <v>-1.3549193579079708</v>
      </c>
      <c r="U403">
        <f t="shared" si="334"/>
        <v>0.21154038342694689</v>
      </c>
      <c r="V403">
        <f t="shared" si="335"/>
        <v>-1.3576455844806778</v>
      </c>
      <c r="X403">
        <f t="shared" si="352"/>
        <v>-55.8339398106122</v>
      </c>
      <c r="Y403">
        <f t="shared" si="336"/>
        <v>-239.3541191047359</v>
      </c>
      <c r="Z403">
        <f t="shared" si="353"/>
        <v>-59.354119104735901</v>
      </c>
      <c r="AC403">
        <v>1</v>
      </c>
      <c r="AD403">
        <f t="shared" si="337"/>
        <v>185.58000394116749</v>
      </c>
      <c r="AE403">
        <f t="shared" si="338"/>
        <v>-0.13222820488038553</v>
      </c>
      <c r="AF403">
        <f t="shared" si="339"/>
        <v>2.861928072297E-2</v>
      </c>
      <c r="AG403">
        <f t="shared" si="315"/>
        <v>282.95010477690312</v>
      </c>
      <c r="AH403">
        <f t="shared" si="316"/>
        <v>-1342.2414349685457</v>
      </c>
      <c r="AJ403">
        <f t="shared" si="340"/>
        <v>26400</v>
      </c>
      <c r="AK403">
        <f t="shared" si="341"/>
        <v>120386.2324718592</v>
      </c>
      <c r="AL403">
        <v>1</v>
      </c>
      <c r="AM403">
        <f t="shared" si="342"/>
        <v>161.31299142772801</v>
      </c>
      <c r="AN403">
        <f t="shared" si="317"/>
        <v>747.27556625194006</v>
      </c>
      <c r="AO403">
        <f t="shared" si="318"/>
        <v>-159.02454109061068</v>
      </c>
      <c r="AQ403">
        <f t="shared" si="343"/>
        <v>2.7994729152395186E-3</v>
      </c>
      <c r="AR403">
        <f t="shared" si="344"/>
        <v>-5.2910038098026906</v>
      </c>
      <c r="AT403">
        <f t="shared" si="313"/>
        <v>-7101.012434938918</v>
      </c>
      <c r="AU403">
        <f t="shared" si="314"/>
        <v>-1500.8476509015716</v>
      </c>
      <c r="AV403">
        <f t="shared" si="354"/>
        <v>-2.9333012702216803</v>
      </c>
      <c r="AW403">
        <f t="shared" si="355"/>
        <v>189.66342818644665</v>
      </c>
      <c r="AX403">
        <f t="shared" si="356"/>
        <v>-6110.5616782954157</v>
      </c>
      <c r="AY403">
        <f t="shared" si="364"/>
        <v>-1.539767664236152</v>
      </c>
      <c r="BA403">
        <f t="shared" si="345"/>
        <v>1.1871892680480303</v>
      </c>
      <c r="BB403">
        <f t="shared" si="357"/>
        <v>1.4903992403603086</v>
      </c>
      <c r="BC403">
        <f t="shared" si="358"/>
        <v>-1.3935336059855283</v>
      </c>
      <c r="BD403">
        <f t="shared" si="346"/>
        <v>-259.84359432385196</v>
      </c>
      <c r="BF403">
        <f t="shared" si="347"/>
        <v>-59.427013528483286</v>
      </c>
      <c r="BG403">
        <f t="shared" si="348"/>
        <v>-253.11527525542877</v>
      </c>
      <c r="BH403">
        <f t="shared" si="359"/>
        <v>-73.11527525542877</v>
      </c>
      <c r="BI403">
        <f t="shared" si="360"/>
        <v>-73.11527525542877</v>
      </c>
      <c r="BJ403">
        <f t="shared" si="349"/>
        <v>0</v>
      </c>
      <c r="BK403">
        <f t="shared" si="361"/>
        <v>0</v>
      </c>
      <c r="BM403">
        <f t="shared" si="362"/>
        <v>-60.917412768843597</v>
      </c>
      <c r="BN403">
        <f t="shared" si="350"/>
        <v>-173.27168093157678</v>
      </c>
      <c r="BQ403" s="56">
        <f t="shared" si="363"/>
        <v>18.392360040645446</v>
      </c>
      <c r="BR403" s="59"/>
      <c r="BS403" s="59"/>
      <c r="BT403" s="59">
        <v>851138.03799999994</v>
      </c>
      <c r="BU403" s="59">
        <v>7.3125499999999999</v>
      </c>
      <c r="BV403" s="59">
        <v>103.205</v>
      </c>
      <c r="BY403" s="59"/>
      <c r="BZ403" s="59"/>
      <c r="CA403" s="59"/>
      <c r="CC403" s="59"/>
    </row>
    <row r="404" spans="1:81" x14ac:dyDescent="0.2">
      <c r="A404">
        <f t="shared" si="319"/>
        <v>950000</v>
      </c>
      <c r="B404">
        <f t="shared" si="351"/>
        <v>950</v>
      </c>
      <c r="C404">
        <f t="shared" si="320"/>
        <v>1.0068204115219297</v>
      </c>
      <c r="D404">
        <f t="shared" si="321"/>
        <v>0.11646347749339894</v>
      </c>
      <c r="F404">
        <f t="shared" si="322"/>
        <v>5.8956679517280676E-5</v>
      </c>
      <c r="G404">
        <f t="shared" si="323"/>
        <v>1.5670321389972795E-3</v>
      </c>
      <c r="H404">
        <f t="shared" si="324"/>
        <v>-3.1400256178610029</v>
      </c>
      <c r="J404">
        <f t="shared" si="325"/>
        <v>15</v>
      </c>
      <c r="M404">
        <f t="shared" si="326"/>
        <v>1.3165748713970598E-3</v>
      </c>
      <c r="N404">
        <f t="shared" si="327"/>
        <v>-1.5707963250000001</v>
      </c>
      <c r="O404">
        <f t="shared" si="328"/>
        <v>186.56458878017054</v>
      </c>
      <c r="P404">
        <f t="shared" si="329"/>
        <v>1.56543622713719</v>
      </c>
      <c r="Q404">
        <f t="shared" si="330"/>
        <v>162.16958254043917</v>
      </c>
      <c r="R404">
        <f t="shared" si="331"/>
        <v>1.5646299032164057</v>
      </c>
      <c r="S404">
        <f t="shared" si="332"/>
        <v>0.21312807330750763</v>
      </c>
      <c r="T404">
        <f t="shared" si="333"/>
        <v>-1.3560208456462561</v>
      </c>
      <c r="U404">
        <f t="shared" si="334"/>
        <v>0.21047646035084899</v>
      </c>
      <c r="V404">
        <f t="shared" si="335"/>
        <v>-1.3587340144408062</v>
      </c>
      <c r="X404">
        <f t="shared" si="352"/>
        <v>-55.966706951750282</v>
      </c>
      <c r="Y404">
        <f t="shared" si="336"/>
        <v>-239.44176693887812</v>
      </c>
      <c r="Z404">
        <f t="shared" si="353"/>
        <v>-59.441766938878118</v>
      </c>
      <c r="AC404">
        <v>1</v>
      </c>
      <c r="AD404">
        <f t="shared" si="337"/>
        <v>186.561908723925</v>
      </c>
      <c r="AE404">
        <f t="shared" si="338"/>
        <v>-0.13363114683748822</v>
      </c>
      <c r="AF404">
        <f t="shared" si="339"/>
        <v>2.8770705488700001E-2</v>
      </c>
      <c r="AG404">
        <f t="shared" si="315"/>
        <v>280.11111846564222</v>
      </c>
      <c r="AH404">
        <f t="shared" si="316"/>
        <v>-1335.7882384076295</v>
      </c>
      <c r="AJ404">
        <f t="shared" si="340"/>
        <v>26400</v>
      </c>
      <c r="AK404">
        <f t="shared" si="341"/>
        <v>121023.19666483199</v>
      </c>
      <c r="AL404">
        <v>1</v>
      </c>
      <c r="AM404">
        <f t="shared" si="342"/>
        <v>162.16649931888</v>
      </c>
      <c r="AN404">
        <f t="shared" si="317"/>
        <v>747.26521696805355</v>
      </c>
      <c r="AO404">
        <f t="shared" si="318"/>
        <v>-158.18763364058981</v>
      </c>
      <c r="AQ404">
        <f t="shared" si="343"/>
        <v>2.770082335157248E-3</v>
      </c>
      <c r="AR404">
        <f t="shared" si="344"/>
        <v>-5.2631564367987709</v>
      </c>
      <c r="AT404">
        <f t="shared" si="313"/>
        <v>-7029.6865343140635</v>
      </c>
      <c r="AU404">
        <f t="shared" si="314"/>
        <v>-1477.9688795740717</v>
      </c>
      <c r="AV404">
        <f t="shared" si="354"/>
        <v>-2.9343641251525336</v>
      </c>
      <c r="AW404">
        <f t="shared" si="355"/>
        <v>195.63763141643366</v>
      </c>
      <c r="AX404">
        <f t="shared" si="356"/>
        <v>-6078.9491782387668</v>
      </c>
      <c r="AY404">
        <f t="shared" si="364"/>
        <v>-1.5386246265801837</v>
      </c>
      <c r="BA404">
        <f t="shared" si="345"/>
        <v>1.1810690024646127</v>
      </c>
      <c r="BB404">
        <f t="shared" si="357"/>
        <v>1.4455054292253935</v>
      </c>
      <c r="BC404">
        <f t="shared" si="358"/>
        <v>-1.3957394985723499</v>
      </c>
      <c r="BD404">
        <f t="shared" si="346"/>
        <v>-259.9699826592805</v>
      </c>
      <c r="BF404">
        <f t="shared" si="347"/>
        <v>-59.562968843911939</v>
      </c>
      <c r="BG404">
        <f t="shared" si="348"/>
        <v>-253.20733259583849</v>
      </c>
      <c r="BH404">
        <f t="shared" si="359"/>
        <v>-73.207332595838494</v>
      </c>
      <c r="BI404">
        <f t="shared" si="360"/>
        <v>-73.207332595838494</v>
      </c>
      <c r="BJ404">
        <f t="shared" si="349"/>
        <v>0</v>
      </c>
      <c r="BK404">
        <f t="shared" si="361"/>
        <v>0</v>
      </c>
      <c r="BM404">
        <f t="shared" si="362"/>
        <v>-61.008474273137338</v>
      </c>
      <c r="BN404">
        <f t="shared" si="350"/>
        <v>-173.23734993655802</v>
      </c>
      <c r="BQ404" s="56">
        <f t="shared" si="363"/>
        <v>18.34746622951053</v>
      </c>
      <c r="BR404" s="59"/>
      <c r="BS404" s="59"/>
      <c r="BT404" s="59">
        <v>870963.59</v>
      </c>
      <c r="BU404" s="59">
        <v>7.1463099999999997</v>
      </c>
      <c r="BV404" s="59">
        <v>103.91</v>
      </c>
      <c r="BY404" s="59"/>
      <c r="BZ404" s="59"/>
      <c r="CA404" s="59"/>
      <c r="CC404" s="59"/>
    </row>
    <row r="405" spans="1:81" x14ac:dyDescent="0.2">
      <c r="A405">
        <f t="shared" si="319"/>
        <v>955000</v>
      </c>
      <c r="B405">
        <f t="shared" si="351"/>
        <v>955</v>
      </c>
      <c r="C405">
        <f t="shared" si="320"/>
        <v>1.0068921478898303</v>
      </c>
      <c r="D405">
        <f t="shared" si="321"/>
        <v>0.11707087220264727</v>
      </c>
      <c r="F405">
        <f t="shared" si="322"/>
        <v>5.8340912986015457E-5</v>
      </c>
      <c r="G405">
        <f t="shared" si="323"/>
        <v>1.5588268352131564E-3</v>
      </c>
      <c r="H405">
        <f t="shared" si="324"/>
        <v>-3.1400338231647869</v>
      </c>
      <c r="J405">
        <f t="shared" si="325"/>
        <v>15</v>
      </c>
      <c r="M405">
        <f t="shared" si="326"/>
        <v>1.3096818092431484E-3</v>
      </c>
      <c r="N405">
        <f t="shared" si="327"/>
        <v>-1.5707963250000001</v>
      </c>
      <c r="O405">
        <f t="shared" si="328"/>
        <v>187.54647953141995</v>
      </c>
      <c r="P405">
        <f t="shared" si="329"/>
        <v>1.565464289952881</v>
      </c>
      <c r="Q405">
        <f t="shared" si="330"/>
        <v>163.02307428937442</v>
      </c>
      <c r="R405">
        <f t="shared" si="331"/>
        <v>1.5646621873446107</v>
      </c>
      <c r="S405">
        <f t="shared" si="332"/>
        <v>0.21206252612558835</v>
      </c>
      <c r="T405">
        <f t="shared" si="333"/>
        <v>-1.3571113207823968</v>
      </c>
      <c r="U405">
        <f t="shared" si="334"/>
        <v>0.20942294114185417</v>
      </c>
      <c r="V405">
        <f t="shared" si="335"/>
        <v>-1.3598115496087388</v>
      </c>
      <c r="X405">
        <f t="shared" si="352"/>
        <v>-56.098811800994397</v>
      </c>
      <c r="Y405">
        <f t="shared" si="336"/>
        <v>-239.52819613008742</v>
      </c>
      <c r="Z405">
        <f t="shared" si="353"/>
        <v>-59.528196130087423</v>
      </c>
      <c r="AC405">
        <v>1</v>
      </c>
      <c r="AD405">
        <f t="shared" si="337"/>
        <v>187.54381350668251</v>
      </c>
      <c r="AE405">
        <f t="shared" si="338"/>
        <v>-0.13504149218222739</v>
      </c>
      <c r="AF405">
        <f t="shared" si="339"/>
        <v>2.8922130254429999E-2</v>
      </c>
      <c r="AG405">
        <f t="shared" si="315"/>
        <v>277.31399910754362</v>
      </c>
      <c r="AH405">
        <f t="shared" si="316"/>
        <v>-1329.3936478491019</v>
      </c>
      <c r="AJ405">
        <f t="shared" si="340"/>
        <v>26400</v>
      </c>
      <c r="AK405">
        <f t="shared" si="341"/>
        <v>121660.1608578048</v>
      </c>
      <c r="AL405">
        <v>1</v>
      </c>
      <c r="AM405">
        <f t="shared" si="342"/>
        <v>163.02000721003202</v>
      </c>
      <c r="AN405">
        <f t="shared" si="317"/>
        <v>747.25502980429997</v>
      </c>
      <c r="AO405">
        <f t="shared" si="318"/>
        <v>-157.35948862488496</v>
      </c>
      <c r="AQ405">
        <f t="shared" si="343"/>
        <v>2.7411521775301726E-3</v>
      </c>
      <c r="AR405">
        <f t="shared" si="344"/>
        <v>-5.2356006590826292</v>
      </c>
      <c r="AT405">
        <f t="shared" si="313"/>
        <v>-6959.4140989865055</v>
      </c>
      <c r="AU405">
        <f t="shared" si="314"/>
        <v>-1455.5494267928914</v>
      </c>
      <c r="AV405">
        <f t="shared" si="354"/>
        <v>-2.9354163530840656</v>
      </c>
      <c r="AW405">
        <f t="shared" si="355"/>
        <v>201.51566134507894</v>
      </c>
      <c r="AX405">
        <f t="shared" si="356"/>
        <v>-6047.6597087208465</v>
      </c>
      <c r="AY405">
        <f t="shared" si="364"/>
        <v>-1.5374873875846626</v>
      </c>
      <c r="BA405">
        <f t="shared" si="345"/>
        <v>1.1750088941443666</v>
      </c>
      <c r="BB405">
        <f t="shared" si="357"/>
        <v>1.4008230796138335</v>
      </c>
      <c r="BC405">
        <f t="shared" si="358"/>
        <v>-1.3979289654994029</v>
      </c>
      <c r="BD405">
        <f t="shared" si="346"/>
        <v>-260.09542987372743</v>
      </c>
      <c r="BF405">
        <f t="shared" si="347"/>
        <v>-59.698228233975627</v>
      </c>
      <c r="BG405">
        <f t="shared" si="348"/>
        <v>-253.29844878618414</v>
      </c>
      <c r="BH405">
        <f t="shared" si="359"/>
        <v>-73.298448786184139</v>
      </c>
      <c r="BI405">
        <f t="shared" si="360"/>
        <v>-73.298448786184139</v>
      </c>
      <c r="BJ405">
        <f t="shared" si="349"/>
        <v>0</v>
      </c>
      <c r="BK405">
        <f t="shared" si="361"/>
        <v>0</v>
      </c>
      <c r="BM405">
        <f t="shared" si="362"/>
        <v>-61.099051313589456</v>
      </c>
      <c r="BN405">
        <f t="shared" si="350"/>
        <v>-173.20301891245671</v>
      </c>
      <c r="BQ405" s="56">
        <f t="shared" si="363"/>
        <v>18.302783879898971</v>
      </c>
      <c r="BR405" s="59"/>
      <c r="BS405" s="59"/>
      <c r="BT405" s="59">
        <v>891250.93799999997</v>
      </c>
      <c r="BU405" s="59">
        <v>6.8612700000000002</v>
      </c>
      <c r="BV405" s="59">
        <v>102.337</v>
      </c>
      <c r="BY405" s="59"/>
      <c r="BZ405" s="59"/>
      <c r="CA405" s="59"/>
      <c r="CC405" s="59"/>
    </row>
    <row r="406" spans="1:81" x14ac:dyDescent="0.2">
      <c r="A406">
        <f t="shared" si="319"/>
        <v>960000</v>
      </c>
      <c r="B406">
        <f t="shared" si="351"/>
        <v>960</v>
      </c>
      <c r="C406">
        <f t="shared" si="320"/>
        <v>1.006964255675765</v>
      </c>
      <c r="D406">
        <f t="shared" si="321"/>
        <v>0.11767818014596695</v>
      </c>
      <c r="F406">
        <f t="shared" si="322"/>
        <v>5.7734743454927321E-5</v>
      </c>
      <c r="G406">
        <f t="shared" si="323"/>
        <v>1.5507070180265444E-3</v>
      </c>
      <c r="H406">
        <f t="shared" si="324"/>
        <v>-3.1400419429819735</v>
      </c>
      <c r="J406">
        <f t="shared" si="325"/>
        <v>15</v>
      </c>
      <c r="M406">
        <f t="shared" si="326"/>
        <v>1.3028605498200069E-3</v>
      </c>
      <c r="N406">
        <f t="shared" si="327"/>
        <v>-1.5707963250000001</v>
      </c>
      <c r="O406">
        <f t="shared" si="328"/>
        <v>188.52837042882777</v>
      </c>
      <c r="P406">
        <f t="shared" si="329"/>
        <v>1.5654920604558429</v>
      </c>
      <c r="Q406">
        <f t="shared" si="330"/>
        <v>163.87656620645302</v>
      </c>
      <c r="R406">
        <f t="shared" si="331"/>
        <v>1.564694135192402</v>
      </c>
      <c r="S406">
        <f t="shared" si="332"/>
        <v>0.21100733329669824</v>
      </c>
      <c r="T406">
        <f t="shared" si="333"/>
        <v>-1.3581909450948091</v>
      </c>
      <c r="U406">
        <f t="shared" si="334"/>
        <v>0.20837967763665693</v>
      </c>
      <c r="V406">
        <f t="shared" si="335"/>
        <v>-1.360878350284217</v>
      </c>
      <c r="X406">
        <f t="shared" si="352"/>
        <v>-56.230260643428792</v>
      </c>
      <c r="Y406">
        <f t="shared" si="336"/>
        <v>-239.61342466281292</v>
      </c>
      <c r="Z406">
        <f t="shared" si="353"/>
        <v>-59.613424662812918</v>
      </c>
      <c r="AC406">
        <v>1</v>
      </c>
      <c r="AD406">
        <f t="shared" si="337"/>
        <v>188.52571828944002</v>
      </c>
      <c r="AE406">
        <f t="shared" si="338"/>
        <v>-0.13645924091460293</v>
      </c>
      <c r="AF406">
        <f t="shared" si="339"/>
        <v>2.907355502016E-2</v>
      </c>
      <c r="AG406">
        <f t="shared" si="315"/>
        <v>274.55794044082461</v>
      </c>
      <c r="AH406">
        <f t="shared" si="316"/>
        <v>-1323.0569193536485</v>
      </c>
      <c r="AJ406">
        <f t="shared" si="340"/>
        <v>26400</v>
      </c>
      <c r="AK406">
        <f t="shared" si="341"/>
        <v>122297.1250507776</v>
      </c>
      <c r="AL406">
        <v>1</v>
      </c>
      <c r="AM406">
        <f t="shared" si="342"/>
        <v>163.87351510118404</v>
      </c>
      <c r="AN406">
        <f t="shared" si="317"/>
        <v>747.24500139219776</v>
      </c>
      <c r="AO406">
        <f t="shared" si="318"/>
        <v>-156.53996915101536</v>
      </c>
      <c r="AQ406">
        <f t="shared" si="343"/>
        <v>2.7126728752514986E-3</v>
      </c>
      <c r="AR406">
        <f t="shared" si="344"/>
        <v>-5.2083319204828777</v>
      </c>
      <c r="AT406">
        <f t="shared" ref="AT406:AT469" si="365">-AR406*AH406+AG406*AQ406</f>
        <v>-6890.1747998076289</v>
      </c>
      <c r="AU406">
        <f t="shared" ref="AU406:AU469" si="366">AQ406*AH406+AG406*AR406</f>
        <v>-1433.5779058375281</v>
      </c>
      <c r="AV406">
        <f t="shared" si="354"/>
        <v>-2.9364581101319289</v>
      </c>
      <c r="AW406">
        <f t="shared" si="355"/>
        <v>207.29957944775634</v>
      </c>
      <c r="AX406">
        <f t="shared" si="356"/>
        <v>-6016.6883740745961</v>
      </c>
      <c r="AY406">
        <f t="shared" si="364"/>
        <v>-1.5363558509825834</v>
      </c>
      <c r="BA406">
        <f t="shared" si="345"/>
        <v>1.1690080747652958</v>
      </c>
      <c r="BB406">
        <f t="shared" si="357"/>
        <v>1.3563502200528692</v>
      </c>
      <c r="BC406">
        <f t="shared" si="358"/>
        <v>-1.4001022591493455</v>
      </c>
      <c r="BD406">
        <f t="shared" si="346"/>
        <v>-260.219950427654</v>
      </c>
      <c r="BF406">
        <f t="shared" si="347"/>
        <v>-59.832798699067993</v>
      </c>
      <c r="BG406">
        <f t="shared" si="348"/>
        <v>-253.38863838930973</v>
      </c>
      <c r="BH406">
        <f t="shared" si="359"/>
        <v>-73.388638389309733</v>
      </c>
      <c r="BI406">
        <f t="shared" si="360"/>
        <v>-73.388638389309733</v>
      </c>
      <c r="BJ406">
        <f t="shared" si="349"/>
        <v>0</v>
      </c>
      <c r="BK406">
        <f t="shared" si="361"/>
        <v>0</v>
      </c>
      <c r="BM406">
        <f t="shared" si="362"/>
        <v>-61.189148919120868</v>
      </c>
      <c r="BN406">
        <f t="shared" si="350"/>
        <v>-173.16868796165573</v>
      </c>
      <c r="BQ406" s="56">
        <f t="shared" si="363"/>
        <v>18.258311020338006</v>
      </c>
      <c r="BR406" s="59"/>
      <c r="BS406" s="59"/>
      <c r="BT406" s="59">
        <v>912010.83900000004</v>
      </c>
      <c r="BU406" s="59">
        <v>6.4708399999999999</v>
      </c>
      <c r="BV406" s="59">
        <v>100.33499999999999</v>
      </c>
      <c r="BY406" s="59"/>
      <c r="BZ406" s="59"/>
      <c r="CA406" s="59"/>
      <c r="CC406" s="59"/>
    </row>
    <row r="407" spans="1:81" x14ac:dyDescent="0.2">
      <c r="A407">
        <f t="shared" si="319"/>
        <v>965000</v>
      </c>
      <c r="B407">
        <f t="shared" si="351"/>
        <v>965</v>
      </c>
      <c r="C407">
        <f t="shared" si="320"/>
        <v>1.0070367347999489</v>
      </c>
      <c r="D407">
        <f t="shared" si="321"/>
        <v>0.11828540089406649</v>
      </c>
      <c r="F407">
        <f t="shared" si="322"/>
        <v>5.7137972520040144E-5</v>
      </c>
      <c r="G407">
        <f t="shared" si="323"/>
        <v>1.5426713583282506E-3</v>
      </c>
      <c r="H407">
        <f t="shared" si="324"/>
        <v>-3.140049978641672</v>
      </c>
      <c r="J407">
        <f t="shared" si="325"/>
        <v>15</v>
      </c>
      <c r="M407">
        <f t="shared" si="326"/>
        <v>1.2961099770230121E-3</v>
      </c>
      <c r="N407">
        <f t="shared" si="327"/>
        <v>-1.5707963250000001</v>
      </c>
      <c r="O407">
        <f t="shared" si="328"/>
        <v>189.51026147012223</v>
      </c>
      <c r="P407">
        <f t="shared" si="329"/>
        <v>1.5655195431896267</v>
      </c>
      <c r="Q407">
        <f t="shared" si="330"/>
        <v>164.73005828906147</v>
      </c>
      <c r="R407">
        <f t="shared" si="331"/>
        <v>1.5647257519866768</v>
      </c>
      <c r="S407">
        <f t="shared" si="332"/>
        <v>0.20996234834620192</v>
      </c>
      <c r="T407">
        <f t="shared" si="333"/>
        <v>-1.3592598772594837</v>
      </c>
      <c r="U407">
        <f t="shared" si="334"/>
        <v>0.20734652439675438</v>
      </c>
      <c r="V407">
        <f t="shared" si="335"/>
        <v>-1.3619345736867277</v>
      </c>
      <c r="X407">
        <f t="shared" si="352"/>
        <v>-56.361059677674803</v>
      </c>
      <c r="Y407">
        <f t="shared" si="336"/>
        <v>-239.69747017747579</v>
      </c>
      <c r="Z407">
        <f t="shared" si="353"/>
        <v>-59.697470177475793</v>
      </c>
      <c r="AC407">
        <v>1</v>
      </c>
      <c r="AD407">
        <f t="shared" si="337"/>
        <v>189.5076230721975</v>
      </c>
      <c r="AE407">
        <f t="shared" si="338"/>
        <v>-0.13788439303461494</v>
      </c>
      <c r="AF407">
        <f t="shared" si="339"/>
        <v>2.9224979785890001E-2</v>
      </c>
      <c r="AG407">
        <f t="shared" si="315"/>
        <v>271.84215519636916</v>
      </c>
      <c r="AH407">
        <f t="shared" si="316"/>
        <v>-1316.7773203748352</v>
      </c>
      <c r="AJ407">
        <f t="shared" si="340"/>
        <v>26400</v>
      </c>
      <c r="AK407">
        <f t="shared" si="341"/>
        <v>122934.08924375041</v>
      </c>
      <c r="AL407">
        <v>1</v>
      </c>
      <c r="AM407">
        <f t="shared" si="342"/>
        <v>164.72702299233603</v>
      </c>
      <c r="AN407">
        <f t="shared" si="317"/>
        <v>747.2351284502987</v>
      </c>
      <c r="AO407">
        <f t="shared" si="318"/>
        <v>-155.72894116312173</v>
      </c>
      <c r="AQ407">
        <f t="shared" si="343"/>
        <v>2.6846351084230157E-3</v>
      </c>
      <c r="AR407">
        <f t="shared" si="344"/>
        <v>-5.1813457592564207</v>
      </c>
      <c r="AT407">
        <f t="shared" si="365"/>
        <v>-6821.9487878153959</v>
      </c>
      <c r="AU407">
        <f t="shared" si="366"/>
        <v>-1412.0432646380866</v>
      </c>
      <c r="AV407">
        <f t="shared" si="354"/>
        <v>-2.9374895494182351</v>
      </c>
      <c r="AW407">
        <f t="shared" si="355"/>
        <v>212.99139210945594</v>
      </c>
      <c r="AX407">
        <f t="shared" si="356"/>
        <v>-5986.0303765860335</v>
      </c>
      <c r="AY407">
        <f t="shared" si="364"/>
        <v>-1.5352299226899366</v>
      </c>
      <c r="BA407">
        <f t="shared" si="345"/>
        <v>1.1630656921787321</v>
      </c>
      <c r="BB407">
        <f t="shared" si="357"/>
        <v>1.3120849041133344</v>
      </c>
      <c r="BC407">
        <f t="shared" si="358"/>
        <v>-1.4022596267282985</v>
      </c>
      <c r="BD407">
        <f t="shared" si="346"/>
        <v>-260.3435584849276</v>
      </c>
      <c r="BF407">
        <f t="shared" si="347"/>
        <v>-59.966687136175629</v>
      </c>
      <c r="BG407">
        <f t="shared" si="348"/>
        <v>-253.47791566983153</v>
      </c>
      <c r="BH407">
        <f t="shared" si="359"/>
        <v>-73.477915669831532</v>
      </c>
      <c r="BI407">
        <f t="shared" si="360"/>
        <v>-73.477915669831532</v>
      </c>
      <c r="BJ407">
        <f t="shared" si="349"/>
        <v>0</v>
      </c>
      <c r="BK407">
        <f t="shared" si="361"/>
        <v>0</v>
      </c>
      <c r="BM407">
        <f t="shared" si="362"/>
        <v>-61.27877204028897</v>
      </c>
      <c r="BN407">
        <f t="shared" si="350"/>
        <v>-173.13435718490396</v>
      </c>
      <c r="BQ407" s="56">
        <f t="shared" si="363"/>
        <v>18.214045704398472</v>
      </c>
      <c r="BR407" s="59"/>
      <c r="BS407" s="59"/>
      <c r="BT407" s="59">
        <v>933254.30099999998</v>
      </c>
      <c r="BU407" s="59">
        <v>6.2453099999999999</v>
      </c>
      <c r="BV407" s="59">
        <v>100.20399999999999</v>
      </c>
      <c r="BY407" s="59"/>
      <c r="BZ407" s="59"/>
      <c r="CA407" s="59"/>
      <c r="CC407" s="59"/>
    </row>
    <row r="408" spans="1:81" x14ac:dyDescent="0.2">
      <c r="A408">
        <f t="shared" si="319"/>
        <v>970000</v>
      </c>
      <c r="B408">
        <f t="shared" si="351"/>
        <v>970</v>
      </c>
      <c r="C408">
        <f t="shared" si="320"/>
        <v>1.0071095851822092</v>
      </c>
      <c r="D408">
        <f t="shared" si="321"/>
        <v>0.11889253401803475</v>
      </c>
      <c r="F408">
        <f t="shared" si="322"/>
        <v>5.6550406878238403E-5</v>
      </c>
      <c r="G408">
        <f t="shared" si="323"/>
        <v>1.5347185544211167E-3</v>
      </c>
      <c r="H408">
        <f t="shared" si="324"/>
        <v>-3.140057931445579</v>
      </c>
      <c r="J408">
        <f t="shared" si="325"/>
        <v>15</v>
      </c>
      <c r="M408">
        <f t="shared" si="326"/>
        <v>1.289428997760007E-3</v>
      </c>
      <c r="N408">
        <f t="shared" si="327"/>
        <v>-1.5707963250000001</v>
      </c>
      <c r="O408">
        <f t="shared" si="328"/>
        <v>190.49215265307828</v>
      </c>
      <c r="P408">
        <f t="shared" si="329"/>
        <v>1.5655467426041068</v>
      </c>
      <c r="Q408">
        <f t="shared" si="330"/>
        <v>165.58355053464015</v>
      </c>
      <c r="R408">
        <f t="shared" si="331"/>
        <v>1.5647570428465689</v>
      </c>
      <c r="S408">
        <f t="shared" si="332"/>
        <v>0.20892742747392529</v>
      </c>
      <c r="T408">
        <f t="shared" si="333"/>
        <v>-1.3603182729227346</v>
      </c>
      <c r="U408">
        <f t="shared" si="334"/>
        <v>0.20632333864802743</v>
      </c>
      <c r="V408">
        <f t="shared" si="335"/>
        <v>-1.3629803740279127</v>
      </c>
      <c r="X408">
        <f t="shared" si="352"/>
        <v>-56.491215017410774</v>
      </c>
      <c r="Y408">
        <f t="shared" si="336"/>
        <v>-239.78034997852211</v>
      </c>
      <c r="Z408">
        <f t="shared" si="353"/>
        <v>-59.780349978522111</v>
      </c>
      <c r="AC408">
        <v>1</v>
      </c>
      <c r="AD408">
        <f t="shared" si="337"/>
        <v>190.48952785495499</v>
      </c>
      <c r="AE408">
        <f t="shared" si="338"/>
        <v>-0.13931694854226337</v>
      </c>
      <c r="AF408">
        <f t="shared" si="339"/>
        <v>2.9376404551620001E-2</v>
      </c>
      <c r="AG408">
        <f t="shared" si="315"/>
        <v>269.1658745730312</v>
      </c>
      <c r="AH408">
        <f t="shared" si="316"/>
        <v>-1310.5541295761195</v>
      </c>
      <c r="AJ408">
        <f t="shared" si="340"/>
        <v>26400</v>
      </c>
      <c r="AK408">
        <f t="shared" si="341"/>
        <v>123571.0534367232</v>
      </c>
      <c r="AL408">
        <v>1</v>
      </c>
      <c r="AM408">
        <f t="shared" si="342"/>
        <v>165.58053088348802</v>
      </c>
      <c r="AN408">
        <f t="shared" si="317"/>
        <v>747.22540778150301</v>
      </c>
      <c r="AO408">
        <f t="shared" si="318"/>
        <v>-154.92627336887369</v>
      </c>
      <c r="AQ408">
        <f t="shared" si="343"/>
        <v>2.6570297967292494E-3</v>
      </c>
      <c r="AR408">
        <f t="shared" si="344"/>
        <v>-5.1546378056547439</v>
      </c>
      <c r="AT408">
        <f t="shared" si="365"/>
        <v>-6754.7166809210084</v>
      </c>
      <c r="AU408">
        <f t="shared" si="366"/>
        <v>-1390.9347744387799</v>
      </c>
      <c r="AV408">
        <f t="shared" si="354"/>
        <v>-2.9385108211417266</v>
      </c>
      <c r="AW408">
        <f t="shared" si="355"/>
        <v>218.59305238478592</v>
      </c>
      <c r="AX408">
        <f t="shared" si="356"/>
        <v>-5955.6810140646503</v>
      </c>
      <c r="AY408">
        <f t="shared" si="364"/>
        <v>-1.5341095107446556</v>
      </c>
      <c r="BA408">
        <f t="shared" si="345"/>
        <v>1.1571809100480928</v>
      </c>
      <c r="BB408">
        <f t="shared" si="357"/>
        <v>1.268025210041581</v>
      </c>
      <c r="BC408">
        <f t="shared" si="358"/>
        <v>-1.4044013103970709</v>
      </c>
      <c r="BD408">
        <f t="shared" si="346"/>
        <v>-260.46626792034056</v>
      </c>
      <c r="BF408">
        <f t="shared" si="347"/>
        <v>-60.099900340866547</v>
      </c>
      <c r="BG408">
        <f t="shared" si="348"/>
        <v>-253.56629460169847</v>
      </c>
      <c r="BH408">
        <f t="shared" si="359"/>
        <v>-73.566294601698473</v>
      </c>
      <c r="BI408">
        <f t="shared" si="360"/>
        <v>-73.566294601698473</v>
      </c>
      <c r="BJ408">
        <f t="shared" si="349"/>
        <v>0</v>
      </c>
      <c r="BK408">
        <f t="shared" si="361"/>
        <v>0</v>
      </c>
      <c r="BM408">
        <f t="shared" si="362"/>
        <v>-61.367925550908126</v>
      </c>
      <c r="BN408">
        <f t="shared" si="350"/>
        <v>-173.10002668135789</v>
      </c>
      <c r="BQ408" s="56">
        <f t="shared" si="363"/>
        <v>18.169986010326717</v>
      </c>
      <c r="BR408" s="59"/>
      <c r="BS408" s="59"/>
      <c r="BT408" s="59">
        <v>954992.58600000001</v>
      </c>
      <c r="BU408" s="59">
        <v>6.1328699999999996</v>
      </c>
      <c r="BV408" s="59">
        <v>99.956599999999995</v>
      </c>
      <c r="BY408" s="59"/>
      <c r="BZ408" s="59"/>
      <c r="CA408" s="59"/>
      <c r="CC408" s="59"/>
    </row>
    <row r="409" spans="1:81" x14ac:dyDescent="0.2">
      <c r="A409">
        <f t="shared" si="319"/>
        <v>975000</v>
      </c>
      <c r="B409">
        <f t="shared" si="351"/>
        <v>975</v>
      </c>
      <c r="C409">
        <f t="shared" si="320"/>
        <v>1.0071828067419857</v>
      </c>
      <c r="D409">
        <f t="shared" si="321"/>
        <v>0.11949957908934289</v>
      </c>
      <c r="F409">
        <f t="shared" si="322"/>
        <v>5.5971858170701178E-5</v>
      </c>
      <c r="G409">
        <f t="shared" si="323"/>
        <v>1.526847331316916E-3</v>
      </c>
      <c r="H409">
        <f t="shared" si="324"/>
        <v>-3.1400658026686834</v>
      </c>
      <c r="J409">
        <f t="shared" si="325"/>
        <v>15</v>
      </c>
      <c r="M409">
        <f t="shared" si="326"/>
        <v>1.2828165413612375E-3</v>
      </c>
      <c r="N409">
        <f t="shared" si="327"/>
        <v>-1.5707963250000001</v>
      </c>
      <c r="O409">
        <f t="shared" si="328"/>
        <v>191.47404397551665</v>
      </c>
      <c r="P409">
        <f t="shared" si="329"/>
        <v>1.5655736630578816</v>
      </c>
      <c r="Q409">
        <f t="shared" si="330"/>
        <v>166.43704294068186</v>
      </c>
      <c r="R409">
        <f t="shared" si="331"/>
        <v>1.5647880127862099</v>
      </c>
      <c r="S409">
        <f t="shared" si="332"/>
        <v>0.20790242949531618</v>
      </c>
      <c r="T409">
        <f t="shared" si="333"/>
        <v>-1.3613662847719454</v>
      </c>
      <c r="U409">
        <f t="shared" si="334"/>
        <v>0.20530998022186153</v>
      </c>
      <c r="V409">
        <f t="shared" si="335"/>
        <v>-1.3640159025819809</v>
      </c>
      <c r="X409">
        <f t="shared" si="352"/>
        <v>-56.620732692860223</v>
      </c>
      <c r="Y409">
        <f t="shared" si="336"/>
        <v>-239.86208104225463</v>
      </c>
      <c r="Z409">
        <f t="shared" si="353"/>
        <v>-59.86208104225463</v>
      </c>
      <c r="AC409">
        <v>1</v>
      </c>
      <c r="AD409">
        <f t="shared" si="337"/>
        <v>191.4714326377125</v>
      </c>
      <c r="AE409">
        <f t="shared" si="338"/>
        <v>-0.14075690743754821</v>
      </c>
      <c r="AF409">
        <f t="shared" si="339"/>
        <v>2.9527829317349999E-2</v>
      </c>
      <c r="AG409">
        <f t="shared" si="315"/>
        <v>266.52834772943112</v>
      </c>
      <c r="AH409">
        <f t="shared" si="316"/>
        <v>-1304.3866366500263</v>
      </c>
      <c r="AJ409">
        <f t="shared" si="340"/>
        <v>26400</v>
      </c>
      <c r="AK409">
        <f t="shared" si="341"/>
        <v>124208.01762969601</v>
      </c>
      <c r="AL409">
        <v>1</v>
      </c>
      <c r="AM409">
        <f t="shared" si="342"/>
        <v>166.43403877464002</v>
      </c>
      <c r="AN409">
        <f t="shared" si="317"/>
        <v>747.21583627047096</v>
      </c>
      <c r="AO409">
        <f t="shared" si="318"/>
        <v>-154.13183716862557</v>
      </c>
      <c r="AQ409">
        <f t="shared" si="343"/>
        <v>2.6298480920846569E-3</v>
      </c>
      <c r="AR409">
        <f t="shared" si="344"/>
        <v>-5.128203779565081</v>
      </c>
      <c r="AT409">
        <f t="shared" si="365"/>
        <v>-6688.4595510160862</v>
      </c>
      <c r="AU409">
        <f t="shared" si="366"/>
        <v>-1370.2420188950396</v>
      </c>
      <c r="AV409">
        <f t="shared" si="354"/>
        <v>-2.9395220726460267</v>
      </c>
      <c r="AW409">
        <f t="shared" si="355"/>
        <v>224.10646169268858</v>
      </c>
      <c r="AX409">
        <f t="shared" si="356"/>
        <v>-5925.6356774856285</v>
      </c>
      <c r="AY409">
        <f t="shared" si="364"/>
        <v>-1.5329945252475885</v>
      </c>
      <c r="BA409">
        <f t="shared" si="345"/>
        <v>1.1513529074967923</v>
      </c>
      <c r="BB409">
        <f t="shared" si="357"/>
        <v>1.2241692403962106</v>
      </c>
      <c r="BC409">
        <f t="shared" si="358"/>
        <v>-1.4065275473984382</v>
      </c>
      <c r="BD409">
        <f t="shared" si="346"/>
        <v>-260.58809232690271</v>
      </c>
      <c r="BF409">
        <f t="shared" si="347"/>
        <v>-60.232445009232343</v>
      </c>
      <c r="BG409">
        <f t="shared" si="348"/>
        <v>-253.65378887552467</v>
      </c>
      <c r="BH409">
        <f t="shared" si="359"/>
        <v>-73.653788875524668</v>
      </c>
      <c r="BI409">
        <f t="shared" si="360"/>
        <v>-73.653788875524668</v>
      </c>
      <c r="BJ409">
        <f t="shared" si="349"/>
        <v>0</v>
      </c>
      <c r="BK409">
        <f t="shared" si="361"/>
        <v>0</v>
      </c>
      <c r="BM409">
        <f t="shared" si="362"/>
        <v>-61.456614249628558</v>
      </c>
      <c r="BN409">
        <f t="shared" si="350"/>
        <v>-173.06569654862199</v>
      </c>
      <c r="BQ409" s="56">
        <f t="shared" si="363"/>
        <v>18.126130040681346</v>
      </c>
      <c r="BR409" s="59"/>
      <c r="BS409" s="59"/>
      <c r="BT409" s="59">
        <v>977237.22100000002</v>
      </c>
      <c r="BU409" s="59">
        <v>5.7547600000000001</v>
      </c>
      <c r="BV409" s="59">
        <v>98.699600000000004</v>
      </c>
      <c r="BY409" s="59"/>
      <c r="BZ409" s="59"/>
      <c r="CA409" s="59"/>
      <c r="CC409" s="59"/>
    </row>
    <row r="410" spans="1:81" x14ac:dyDescent="0.2">
      <c r="A410">
        <f t="shared" si="319"/>
        <v>980000</v>
      </c>
      <c r="B410">
        <f t="shared" si="351"/>
        <v>980</v>
      </c>
      <c r="C410">
        <f t="shared" si="320"/>
        <v>1.007256399398331</v>
      </c>
      <c r="D410">
        <f t="shared" si="321"/>
        <v>0.12010653567984585</v>
      </c>
      <c r="F410">
        <f t="shared" si="322"/>
        <v>5.5402142831914288E-5</v>
      </c>
      <c r="G410">
        <f t="shared" si="323"/>
        <v>1.519056440054771E-3</v>
      </c>
      <c r="H410">
        <f t="shared" si="324"/>
        <v>-3.1400735935599453</v>
      </c>
      <c r="J410">
        <f t="shared" si="325"/>
        <v>15</v>
      </c>
      <c r="M410">
        <f t="shared" si="326"/>
        <v>1.2762715590073537E-3</v>
      </c>
      <c r="N410">
        <f t="shared" si="327"/>
        <v>-1.5707963250000001</v>
      </c>
      <c r="O410">
        <f t="shared" si="328"/>
        <v>192.45593543530242</v>
      </c>
      <c r="P410">
        <f t="shared" si="329"/>
        <v>1.5656003088206032</v>
      </c>
      <c r="Q410">
        <f t="shared" si="330"/>
        <v>167.29053550473063</v>
      </c>
      <c r="R410">
        <f t="shared" si="331"/>
        <v>1.5648186667174089</v>
      </c>
      <c r="S410">
        <f t="shared" si="332"/>
        <v>0.20688721578409228</v>
      </c>
      <c r="T410">
        <f t="shared" si="333"/>
        <v>-1.362404062604383</v>
      </c>
      <c r="U410">
        <f t="shared" si="334"/>
        <v>0.20430631149776515</v>
      </c>
      <c r="V410">
        <f t="shared" si="335"/>
        <v>-1.3650413077541876</v>
      </c>
      <c r="X410">
        <f t="shared" si="352"/>
        <v>-56.749618652248948</v>
      </c>
      <c r="Y410">
        <f t="shared" si="336"/>
        <v>-239.94268002445142</v>
      </c>
      <c r="Z410">
        <f t="shared" si="353"/>
        <v>-59.94268002445142</v>
      </c>
      <c r="AC410">
        <v>1</v>
      </c>
      <c r="AD410">
        <f t="shared" si="337"/>
        <v>192.45333742047001</v>
      </c>
      <c r="AE410">
        <f t="shared" si="338"/>
        <v>-0.14220426972046948</v>
      </c>
      <c r="AF410">
        <f t="shared" si="339"/>
        <v>2.967925408308E-2</v>
      </c>
      <c r="AG410">
        <f t="shared" si="315"/>
        <v>263.92884129167248</v>
      </c>
      <c r="AH410">
        <f t="shared" si="316"/>
        <v>-1298.2741421395351</v>
      </c>
      <c r="AJ410">
        <f t="shared" si="340"/>
        <v>26400</v>
      </c>
      <c r="AK410">
        <f t="shared" si="341"/>
        <v>124844.98182266881</v>
      </c>
      <c r="AL410">
        <v>1</v>
      </c>
      <c r="AM410">
        <f t="shared" si="342"/>
        <v>167.28754666579204</v>
      </c>
      <c r="AN410">
        <f t="shared" si="317"/>
        <v>747.20641088112723</v>
      </c>
      <c r="AO410">
        <f t="shared" si="318"/>
        <v>-153.3455065867405</v>
      </c>
      <c r="AQ410">
        <f t="shared" si="343"/>
        <v>2.6030813715427498E-3</v>
      </c>
      <c r="AR410">
        <f t="shared" si="344"/>
        <v>-5.1020394882237898</v>
      </c>
      <c r="AT410">
        <f t="shared" si="365"/>
        <v>-6623.1589114855942</v>
      </c>
      <c r="AU410">
        <f t="shared" si="366"/>
        <v>-1349.9548835858216</v>
      </c>
      <c r="AV410">
        <f t="shared" si="354"/>
        <v>-2.9405234484860152</v>
      </c>
      <c r="AW410">
        <f t="shared" si="355"/>
        <v>229.53347144862559</v>
      </c>
      <c r="AX410">
        <f t="shared" si="356"/>
        <v>-5895.889848701474</v>
      </c>
      <c r="AY410">
        <f t="shared" si="364"/>
        <v>-1.5318848783054113</v>
      </c>
      <c r="BA410">
        <f t="shared" si="345"/>
        <v>1.1455808787650537</v>
      </c>
      <c r="BB410">
        <f t="shared" si="357"/>
        <v>1.1805151216895675</v>
      </c>
      <c r="BC410">
        <f t="shared" si="358"/>
        <v>-1.4086385701806039</v>
      </c>
      <c r="BD410">
        <f t="shared" si="346"/>
        <v>-260.70904502291495</v>
      </c>
      <c r="BF410">
        <f t="shared" si="347"/>
        <v>-60.36432773978521</v>
      </c>
      <c r="BG410">
        <f t="shared" si="348"/>
        <v>-253.74041190570219</v>
      </c>
      <c r="BH410">
        <f t="shared" si="359"/>
        <v>-73.740411905702189</v>
      </c>
      <c r="BI410">
        <f t="shared" si="360"/>
        <v>-73.740411905702189</v>
      </c>
      <c r="BJ410">
        <f t="shared" si="349"/>
        <v>0</v>
      </c>
      <c r="BK410">
        <f t="shared" si="361"/>
        <v>0</v>
      </c>
      <c r="BM410">
        <f t="shared" si="362"/>
        <v>-61.544842861474777</v>
      </c>
      <c r="BN410">
        <f t="shared" si="350"/>
        <v>-173.03136688278727</v>
      </c>
      <c r="BQ410" s="56">
        <f t="shared" si="363"/>
        <v>18.082475921974705</v>
      </c>
    </row>
    <row r="411" spans="1:81" x14ac:dyDescent="0.2">
      <c r="A411">
        <f t="shared" si="319"/>
        <v>985000</v>
      </c>
      <c r="B411">
        <f t="shared" si="351"/>
        <v>985</v>
      </c>
      <c r="C411">
        <f t="shared" si="320"/>
        <v>1.0073303630699115</v>
      </c>
      <c r="D411">
        <f t="shared" si="321"/>
        <v>0.12071340336178416</v>
      </c>
      <c r="F411">
        <f t="shared" si="322"/>
        <v>5.4841081944034707E-5</v>
      </c>
      <c r="G411">
        <f t="shared" si="323"/>
        <v>1.5113446570403474E-3</v>
      </c>
      <c r="H411">
        <f t="shared" si="324"/>
        <v>-3.1400813053429597</v>
      </c>
      <c r="J411">
        <f t="shared" si="325"/>
        <v>15</v>
      </c>
      <c r="M411">
        <f t="shared" si="326"/>
        <v>1.2697930231748292E-3</v>
      </c>
      <c r="N411">
        <f t="shared" si="327"/>
        <v>-1.5707963250000001</v>
      </c>
      <c r="O411">
        <f t="shared" si="328"/>
        <v>193.43782703034404</v>
      </c>
      <c r="P411">
        <f t="shared" si="329"/>
        <v>1.5656266840752335</v>
      </c>
      <c r="Q411">
        <f t="shared" si="330"/>
        <v>168.14402822438035</v>
      </c>
      <c r="R411">
        <f t="shared" si="331"/>
        <v>1.5648490094522485</v>
      </c>
      <c r="S411">
        <f t="shared" si="332"/>
        <v>0.20588165021633401</v>
      </c>
      <c r="T411">
        <f t="shared" si="333"/>
        <v>-1.3634317533941291</v>
      </c>
      <c r="U411">
        <f t="shared" si="334"/>
        <v>0.20331219734744213</v>
      </c>
      <c r="V411">
        <f t="shared" si="335"/>
        <v>-1.3660567351474391</v>
      </c>
      <c r="X411">
        <f t="shared" si="352"/>
        <v>-56.877878763231976</v>
      </c>
      <c r="Y411">
        <f t="shared" si="336"/>
        <v>-240.02216326777662</v>
      </c>
      <c r="Z411">
        <f t="shared" si="353"/>
        <v>-60.022163267776619</v>
      </c>
      <c r="AC411">
        <v>1</v>
      </c>
      <c r="AD411">
        <f t="shared" si="337"/>
        <v>193.43524220322749</v>
      </c>
      <c r="AE411">
        <f t="shared" si="338"/>
        <v>-0.1436590353910272</v>
      </c>
      <c r="AF411">
        <f t="shared" si="339"/>
        <v>2.9830678848810001E-2</v>
      </c>
      <c r="AG411">
        <f t="shared" si="315"/>
        <v>261.36663887642425</v>
      </c>
      <c r="AH411">
        <f t="shared" si="316"/>
        <v>-1292.2159572617231</v>
      </c>
      <c r="AJ411">
        <f t="shared" si="340"/>
        <v>26400</v>
      </c>
      <c r="AK411">
        <f t="shared" si="341"/>
        <v>125481.9460156416</v>
      </c>
      <c r="AL411">
        <v>1</v>
      </c>
      <c r="AM411">
        <f t="shared" si="342"/>
        <v>168.14105455694403</v>
      </c>
      <c r="AN411">
        <f t="shared" si="317"/>
        <v>747.19712865425265</v>
      </c>
      <c r="AO411">
        <f t="shared" si="318"/>
        <v>-152.56715820500554</v>
      </c>
      <c r="AQ411">
        <f t="shared" si="343"/>
        <v>2.5767212304565359E-3</v>
      </c>
      <c r="AR411">
        <f t="shared" si="344"/>
        <v>-5.0761408239993751</v>
      </c>
      <c r="AT411">
        <f t="shared" si="365"/>
        <v>-6558.7967051123387</v>
      </c>
      <c r="AU411">
        <f t="shared" si="366"/>
        <v>-1330.0635459235302</v>
      </c>
      <c r="AV411">
        <f t="shared" si="354"/>
        <v>-2.9415150904924001</v>
      </c>
      <c r="AW411">
        <f t="shared" si="355"/>
        <v>234.87588463685123</v>
      </c>
      <c r="AX411">
        <f t="shared" si="356"/>
        <v>-5866.439098220646</v>
      </c>
      <c r="AY411">
        <f t="shared" si="364"/>
        <v>-1.5307804839754175</v>
      </c>
      <c r="BA411">
        <f t="shared" si="345"/>
        <v>1.1398640328753931</v>
      </c>
      <c r="BB411">
        <f t="shared" si="357"/>
        <v>1.1370610040341409</v>
      </c>
      <c r="BC411">
        <f t="shared" si="358"/>
        <v>-1.4107346065169826</v>
      </c>
      <c r="BD411">
        <f t="shared" si="346"/>
        <v>-260.82913905883277</v>
      </c>
      <c r="BF411">
        <f t="shared" si="347"/>
        <v>-60.495555035310716</v>
      </c>
      <c r="BG411">
        <f t="shared" si="348"/>
        <v>-253.82617683730203</v>
      </c>
      <c r="BH411">
        <f t="shared" si="359"/>
        <v>-73.826176837302029</v>
      </c>
      <c r="BI411">
        <f t="shared" si="360"/>
        <v>-73.826176837302029</v>
      </c>
      <c r="BJ411">
        <f t="shared" si="349"/>
        <v>0</v>
      </c>
      <c r="BK411">
        <f t="shared" si="361"/>
        <v>0</v>
      </c>
      <c r="BM411">
        <f t="shared" si="362"/>
        <v>-61.63261603934486</v>
      </c>
      <c r="BN411">
        <f t="shared" si="350"/>
        <v>-172.99703777846932</v>
      </c>
      <c r="BQ411" s="56">
        <f t="shared" si="363"/>
        <v>18.039021804319276</v>
      </c>
    </row>
    <row r="412" spans="1:81" x14ac:dyDescent="0.2">
      <c r="A412">
        <f t="shared" si="319"/>
        <v>990000</v>
      </c>
      <c r="B412">
        <f t="shared" si="351"/>
        <v>990</v>
      </c>
      <c r="C412">
        <f t="shared" si="320"/>
        <v>1.0074046976750075</v>
      </c>
      <c r="D412">
        <f t="shared" si="321"/>
        <v>0.12132018170778562</v>
      </c>
      <c r="F412">
        <f t="shared" si="322"/>
        <v>5.4288501096391248E-5</v>
      </c>
      <c r="G412">
        <f t="shared" si="323"/>
        <v>1.5037107834050747E-3</v>
      </c>
      <c r="H412">
        <f t="shared" si="324"/>
        <v>-3.1400889392165952</v>
      </c>
      <c r="J412">
        <f t="shared" si="325"/>
        <v>15</v>
      </c>
      <c r="M412">
        <f t="shared" si="326"/>
        <v>1.2633799270981886E-3</v>
      </c>
      <c r="N412">
        <f t="shared" si="327"/>
        <v>-1.5707963250000001</v>
      </c>
      <c r="O412">
        <f t="shared" si="328"/>
        <v>194.41971875859224</v>
      </c>
      <c r="P412">
        <f t="shared" si="329"/>
        <v>1.5656527929202346</v>
      </c>
      <c r="Q412">
        <f t="shared" si="330"/>
        <v>168.99752109727356</v>
      </c>
      <c r="R412">
        <f t="shared" si="331"/>
        <v>1.5648790457056028</v>
      </c>
      <c r="S412">
        <f t="shared" si="332"/>
        <v>0.20488559911598256</v>
      </c>
      <c r="T412">
        <f t="shared" si="333"/>
        <v>-1.3644495013571991</v>
      </c>
      <c r="U412">
        <f t="shared" si="334"/>
        <v>0.20232750508027872</v>
      </c>
      <c r="V412">
        <f t="shared" si="335"/>
        <v>-1.3670623276270841</v>
      </c>
      <c r="X412">
        <f t="shared" si="352"/>
        <v>-57.005518814290788</v>
      </c>
      <c r="Y412">
        <f t="shared" si="336"/>
        <v>-240.10054680899069</v>
      </c>
      <c r="Z412">
        <f t="shared" si="353"/>
        <v>-60.100546808990686</v>
      </c>
      <c r="AC412">
        <v>1</v>
      </c>
      <c r="AD412">
        <f t="shared" si="337"/>
        <v>194.417146985985</v>
      </c>
      <c r="AE412">
        <f t="shared" si="338"/>
        <v>-0.1451212044492213</v>
      </c>
      <c r="AF412">
        <f t="shared" si="339"/>
        <v>2.9982103614539998E-2</v>
      </c>
      <c r="AG412">
        <f t="shared" si="315"/>
        <v>258.84104062883432</v>
      </c>
      <c r="AH412">
        <f t="shared" si="316"/>
        <v>-1286.2114037336844</v>
      </c>
      <c r="AJ412">
        <f t="shared" si="340"/>
        <v>26400</v>
      </c>
      <c r="AK412">
        <f t="shared" si="341"/>
        <v>126118.91020861441</v>
      </c>
      <c r="AL412">
        <v>1</v>
      </c>
      <c r="AM412">
        <f t="shared" si="342"/>
        <v>168.99456244809602</v>
      </c>
      <c r="AN412">
        <f t="shared" si="317"/>
        <v>747.18798670516094</v>
      </c>
      <c r="AO412">
        <f t="shared" si="318"/>
        <v>-151.79667109806383</v>
      </c>
      <c r="AQ412">
        <f t="shared" si="343"/>
        <v>2.5507594758801457E-3</v>
      </c>
      <c r="AR412">
        <f t="shared" si="344"/>
        <v>-5.0505037622426894</v>
      </c>
      <c r="AT412">
        <f t="shared" si="365"/>
        <v>-6495.3552923592933</v>
      </c>
      <c r="AU412">
        <f t="shared" si="366"/>
        <v>-1310.5584654447994</v>
      </c>
      <c r="AV412">
        <f t="shared" si="354"/>
        <v>-2.9424971378345344</v>
      </c>
      <c r="AW412">
        <f t="shared" si="355"/>
        <v>240.13545732527623</v>
      </c>
      <c r="AX412">
        <f t="shared" si="356"/>
        <v>-5837.2790830509184</v>
      </c>
      <c r="AY412">
        <f t="shared" si="364"/>
        <v>-1.5296812582121049</v>
      </c>
      <c r="BA412">
        <f t="shared" si="345"/>
        <v>1.134201593306531</v>
      </c>
      <c r="BB412">
        <f t="shared" si="357"/>
        <v>1.0938050607937853</v>
      </c>
      <c r="BC412">
        <f t="shared" si="358"/>
        <v>-1.4128158796224295</v>
      </c>
      <c r="BD412">
        <f t="shared" si="346"/>
        <v>-260.94838722392518</v>
      </c>
      <c r="BF412">
        <f t="shared" si="347"/>
        <v>-60.626133304677992</v>
      </c>
      <c r="BG412">
        <f t="shared" si="348"/>
        <v>-253.91109655277012</v>
      </c>
      <c r="BH412">
        <f t="shared" si="359"/>
        <v>-73.911096552770118</v>
      </c>
      <c r="BI412">
        <f t="shared" si="360"/>
        <v>-73.911096552770118</v>
      </c>
      <c r="BJ412">
        <f t="shared" si="349"/>
        <v>0</v>
      </c>
      <c r="BK412">
        <f t="shared" si="361"/>
        <v>0</v>
      </c>
      <c r="BM412">
        <f t="shared" si="362"/>
        <v>-61.719938365471776</v>
      </c>
      <c r="BN412">
        <f t="shared" si="350"/>
        <v>-172.96270932884494</v>
      </c>
      <c r="BQ412" s="56">
        <f t="shared" si="363"/>
        <v>17.995765861078922</v>
      </c>
    </row>
    <row r="413" spans="1:81" x14ac:dyDescent="0.2">
      <c r="A413">
        <f t="shared" si="319"/>
        <v>995000</v>
      </c>
      <c r="B413">
        <f t="shared" si="351"/>
        <v>995</v>
      </c>
      <c r="C413">
        <f t="shared" si="320"/>
        <v>1.0074794031315131</v>
      </c>
      <c r="D413">
        <f t="shared" si="321"/>
        <v>0.121926870290867</v>
      </c>
      <c r="F413">
        <f t="shared" si="322"/>
        <v>5.374423024991567E-5</v>
      </c>
      <c r="G413">
        <f t="shared" si="323"/>
        <v>1.4961536443846969E-3</v>
      </c>
      <c r="H413">
        <f t="shared" si="324"/>
        <v>-3.1400964963556155</v>
      </c>
      <c r="J413">
        <f t="shared" si="325"/>
        <v>15</v>
      </c>
      <c r="M413">
        <f t="shared" si="326"/>
        <v>1.257031284248449E-3</v>
      </c>
      <c r="N413">
        <f t="shared" si="327"/>
        <v>-1.5707963250000001</v>
      </c>
      <c r="O413">
        <f t="shared" si="328"/>
        <v>195.40161061803897</v>
      </c>
      <c r="P413">
        <f t="shared" si="329"/>
        <v>1.5656786393716908</v>
      </c>
      <c r="Q413">
        <f t="shared" si="330"/>
        <v>169.85101412110009</v>
      </c>
      <c r="R413">
        <f t="shared" si="331"/>
        <v>1.5649087800975812</v>
      </c>
      <c r="S413">
        <f t="shared" si="332"/>
        <v>0.20389893120170435</v>
      </c>
      <c r="T413">
        <f t="shared" si="333"/>
        <v>-1.3654574480148927</v>
      </c>
      <c r="U413">
        <f t="shared" si="334"/>
        <v>0.20135210439020479</v>
      </c>
      <c r="V413">
        <f t="shared" si="335"/>
        <v>-1.3680582253839446</v>
      </c>
      <c r="X413">
        <f t="shared" si="352"/>
        <v>-57.132544516101845</v>
      </c>
      <c r="Y413">
        <f t="shared" si="336"/>
        <v>-240.17784638596493</v>
      </c>
      <c r="Z413">
        <f t="shared" si="353"/>
        <v>-60.177846385964926</v>
      </c>
      <c r="AC413">
        <v>1</v>
      </c>
      <c r="AD413">
        <f t="shared" si="337"/>
        <v>195.39905176874251</v>
      </c>
      <c r="AE413">
        <f t="shared" si="338"/>
        <v>-0.14659077689505187</v>
      </c>
      <c r="AF413">
        <f t="shared" si="339"/>
        <v>3.0133528380269999E-2</v>
      </c>
      <c r="AG413">
        <f t="shared" si="315"/>
        <v>256.35136277476039</v>
      </c>
      <c r="AH413">
        <f t="shared" si="316"/>
        <v>-1280.2598136007509</v>
      </c>
      <c r="AJ413">
        <f t="shared" si="340"/>
        <v>26400</v>
      </c>
      <c r="AK413">
        <f t="shared" si="341"/>
        <v>126755.87440158721</v>
      </c>
      <c r="AL413">
        <v>1</v>
      </c>
      <c r="AM413">
        <f t="shared" si="342"/>
        <v>169.84807033924801</v>
      </c>
      <c r="AN413">
        <f t="shared" si="317"/>
        <v>747.17898222145834</v>
      </c>
      <c r="AO413">
        <f t="shared" si="318"/>
        <v>-151.03392677079336</v>
      </c>
      <c r="AQ413">
        <f t="shared" si="343"/>
        <v>2.5251881202019849E-3</v>
      </c>
      <c r="AR413">
        <f t="shared" si="344"/>
        <v>-5.0251243592019499</v>
      </c>
      <c r="AT413">
        <f t="shared" si="365"/>
        <v>-6432.8174400166054</v>
      </c>
      <c r="AU413">
        <f t="shared" si="366"/>
        <v>-1291.4303744661411</v>
      </c>
      <c r="AV413">
        <f t="shared" si="354"/>
        <v>-2.9434697270815309</v>
      </c>
      <c r="AW413">
        <f t="shared" si="355"/>
        <v>245.31390012530423</v>
      </c>
      <c r="AX413">
        <f t="shared" si="356"/>
        <v>-5808.4055446052935</v>
      </c>
      <c r="AY413">
        <f t="shared" si="364"/>
        <v>-1.5285871188154974</v>
      </c>
      <c r="BA413">
        <f t="shared" si="345"/>
        <v>1.1285927976754961</v>
      </c>
      <c r="BB413">
        <f t="shared" si="357"/>
        <v>1.050745488239734</v>
      </c>
      <c r="BC413">
        <f t="shared" si="358"/>
        <v>-1.4148826082660335</v>
      </c>
      <c r="BD413">
        <f t="shared" si="346"/>
        <v>-261.06680205273778</v>
      </c>
      <c r="BF413">
        <f t="shared" si="347"/>
        <v>-60.756068864608174</v>
      </c>
      <c r="BG413">
        <f t="shared" si="348"/>
        <v>-253.99518367842524</v>
      </c>
      <c r="BH413">
        <f t="shared" si="359"/>
        <v>-73.995183678425235</v>
      </c>
      <c r="BI413">
        <f t="shared" si="360"/>
        <v>-73.995183678425235</v>
      </c>
      <c r="BJ413">
        <f t="shared" si="349"/>
        <v>0</v>
      </c>
      <c r="BK413">
        <f t="shared" si="361"/>
        <v>0</v>
      </c>
      <c r="BM413">
        <f t="shared" si="362"/>
        <v>-61.806814352847901</v>
      </c>
      <c r="BN413">
        <f t="shared" si="350"/>
        <v>-172.92838162568742</v>
      </c>
      <c r="BQ413" s="56">
        <f t="shared" si="363"/>
        <v>17.952706288524872</v>
      </c>
    </row>
    <row r="414" spans="1:81" x14ac:dyDescent="0.2">
      <c r="A414">
        <f t="shared" si="319"/>
        <v>1000000</v>
      </c>
      <c r="B414">
        <f t="shared" si="351"/>
        <v>1000</v>
      </c>
      <c r="C414">
        <f t="shared" si="320"/>
        <v>1.0075544793569382</v>
      </c>
      <c r="D414">
        <f t="shared" si="321"/>
        <v>0.12253346868443565</v>
      </c>
      <c r="F414">
        <f t="shared" si="322"/>
        <v>5.3208103606307605E-5</v>
      </c>
      <c r="G414">
        <f t="shared" si="323"/>
        <v>1.4886720887164711E-3</v>
      </c>
      <c r="H414">
        <f t="shared" si="324"/>
        <v>-3.1401039779112838</v>
      </c>
      <c r="J414">
        <f t="shared" si="325"/>
        <v>15</v>
      </c>
      <c r="M414">
        <f t="shared" si="326"/>
        <v>1.2507461278272068E-3</v>
      </c>
      <c r="N414">
        <f t="shared" si="327"/>
        <v>-1.5707963250000001</v>
      </c>
      <c r="O414">
        <f t="shared" si="328"/>
        <v>196.38350260671626</v>
      </c>
      <c r="P414">
        <f t="shared" si="329"/>
        <v>1.5657042273653679</v>
      </c>
      <c r="Q414">
        <f t="shared" si="330"/>
        <v>170.70450729359601</v>
      </c>
      <c r="R414">
        <f t="shared" si="331"/>
        <v>1.564938217155895</v>
      </c>
      <c r="S414">
        <f t="shared" si="332"/>
        <v>0.20292151753508325</v>
      </c>
      <c r="T414">
        <f t="shared" si="333"/>
        <v>-1.3664557322554407</v>
      </c>
      <c r="U414">
        <f t="shared" si="334"/>
        <v>0.20038586730389049</v>
      </c>
      <c r="V414">
        <f t="shared" si="335"/>
        <v>-1.3690445659956434</v>
      </c>
      <c r="X414">
        <f t="shared" si="352"/>
        <v>-57.258961502876808</v>
      </c>
      <c r="Y414">
        <f t="shared" si="336"/>
        <v>-240.25407744450908</v>
      </c>
      <c r="Z414">
        <f t="shared" si="353"/>
        <v>-60.254077444509079</v>
      </c>
      <c r="AC414">
        <v>1</v>
      </c>
      <c r="AD414">
        <f t="shared" si="337"/>
        <v>196.38095655150002</v>
      </c>
      <c r="AE414">
        <f t="shared" si="338"/>
        <v>-0.14806775272851885</v>
      </c>
      <c r="AF414">
        <f t="shared" si="339"/>
        <v>3.0284953146E-2</v>
      </c>
      <c r="AG414">
        <f t="shared" si="315"/>
        <v>253.89693718682645</v>
      </c>
      <c r="AH414">
        <f t="shared" si="316"/>
        <v>-1274.3605290670475</v>
      </c>
      <c r="AJ414">
        <f t="shared" si="340"/>
        <v>26400</v>
      </c>
      <c r="AK414">
        <f t="shared" si="341"/>
        <v>127392.83859456002</v>
      </c>
      <c r="AL414">
        <v>1</v>
      </c>
      <c r="AM414">
        <f t="shared" si="342"/>
        <v>170.70157823040003</v>
      </c>
      <c r="AN414">
        <f t="shared" si="317"/>
        <v>747.1701124608793</v>
      </c>
      <c r="AO414">
        <f t="shared" si="318"/>
        <v>-150.27880909756368</v>
      </c>
      <c r="AQ414">
        <f t="shared" si="343"/>
        <v>2.4999993750001561E-3</v>
      </c>
      <c r="AR414">
        <f t="shared" si="344"/>
        <v>-4.9999987500003122</v>
      </c>
      <c r="AT414">
        <f t="shared" si="365"/>
        <v>-6371.1663102006933</v>
      </c>
      <c r="AU414">
        <f t="shared" si="366"/>
        <v>-1272.6702690892325</v>
      </c>
      <c r="AV414">
        <f t="shared" si="354"/>
        <v>-2.9444329922617354</v>
      </c>
      <c r="AW414">
        <f t="shared" si="355"/>
        <v>250.41287959890835</v>
      </c>
      <c r="AX414">
        <f t="shared" si="356"/>
        <v>-5779.8143066683497</v>
      </c>
      <c r="AY414">
        <f t="shared" si="364"/>
        <v>-1.5274979853811368</v>
      </c>
      <c r="BA414">
        <f t="shared" si="345"/>
        <v>1.123036897427717</v>
      </c>
      <c r="BB414">
        <f t="shared" si="357"/>
        <v>1.007880505211536</v>
      </c>
      <c r="BC414">
        <f t="shared" si="358"/>
        <v>-1.4169350068805986</v>
      </c>
      <c r="BD414">
        <f t="shared" si="346"/>
        <v>-261.18439583136524</v>
      </c>
      <c r="BF414">
        <f t="shared" si="347"/>
        <v>-60.885367941402244</v>
      </c>
      <c r="BG414">
        <f t="shared" si="348"/>
        <v>-254.07845059076655</v>
      </c>
      <c r="BH414">
        <f t="shared" si="359"/>
        <v>-74.07845059076655</v>
      </c>
      <c r="BI414">
        <f t="shared" si="360"/>
        <v>-74.07845059076655</v>
      </c>
      <c r="BJ414">
        <f t="shared" si="349"/>
        <v>0</v>
      </c>
      <c r="BK414">
        <f t="shared" si="361"/>
        <v>0</v>
      </c>
      <c r="BM414">
        <f t="shared" si="362"/>
        <v>-61.893248446613775</v>
      </c>
      <c r="BN414">
        <f t="shared" si="350"/>
        <v>-172.89405475940131</v>
      </c>
      <c r="BQ414" s="56">
        <f t="shared" si="363"/>
        <v>17.909841305496673</v>
      </c>
    </row>
    <row r="415" spans="1:81" x14ac:dyDescent="0.2">
      <c r="A415">
        <f t="shared" si="319"/>
        <v>1005000</v>
      </c>
      <c r="B415">
        <f t="shared" si="351"/>
        <v>1005</v>
      </c>
      <c r="C415">
        <f t="shared" si="320"/>
        <v>1.0076299262684068</v>
      </c>
      <c r="D415">
        <f t="shared" si="321"/>
        <v>0.12313997646229129</v>
      </c>
      <c r="F415">
        <f t="shared" si="322"/>
        <v>5.2679959481744952E-5</v>
      </c>
      <c r="G415">
        <f t="shared" si="323"/>
        <v>1.4812649880543692E-3</v>
      </c>
      <c r="H415">
        <f t="shared" si="324"/>
        <v>-3.140111385011946</v>
      </c>
      <c r="J415">
        <f t="shared" si="325"/>
        <v>15</v>
      </c>
      <c r="M415">
        <f t="shared" si="326"/>
        <v>1.2445235102758274E-3</v>
      </c>
      <c r="N415">
        <f t="shared" si="327"/>
        <v>-1.5707963250000001</v>
      </c>
      <c r="O415">
        <f t="shared" si="328"/>
        <v>197.36539472269541</v>
      </c>
      <c r="P415">
        <f t="shared" si="329"/>
        <v>1.5657295607587118</v>
      </c>
      <c r="Q415">
        <f t="shared" si="330"/>
        <v>171.55800061254249</v>
      </c>
      <c r="R415">
        <f t="shared" si="331"/>
        <v>1.5649673613181576</v>
      </c>
      <c r="S415">
        <f t="shared" si="332"/>
        <v>0.20195323147010452</v>
      </c>
      <c r="T415">
        <f t="shared" si="333"/>
        <v>-1.3674444903939957</v>
      </c>
      <c r="U415">
        <f t="shared" si="334"/>
        <v>0.1994286681302424</v>
      </c>
      <c r="V415">
        <f t="shared" si="335"/>
        <v>-1.3700214844862801</v>
      </c>
      <c r="X415">
        <f t="shared" si="352"/>
        <v>-57.384775333675194</v>
      </c>
      <c r="Y415">
        <f t="shared" si="336"/>
        <v>-240.32925514501412</v>
      </c>
      <c r="Z415">
        <f t="shared" si="353"/>
        <v>-60.329255145014116</v>
      </c>
      <c r="AC415">
        <v>1</v>
      </c>
      <c r="AD415">
        <f t="shared" si="337"/>
        <v>197.3628613342575</v>
      </c>
      <c r="AE415">
        <f t="shared" si="338"/>
        <v>-0.14955213194962225</v>
      </c>
      <c r="AF415">
        <f t="shared" si="339"/>
        <v>3.0436377911730001E-2</v>
      </c>
      <c r="AG415">
        <f t="shared" si="315"/>
        <v>251.4771109638271</v>
      </c>
      <c r="AH415">
        <f t="shared" si="316"/>
        <v>-1268.5129023283816</v>
      </c>
      <c r="AJ415">
        <f t="shared" si="340"/>
        <v>26400</v>
      </c>
      <c r="AK415">
        <f t="shared" si="341"/>
        <v>128029.80278753281</v>
      </c>
      <c r="AL415">
        <v>1</v>
      </c>
      <c r="AM415">
        <f t="shared" si="342"/>
        <v>171.55508612155202</v>
      </c>
      <c r="AN415">
        <f t="shared" si="317"/>
        <v>747.16137474919947</v>
      </c>
      <c r="AO415">
        <f t="shared" si="318"/>
        <v>-149.53120426330571</v>
      </c>
      <c r="AQ415">
        <f t="shared" si="343"/>
        <v>2.4751856451113476E-3</v>
      </c>
      <c r="AR415">
        <f t="shared" si="344"/>
        <v>-4.9751231466738082</v>
      </c>
      <c r="AT415">
        <f t="shared" si="365"/>
        <v>-6310.3854496931717</v>
      </c>
      <c r="AU415">
        <f t="shared" si="366"/>
        <v>-1254.2694005412757</v>
      </c>
      <c r="AV415">
        <f t="shared" si="354"/>
        <v>-2.9453870649205984</v>
      </c>
      <c r="AW415">
        <f t="shared" si="355"/>
        <v>255.43401961512234</v>
      </c>
      <c r="AX415">
        <f t="shared" si="356"/>
        <v>-5751.5012734209968</v>
      </c>
      <c r="AY415">
        <f t="shared" si="364"/>
        <v>-1.5264137792516794</v>
      </c>
      <c r="BA415">
        <f t="shared" si="345"/>
        <v>1.1175331575348657</v>
      </c>
      <c r="BB415">
        <f t="shared" si="357"/>
        <v>0.96520835278275652</v>
      </c>
      <c r="BC415">
        <f t="shared" si="358"/>
        <v>-1.418973285668919</v>
      </c>
      <c r="BD415">
        <f t="shared" si="346"/>
        <v>-261.3011806035405</v>
      </c>
      <c r="BF415">
        <f t="shared" si="347"/>
        <v>-61.014036672629501</v>
      </c>
      <c r="BG415">
        <f t="shared" si="348"/>
        <v>-254.16090942259592</v>
      </c>
      <c r="BH415">
        <f t="shared" si="359"/>
        <v>-74.160909422595921</v>
      </c>
      <c r="BI415">
        <f t="shared" si="360"/>
        <v>-74.160909422595921</v>
      </c>
      <c r="BJ415">
        <f t="shared" si="349"/>
        <v>0</v>
      </c>
      <c r="BK415">
        <f t="shared" si="361"/>
        <v>0</v>
      </c>
      <c r="BM415">
        <f t="shared" si="362"/>
        <v>-61.979245025412261</v>
      </c>
      <c r="BN415">
        <f t="shared" si="350"/>
        <v>-172.85972881905548</v>
      </c>
      <c r="BQ415" s="56">
        <f t="shared" si="363"/>
        <v>17.867169153067891</v>
      </c>
    </row>
    <row r="416" spans="1:81" x14ac:dyDescent="0.2">
      <c r="A416">
        <f t="shared" si="319"/>
        <v>1010000</v>
      </c>
      <c r="B416">
        <f t="shared" si="351"/>
        <v>1010</v>
      </c>
      <c r="C416">
        <f t="shared" si="320"/>
        <v>1.0077057437826593</v>
      </c>
      <c r="D416">
        <f t="shared" si="321"/>
        <v>0.12374639319862758</v>
      </c>
      <c r="F416">
        <f t="shared" si="322"/>
        <v>5.2159640184960578E-5</v>
      </c>
      <c r="G416">
        <f t="shared" si="323"/>
        <v>1.4739312364016551E-3</v>
      </c>
      <c r="H416">
        <f t="shared" si="324"/>
        <v>-3.1401187187635986</v>
      </c>
      <c r="J416">
        <f t="shared" si="325"/>
        <v>15</v>
      </c>
      <c r="M416">
        <f t="shared" si="326"/>
        <v>1.2383625027992146E-3</v>
      </c>
      <c r="N416">
        <f t="shared" si="327"/>
        <v>-1.5707963250000001</v>
      </c>
      <c r="O416">
        <f t="shared" si="328"/>
        <v>198.34728696408578</v>
      </c>
      <c r="P416">
        <f t="shared" si="329"/>
        <v>1.5657546433327865</v>
      </c>
      <c r="Q416">
        <f t="shared" si="330"/>
        <v>172.41149407576455</v>
      </c>
      <c r="R416">
        <f t="shared" si="331"/>
        <v>1.5649962169341143</v>
      </c>
      <c r="S416">
        <f t="shared" si="332"/>
        <v>0.20099394860389452</v>
      </c>
      <c r="T416">
        <f t="shared" si="333"/>
        <v>-1.3684238562310158</v>
      </c>
      <c r="U416">
        <f t="shared" si="334"/>
        <v>0.19848038341116106</v>
      </c>
      <c r="V416">
        <f t="shared" si="335"/>
        <v>-1.3709891133845058</v>
      </c>
      <c r="X416">
        <f t="shared" si="352"/>
        <v>-57.509991493690265</v>
      </c>
      <c r="Y416">
        <f t="shared" si="336"/>
        <v>-240.40339436891875</v>
      </c>
      <c r="Z416">
        <f t="shared" si="353"/>
        <v>-60.403394368918754</v>
      </c>
      <c r="AC416">
        <v>1</v>
      </c>
      <c r="AD416">
        <f t="shared" si="337"/>
        <v>198.34476611701498</v>
      </c>
      <c r="AE416">
        <f t="shared" si="338"/>
        <v>-0.15104391455836208</v>
      </c>
      <c r="AF416">
        <f t="shared" si="339"/>
        <v>3.0587802677459999E-2</v>
      </c>
      <c r="AG416">
        <f t="shared" si="315"/>
        <v>249.09124602302361</v>
      </c>
      <c r="AH416">
        <f t="shared" si="316"/>
        <v>-1262.7162954074877</v>
      </c>
      <c r="AJ416">
        <f t="shared" si="340"/>
        <v>26400</v>
      </c>
      <c r="AK416">
        <f t="shared" si="341"/>
        <v>128666.76698050562</v>
      </c>
      <c r="AL416">
        <v>1</v>
      </c>
      <c r="AM416">
        <f t="shared" si="342"/>
        <v>172.40859401270401</v>
      </c>
      <c r="AN416">
        <f t="shared" si="317"/>
        <v>747.15276647821929</v>
      </c>
      <c r="AO416">
        <f t="shared" si="318"/>
        <v>-148.79100070633103</v>
      </c>
      <c r="AQ416">
        <f t="shared" si="343"/>
        <v>2.4507395229047342E-3</v>
      </c>
      <c r="AR416">
        <f t="shared" si="344"/>
        <v>-4.9504938362675626</v>
      </c>
      <c r="AT416">
        <f t="shared" si="365"/>
        <v>-6250.4587796079404</v>
      </c>
      <c r="AU416">
        <f t="shared" si="366"/>
        <v>-1236.2192668365565</v>
      </c>
      <c r="AV416">
        <f t="shared" si="354"/>
        <v>-2.9463320741770032</v>
      </c>
      <c r="AW416">
        <f t="shared" si="355"/>
        <v>260.3789026580103</v>
      </c>
      <c r="AX416">
        <f t="shared" si="356"/>
        <v>-5723.4624275217011</v>
      </c>
      <c r="AY416">
        <f t="shared" si="364"/>
        <v>-1.5253344234700432</v>
      </c>
      <c r="BA416">
        <f t="shared" si="345"/>
        <v>1.1120808562002498</v>
      </c>
      <c r="BB416">
        <f t="shared" si="357"/>
        <v>0.92272729393147968</v>
      </c>
      <c r="BC416">
        <f t="shared" si="358"/>
        <v>-1.4209976507069599</v>
      </c>
      <c r="BD416">
        <f t="shared" si="346"/>
        <v>-261.41716817654662</v>
      </c>
      <c r="BF416">
        <f t="shared" si="347"/>
        <v>-61.142081108777575</v>
      </c>
      <c r="BG416">
        <f t="shared" si="348"/>
        <v>-254.24257206896237</v>
      </c>
      <c r="BH416">
        <f t="shared" si="359"/>
        <v>-74.242572068962374</v>
      </c>
      <c r="BI416">
        <f t="shared" si="360"/>
        <v>-74.242572068962374</v>
      </c>
      <c r="BJ416">
        <f t="shared" si="349"/>
        <v>0</v>
      </c>
      <c r="BK416">
        <f t="shared" si="361"/>
        <v>0</v>
      </c>
      <c r="BM416">
        <f t="shared" si="362"/>
        <v>-62.064808402709055</v>
      </c>
      <c r="BN416">
        <f t="shared" si="350"/>
        <v>-172.82540389241578</v>
      </c>
      <c r="BQ416" s="56">
        <f t="shared" si="363"/>
        <v>17.824688094216615</v>
      </c>
    </row>
    <row r="417" spans="1:69" x14ac:dyDescent="0.2">
      <c r="A417">
        <f t="shared" si="319"/>
        <v>1015000</v>
      </c>
      <c r="B417">
        <f t="shared" si="351"/>
        <v>1015</v>
      </c>
      <c r="C417">
        <f t="shared" si="320"/>
        <v>1.0077819318160521</v>
      </c>
      <c r="D417">
        <f t="shared" si="321"/>
        <v>0.12435271846803388</v>
      </c>
      <c r="F417">
        <f t="shared" si="322"/>
        <v>5.1646991899513331E-5</v>
      </c>
      <c r="G417">
        <f t="shared" si="323"/>
        <v>1.4666697495602384E-3</v>
      </c>
      <c r="H417">
        <f t="shared" si="324"/>
        <v>-3.1401259802504398</v>
      </c>
      <c r="J417">
        <f t="shared" si="325"/>
        <v>15</v>
      </c>
      <c r="M417">
        <f t="shared" si="326"/>
        <v>1.2322621949036521E-3</v>
      </c>
      <c r="N417">
        <f t="shared" si="327"/>
        <v>-1.5707963250000001</v>
      </c>
      <c r="O417">
        <f t="shared" si="328"/>
        <v>199.32917932903405</v>
      </c>
      <c r="P417">
        <f t="shared" si="329"/>
        <v>1.5657794787941552</v>
      </c>
      <c r="Q417">
        <f t="shared" si="330"/>
        <v>173.26498768113015</v>
      </c>
      <c r="R417">
        <f t="shared" si="331"/>
        <v>1.5650247882678048</v>
      </c>
      <c r="S417">
        <f t="shared" si="332"/>
        <v>0.20004354672868119</v>
      </c>
      <c r="T417">
        <f t="shared" si="333"/>
        <v>-1.3693939611090946</v>
      </c>
      <c r="U417">
        <f t="shared" si="334"/>
        <v>0.19754089187352677</v>
      </c>
      <c r="V417">
        <f t="shared" si="335"/>
        <v>-1.3719475827800454</v>
      </c>
      <c r="X417">
        <f t="shared" si="352"/>
        <v>-57.634615395508519</v>
      </c>
      <c r="Y417">
        <f t="shared" si="336"/>
        <v>-240.47650972500375</v>
      </c>
      <c r="Z417">
        <f t="shared" si="353"/>
        <v>-60.476509725003751</v>
      </c>
      <c r="AC417">
        <v>1</v>
      </c>
      <c r="AD417">
        <f t="shared" si="337"/>
        <v>199.32667089977249</v>
      </c>
      <c r="AE417">
        <f t="shared" si="338"/>
        <v>-0.1525431005547383</v>
      </c>
      <c r="AF417">
        <f t="shared" si="339"/>
        <v>3.073922744319E-2</v>
      </c>
      <c r="AG417">
        <f t="shared" si="315"/>
        <v>246.73871870489194</v>
      </c>
      <c r="AH417">
        <f t="shared" si="316"/>
        <v>-1256.9700799916357</v>
      </c>
      <c r="AJ417">
        <f t="shared" si="340"/>
        <v>26400</v>
      </c>
      <c r="AK417">
        <f t="shared" si="341"/>
        <v>129303.73117347842</v>
      </c>
      <c r="AL417">
        <v>1</v>
      </c>
      <c r="AM417">
        <f t="shared" si="342"/>
        <v>173.26210190385601</v>
      </c>
      <c r="AN417">
        <f t="shared" si="317"/>
        <v>747.14428510381742</v>
      </c>
      <c r="AO417">
        <f t="shared" si="318"/>
        <v>-148.05808906284122</v>
      </c>
      <c r="AQ417">
        <f t="shared" si="343"/>
        <v>2.4266537827528495E-3</v>
      </c>
      <c r="AR417">
        <f t="shared" si="344"/>
        <v>-4.9261071789882847</v>
      </c>
      <c r="AT417">
        <f t="shared" si="365"/>
        <v>-6191.3705853751781</v>
      </c>
      <c r="AU417">
        <f t="shared" si="366"/>
        <v>-1218.511604745958</v>
      </c>
      <c r="AV417">
        <f t="shared" si="354"/>
        <v>-2.9472681467780912</v>
      </c>
      <c r="AW417">
        <f t="shared" si="355"/>
        <v>265.24907108808861</v>
      </c>
      <c r="AX417">
        <f t="shared" si="356"/>
        <v>-5695.6938282422898</v>
      </c>
      <c r="AY417">
        <f t="shared" si="364"/>
        <v>-1.5242598427340412</v>
      </c>
      <c r="BA417">
        <f t="shared" si="345"/>
        <v>1.1066792845715552</v>
      </c>
      <c r="BB417">
        <f t="shared" si="357"/>
        <v>0.88043561321566555</v>
      </c>
      <c r="BC417">
        <f t="shared" si="358"/>
        <v>-1.42300830404405</v>
      </c>
      <c r="BD417">
        <f t="shared" si="346"/>
        <v>-261.5323701269574</v>
      </c>
      <c r="BF417">
        <f t="shared" si="347"/>
        <v>-61.269507214864944</v>
      </c>
      <c r="BG417">
        <f t="shared" si="348"/>
        <v>-254.32345019293379</v>
      </c>
      <c r="BH417">
        <f t="shared" si="359"/>
        <v>-74.323450192933791</v>
      </c>
      <c r="BI417">
        <f t="shared" si="360"/>
        <v>-74.323450192933791</v>
      </c>
      <c r="BJ417">
        <f t="shared" si="349"/>
        <v>0</v>
      </c>
      <c r="BK417">
        <f t="shared" si="361"/>
        <v>0</v>
      </c>
      <c r="BM417">
        <f t="shared" si="362"/>
        <v>-62.149942828080604</v>
      </c>
      <c r="BN417">
        <f t="shared" si="350"/>
        <v>-172.79108006597639</v>
      </c>
      <c r="BQ417" s="56">
        <f t="shared" si="363"/>
        <v>17.782396413500802</v>
      </c>
    </row>
    <row r="418" spans="1:69" x14ac:dyDescent="0.2">
      <c r="A418">
        <f t="shared" si="319"/>
        <v>1020000</v>
      </c>
      <c r="B418">
        <f t="shared" si="351"/>
        <v>1020</v>
      </c>
      <c r="C418">
        <f t="shared" si="320"/>
        <v>1.007858490284558</v>
      </c>
      <c r="D418">
        <f t="shared" si="321"/>
        <v>0.12495895184549687</v>
      </c>
      <c r="F418">
        <f t="shared" si="322"/>
        <v>5.1141864570089359E-5</v>
      </c>
      <c r="G418">
        <f t="shared" si="323"/>
        <v>1.4594794645962316E-3</v>
      </c>
      <c r="H418">
        <f t="shared" si="324"/>
        <v>-3.1401331705354041</v>
      </c>
      <c r="J418">
        <f t="shared" si="325"/>
        <v>15</v>
      </c>
      <c r="M418">
        <f t="shared" si="326"/>
        <v>1.2262216939482417E-3</v>
      </c>
      <c r="N418">
        <f t="shared" si="327"/>
        <v>-1.5707963250000001</v>
      </c>
      <c r="O418">
        <f t="shared" si="328"/>
        <v>200.3110718157233</v>
      </c>
      <c r="P418">
        <f t="shared" si="329"/>
        <v>1.5658040707767067</v>
      </c>
      <c r="Q418">
        <f t="shared" si="330"/>
        <v>174.11848142654898</v>
      </c>
      <c r="R418">
        <f t="shared" si="331"/>
        <v>1.5650530794996658</v>
      </c>
      <c r="S418">
        <f t="shared" si="332"/>
        <v>0.19910190578494241</v>
      </c>
      <c r="T418">
        <f t="shared" si="333"/>
        <v>-1.3703549339682808</v>
      </c>
      <c r="U418">
        <f t="shared" si="334"/>
        <v>0.19661007438237829</v>
      </c>
      <c r="V418">
        <f t="shared" si="335"/>
        <v>-1.3728970203787159</v>
      </c>
      <c r="X418">
        <f t="shared" si="352"/>
        <v>-57.75865238034352</v>
      </c>
      <c r="Y418">
        <f t="shared" si="336"/>
        <v>-240.54861555551943</v>
      </c>
      <c r="Z418">
        <f t="shared" si="353"/>
        <v>-60.548615555519433</v>
      </c>
      <c r="AC418">
        <v>1</v>
      </c>
      <c r="AD418">
        <f t="shared" si="337"/>
        <v>200.30857568253001</v>
      </c>
      <c r="AE418">
        <f t="shared" si="338"/>
        <v>-0.15404968993875098</v>
      </c>
      <c r="AF418">
        <f t="shared" si="339"/>
        <v>3.089065220892E-2</v>
      </c>
      <c r="AG418">
        <f t="shared" si="315"/>
        <v>244.4189193898963</v>
      </c>
      <c r="AH418">
        <f t="shared" si="316"/>
        <v>-1251.2736372725965</v>
      </c>
      <c r="AJ418">
        <f t="shared" si="340"/>
        <v>26400</v>
      </c>
      <c r="AK418">
        <f t="shared" si="341"/>
        <v>129940.69536645121</v>
      </c>
      <c r="AL418">
        <v>1</v>
      </c>
      <c r="AM418">
        <f t="shared" si="342"/>
        <v>174.11560979500803</v>
      </c>
      <c r="AN418">
        <f t="shared" si="317"/>
        <v>747.13592814407127</v>
      </c>
      <c r="AO418">
        <f t="shared" si="318"/>
        <v>-147.33236211306888</v>
      </c>
      <c r="AQ418">
        <f t="shared" si="343"/>
        <v>2.402921375691711E-3</v>
      </c>
      <c r="AR418">
        <f t="shared" si="344"/>
        <v>-4.90195960641109</v>
      </c>
      <c r="AT418">
        <f t="shared" si="365"/>
        <v>-6133.1055070313241</v>
      </c>
      <c r="AU418">
        <f t="shared" si="366"/>
        <v>-1201.1383820617618</v>
      </c>
      <c r="AV418">
        <f t="shared" si="354"/>
        <v>-2.9481954071526344</v>
      </c>
      <c r="AW418">
        <f t="shared" si="355"/>
        <v>270.04602835908065</v>
      </c>
      <c r="AX418">
        <f t="shared" si="356"/>
        <v>-5668.1916096565556</v>
      </c>
      <c r="AY418">
        <f t="shared" si="364"/>
        <v>-1.5231899633524562</v>
      </c>
      <c r="BA418">
        <f t="shared" si="345"/>
        <v>1.1013277464607221</v>
      </c>
      <c r="BB418">
        <f t="shared" si="357"/>
        <v>0.838331616453176</v>
      </c>
      <c r="BC418">
        <f t="shared" si="358"/>
        <v>-1.4250054438001782</v>
      </c>
      <c r="BD418">
        <f t="shared" si="346"/>
        <v>-261.64679780621208</v>
      </c>
      <c r="BF418">
        <f t="shared" si="347"/>
        <v>-61.39632087201722</v>
      </c>
      <c r="BG418">
        <f t="shared" si="348"/>
        <v>-254.40355523120266</v>
      </c>
      <c r="BH418">
        <f t="shared" si="359"/>
        <v>-74.40355523120266</v>
      </c>
      <c r="BI418">
        <f t="shared" si="360"/>
        <v>-74.40355523120266</v>
      </c>
      <c r="BJ418">
        <f t="shared" si="349"/>
        <v>0</v>
      </c>
      <c r="BK418">
        <f t="shared" si="361"/>
        <v>0</v>
      </c>
      <c r="BM418">
        <f t="shared" si="362"/>
        <v>-62.234652488470402</v>
      </c>
      <c r="BN418">
        <f t="shared" si="350"/>
        <v>-172.75675742499055</v>
      </c>
      <c r="BQ418" s="56">
        <f t="shared" si="363"/>
        <v>17.740292416738313</v>
      </c>
    </row>
    <row r="419" spans="1:69" x14ac:dyDescent="0.2">
      <c r="A419">
        <f t="shared" si="319"/>
        <v>1025000</v>
      </c>
      <c r="B419">
        <f t="shared" si="351"/>
        <v>1025</v>
      </c>
      <c r="C419">
        <f t="shared" si="320"/>
        <v>1.0079354191037673</v>
      </c>
      <c r="D419">
        <f t="shared" si="321"/>
        <v>0.12556509290640219</v>
      </c>
      <c r="F419">
        <f t="shared" si="322"/>
        <v>5.0644111792676954E-5</v>
      </c>
      <c r="G419">
        <f t="shared" si="323"/>
        <v>1.4523593393211513E-3</v>
      </c>
      <c r="H419">
        <f t="shared" si="324"/>
        <v>-3.1401402906606792</v>
      </c>
      <c r="J419">
        <f t="shared" si="325"/>
        <v>15</v>
      </c>
      <c r="M419">
        <f t="shared" si="326"/>
        <v>1.22024012470947E-3</v>
      </c>
      <c r="N419">
        <f t="shared" si="327"/>
        <v>-1.5707963250000001</v>
      </c>
      <c r="O419">
        <f t="shared" si="328"/>
        <v>201.29296442237194</v>
      </c>
      <c r="P419">
        <f t="shared" si="329"/>
        <v>1.5658284228434278</v>
      </c>
      <c r="Q419">
        <f t="shared" si="330"/>
        <v>174.97197530997161</v>
      </c>
      <c r="R419">
        <f t="shared" si="331"/>
        <v>1.5650810947285685</v>
      </c>
      <c r="S419">
        <f t="shared" si="332"/>
        <v>0.19816890781570903</v>
      </c>
      <c r="T419">
        <f t="shared" si="333"/>
        <v>-1.3713069013999373</v>
      </c>
      <c r="U419">
        <f t="shared" si="334"/>
        <v>0.19568781389525169</v>
      </c>
      <c r="V419">
        <f t="shared" si="335"/>
        <v>-1.3738375515559846</v>
      </c>
      <c r="X419">
        <f t="shared" si="352"/>
        <v>-57.882107719244722</v>
      </c>
      <c r="Y419">
        <f t="shared" si="336"/>
        <v>-240.61972594215118</v>
      </c>
      <c r="Z419">
        <f t="shared" si="353"/>
        <v>-60.619725942151177</v>
      </c>
      <c r="AC419">
        <v>1</v>
      </c>
      <c r="AD419">
        <f t="shared" si="337"/>
        <v>201.29048046528752</v>
      </c>
      <c r="AE419">
        <f t="shared" si="338"/>
        <v>-0.15556368271040011</v>
      </c>
      <c r="AF419">
        <f t="shared" si="339"/>
        <v>3.1042076974649998E-2</v>
      </c>
      <c r="AG419">
        <f t="shared" si="315"/>
        <v>242.13125212688402</v>
      </c>
      <c r="AH419">
        <f t="shared" si="316"/>
        <v>-1245.6263577889813</v>
      </c>
      <c r="AJ419">
        <f t="shared" si="340"/>
        <v>26400</v>
      </c>
      <c r="AK419">
        <f t="shared" si="341"/>
        <v>130577.65955942402</v>
      </c>
      <c r="AL419">
        <v>1</v>
      </c>
      <c r="AM419">
        <f t="shared" si="342"/>
        <v>174.96911768616002</v>
      </c>
      <c r="AN419">
        <f t="shared" si="317"/>
        <v>747.12769317744153</v>
      </c>
      <c r="AO419">
        <f t="shared" si="318"/>
        <v>-146.61371472899467</v>
      </c>
      <c r="AQ419">
        <f t="shared" si="343"/>
        <v>2.3795354242628379E-3</v>
      </c>
      <c r="AR419">
        <f t="shared" si="344"/>
        <v>-4.8780476197388172</v>
      </c>
      <c r="AT419">
        <f t="shared" si="365"/>
        <v>-6075.6485298047155</v>
      </c>
      <c r="AU419">
        <f t="shared" si="366"/>
        <v>-1184.0917901456803</v>
      </c>
      <c r="AV419">
        <f t="shared" si="354"/>
        <v>-2.9491139774629929</v>
      </c>
      <c r="AW419">
        <f t="shared" si="355"/>
        <v>274.77124019180945</v>
      </c>
      <c r="AX419">
        <f t="shared" si="356"/>
        <v>-5640.9519788799062</v>
      </c>
      <c r="AY419">
        <f t="shared" si="364"/>
        <v>-1.5221247132024947</v>
      </c>
      <c r="BA419">
        <f t="shared" si="345"/>
        <v>1.0960255580707792</v>
      </c>
      <c r="BB419">
        <f t="shared" si="357"/>
        <v>0.79641363040660473</v>
      </c>
      <c r="BC419">
        <f t="shared" si="358"/>
        <v>-1.4269892642604982</v>
      </c>
      <c r="BD419">
        <f t="shared" si="346"/>
        <v>-261.76046234603001</v>
      </c>
      <c r="BF419">
        <f t="shared" si="347"/>
        <v>-61.522527879007811</v>
      </c>
      <c r="BG419">
        <f t="shared" si="348"/>
        <v>-254.48289839952977</v>
      </c>
      <c r="BH419">
        <f t="shared" si="359"/>
        <v>-74.482898399529773</v>
      </c>
      <c r="BI419">
        <f t="shared" si="360"/>
        <v>-74.482898399529773</v>
      </c>
      <c r="BJ419">
        <f t="shared" si="349"/>
        <v>0</v>
      </c>
      <c r="BK419">
        <f t="shared" si="361"/>
        <v>0</v>
      </c>
      <c r="BM419">
        <f t="shared" si="362"/>
        <v>-62.318941509414415</v>
      </c>
      <c r="BN419">
        <f t="shared" si="350"/>
        <v>-172.72243605349976</v>
      </c>
      <c r="BQ419" s="56">
        <f t="shared" si="363"/>
        <v>17.698374430691743</v>
      </c>
    </row>
    <row r="420" spans="1:69" x14ac:dyDescent="0.2">
      <c r="A420">
        <f t="shared" si="319"/>
        <v>1030000</v>
      </c>
      <c r="B420">
        <f t="shared" si="351"/>
        <v>1030</v>
      </c>
      <c r="C420">
        <f t="shared" si="320"/>
        <v>1.0080127181888874</v>
      </c>
      <c r="D420">
        <f t="shared" si="321"/>
        <v>0.12617114122653622</v>
      </c>
      <c r="F420">
        <f t="shared" si="322"/>
        <v>5.015359070846455E-5</v>
      </c>
      <c r="G420">
        <f t="shared" si="323"/>
        <v>1.4453083517882409E-3</v>
      </c>
      <c r="H420">
        <f t="shared" si="324"/>
        <v>-3.1401473416482122</v>
      </c>
      <c r="J420">
        <f t="shared" si="325"/>
        <v>15</v>
      </c>
      <c r="M420">
        <f t="shared" si="326"/>
        <v>1.2143166289584533E-3</v>
      </c>
      <c r="N420">
        <f t="shared" si="327"/>
        <v>-1.5707963250000001</v>
      </c>
      <c r="O420">
        <f t="shared" si="328"/>
        <v>202.27485714723306</v>
      </c>
      <c r="P420">
        <f t="shared" si="329"/>
        <v>1.5658525384881232</v>
      </c>
      <c r="Q420">
        <f t="shared" si="330"/>
        <v>175.82546932938826</v>
      </c>
      <c r="R420">
        <f t="shared" si="331"/>
        <v>1.5651088379737987</v>
      </c>
      <c r="S420">
        <f t="shared" si="332"/>
        <v>0.19724443692199112</v>
      </c>
      <c r="T420">
        <f t="shared" si="333"/>
        <v>-1.3722499876991776</v>
      </c>
      <c r="U420">
        <f t="shared" si="334"/>
        <v>0.19477399541764787</v>
      </c>
      <c r="V420">
        <f t="shared" si="335"/>
        <v>-1.3747692994091141</v>
      </c>
      <c r="X420">
        <f t="shared" si="352"/>
        <v>-58.004986614281805</v>
      </c>
      <c r="Y420">
        <f t="shared" si="336"/>
        <v>-240.68985471182845</v>
      </c>
      <c r="Z420">
        <f t="shared" si="353"/>
        <v>-60.689854711828445</v>
      </c>
      <c r="AC420">
        <v>1</v>
      </c>
      <c r="AD420">
        <f t="shared" si="337"/>
        <v>202.27238524804503</v>
      </c>
      <c r="AE420">
        <f t="shared" si="338"/>
        <v>-0.15708507886968559</v>
      </c>
      <c r="AF420">
        <f t="shared" si="339"/>
        <v>3.1193501740379999E-2</v>
      </c>
      <c r="AG420">
        <f t="shared" si="315"/>
        <v>239.87513427270517</v>
      </c>
      <c r="AH420">
        <f t="shared" si="316"/>
        <v>-1240.0276412709381</v>
      </c>
      <c r="AJ420">
        <f t="shared" si="340"/>
        <v>26400</v>
      </c>
      <c r="AK420">
        <f t="shared" si="341"/>
        <v>131214.62375239682</v>
      </c>
      <c r="AL420">
        <v>1</v>
      </c>
      <c r="AM420">
        <f t="shared" si="342"/>
        <v>175.82262557731204</v>
      </c>
      <c r="AN420">
        <f t="shared" si="317"/>
        <v>747.11957784101605</v>
      </c>
      <c r="AO420">
        <f t="shared" si="318"/>
        <v>-145.90204382358627</v>
      </c>
      <c r="AQ420">
        <f t="shared" si="343"/>
        <v>2.3564892175301118E-3</v>
      </c>
      <c r="AR420">
        <f t="shared" si="344"/>
        <v>-4.8543677881120306</v>
      </c>
      <c r="AT420">
        <f t="shared" si="365"/>
        <v>-6018.9849749867153</v>
      </c>
      <c r="AU420">
        <f t="shared" si="366"/>
        <v>-1167.3642367485625</v>
      </c>
      <c r="AV420">
        <f t="shared" si="354"/>
        <v>-2.9500239776557109</v>
      </c>
      <c r="AW420">
        <f t="shared" si="355"/>
        <v>279.42613570693834</v>
      </c>
      <c r="AX420">
        <f t="shared" si="356"/>
        <v>-5613.9712143583847</v>
      </c>
      <c r="AY420">
        <f t="shared" si="364"/>
        <v>-1.5210640216885776</v>
      </c>
      <c r="BA420">
        <f t="shared" si="345"/>
        <v>1.0907720477294376</v>
      </c>
      <c r="BB420">
        <f t="shared" si="357"/>
        <v>0.75468000247279465</v>
      </c>
      <c r="BC420">
        <f t="shared" si="358"/>
        <v>-1.4289599559671333</v>
      </c>
      <c r="BD420">
        <f t="shared" si="346"/>
        <v>-261.87337466367069</v>
      </c>
      <c r="BF420">
        <f t="shared" si="347"/>
        <v>-61.648133953764116</v>
      </c>
      <c r="BG420">
        <f t="shared" si="348"/>
        <v>-254.56149069803354</v>
      </c>
      <c r="BH420">
        <f t="shared" si="359"/>
        <v>-74.561490698033538</v>
      </c>
      <c r="BI420">
        <f t="shared" si="360"/>
        <v>-74.561490698033538</v>
      </c>
      <c r="BJ420">
        <f t="shared" si="349"/>
        <v>0</v>
      </c>
      <c r="BK420">
        <f t="shared" si="361"/>
        <v>0</v>
      </c>
      <c r="BM420">
        <f t="shared" si="362"/>
        <v>-62.402813956236905</v>
      </c>
      <c r="BN420">
        <f t="shared" si="350"/>
        <v>-172.68811603436291</v>
      </c>
      <c r="BQ420" s="56">
        <f t="shared" si="363"/>
        <v>17.656640802757931</v>
      </c>
    </row>
    <row r="421" spans="1:69" x14ac:dyDescent="0.2">
      <c r="A421">
        <f t="shared" si="319"/>
        <v>1035000</v>
      </c>
      <c r="B421">
        <f t="shared" si="351"/>
        <v>1035</v>
      </c>
      <c r="C421">
        <f t="shared" si="320"/>
        <v>1.0080903874547436</v>
      </c>
      <c r="D421">
        <f t="shared" si="321"/>
        <v>0.12677709638208751</v>
      </c>
      <c r="F421">
        <f t="shared" si="322"/>
        <v>4.9670161901318629E-5</v>
      </c>
      <c r="G421">
        <f t="shared" si="323"/>
        <v>1.4383254998033908E-3</v>
      </c>
      <c r="H421">
        <f t="shared" si="324"/>
        <v>-3.1401543245001968</v>
      </c>
      <c r="J421">
        <f t="shared" si="325"/>
        <v>15</v>
      </c>
      <c r="M421">
        <f t="shared" si="326"/>
        <v>1.2084503650504413E-3</v>
      </c>
      <c r="N421">
        <f t="shared" si="327"/>
        <v>-1.5707963250000001</v>
      </c>
      <c r="O421">
        <f t="shared" si="328"/>
        <v>203.25674998859347</v>
      </c>
      <c r="P421">
        <f t="shared" si="329"/>
        <v>1.5658764211370879</v>
      </c>
      <c r="Q421">
        <f t="shared" si="330"/>
        <v>176.6789634828281</v>
      </c>
      <c r="R421">
        <f t="shared" si="331"/>
        <v>1.5651363131769793</v>
      </c>
      <c r="S421">
        <f t="shared" si="332"/>
        <v>0.19632837921929655</v>
      </c>
      <c r="T421">
        <f t="shared" si="333"/>
        <v>-1.3731843149159302</v>
      </c>
      <c r="U421">
        <f t="shared" si="334"/>
        <v>0.19386850595959651</v>
      </c>
      <c r="V421">
        <f t="shared" si="335"/>
        <v>-1.3756923848079332</v>
      </c>
      <c r="X421">
        <f t="shared" si="352"/>
        <v>-58.127294199704977</v>
      </c>
      <c r="Y421">
        <f t="shared" si="336"/>
        <v>-240.75901544238167</v>
      </c>
      <c r="Z421">
        <f t="shared" si="353"/>
        <v>-60.759015442381667</v>
      </c>
      <c r="AC421">
        <v>1</v>
      </c>
      <c r="AD421">
        <f t="shared" si="337"/>
        <v>203.25429003080251</v>
      </c>
      <c r="AE421">
        <f t="shared" si="338"/>
        <v>-0.1586138784166076</v>
      </c>
      <c r="AF421">
        <f t="shared" si="339"/>
        <v>3.1344926506109996E-2</v>
      </c>
      <c r="AG421">
        <f t="shared" si="315"/>
        <v>237.64999614267967</v>
      </c>
      <c r="AH421">
        <f t="shared" si="316"/>
        <v>-1234.4768964872069</v>
      </c>
      <c r="AJ421">
        <f t="shared" si="340"/>
        <v>26400</v>
      </c>
      <c r="AK421">
        <f t="shared" si="341"/>
        <v>131851.5879453696</v>
      </c>
      <c r="AL421">
        <v>1</v>
      </c>
      <c r="AM421">
        <f t="shared" si="342"/>
        <v>176.67613346846403</v>
      </c>
      <c r="AN421">
        <f t="shared" si="317"/>
        <v>747.11157982881696</v>
      </c>
      <c r="AO421">
        <f t="shared" si="318"/>
        <v>-145.19724830150938</v>
      </c>
      <c r="AQ421">
        <f t="shared" si="343"/>
        <v>2.3337762062647423E-3</v>
      </c>
      <c r="AR421">
        <f t="shared" si="344"/>
        <v>-4.8309167469680165</v>
      </c>
      <c r="AT421">
        <f t="shared" si="365"/>
        <v>-5963.1004910787342</v>
      </c>
      <c r="AU421">
        <f t="shared" si="366"/>
        <v>-1150.948339090761</v>
      </c>
      <c r="AV421">
        <f t="shared" si="354"/>
        <v>-2.9509255255107796</v>
      </c>
      <c r="AW421">
        <f t="shared" si="355"/>
        <v>284.01210851820343</v>
      </c>
      <c r="AX421">
        <f t="shared" si="356"/>
        <v>-5587.2456642054776</v>
      </c>
      <c r="AY421">
        <f t="shared" si="364"/>
        <v>-1.5200078197024143</v>
      </c>
      <c r="BA421">
        <f t="shared" si="345"/>
        <v>1.0855665556292593</v>
      </c>
      <c r="BB421">
        <f t="shared" si="357"/>
        <v>0.71312910037699451</v>
      </c>
      <c r="BC421">
        <f t="shared" si="358"/>
        <v>-1.4309177058083653</v>
      </c>
      <c r="BD421">
        <f t="shared" si="346"/>
        <v>-261.98554546704383</v>
      </c>
      <c r="BF421">
        <f t="shared" si="347"/>
        <v>-61.773144734840109</v>
      </c>
      <c r="BG421">
        <f t="shared" si="348"/>
        <v>-254.63934291632793</v>
      </c>
      <c r="BH421">
        <f t="shared" si="359"/>
        <v>-74.639342916327934</v>
      </c>
      <c r="BI421">
        <f t="shared" si="360"/>
        <v>-74.639342916327934</v>
      </c>
      <c r="BJ421">
        <f t="shared" si="349"/>
        <v>0</v>
      </c>
      <c r="BK421">
        <f t="shared" si="361"/>
        <v>0</v>
      </c>
      <c r="BM421">
        <f t="shared" si="362"/>
        <v>-62.486273835217105</v>
      </c>
      <c r="BN421">
        <f t="shared" si="350"/>
        <v>-172.6537974492841</v>
      </c>
      <c r="BQ421" s="56">
        <f t="shared" si="363"/>
        <v>17.615089900662131</v>
      </c>
    </row>
    <row r="422" spans="1:69" x14ac:dyDescent="0.2">
      <c r="A422">
        <f t="shared" si="319"/>
        <v>1040000</v>
      </c>
      <c r="B422">
        <f t="shared" si="351"/>
        <v>1040</v>
      </c>
      <c r="C422">
        <f t="shared" si="320"/>
        <v>1.0081684268157798</v>
      </c>
      <c r="D422">
        <f t="shared" si="321"/>
        <v>0.12738295794964866</v>
      </c>
      <c r="F422">
        <f t="shared" si="322"/>
        <v>4.9193689298703925E-5</v>
      </c>
      <c r="G422">
        <f t="shared" si="323"/>
        <v>1.4314098004501788E-3</v>
      </c>
      <c r="H422">
        <f t="shared" si="324"/>
        <v>-3.14016124019955</v>
      </c>
      <c r="J422">
        <f t="shared" si="325"/>
        <v>15</v>
      </c>
      <c r="M422">
        <f t="shared" si="326"/>
        <v>1.2026405075261603E-3</v>
      </c>
      <c r="N422">
        <f t="shared" si="327"/>
        <v>-1.5707963250000001</v>
      </c>
      <c r="O422">
        <f t="shared" si="328"/>
        <v>204.23864294477292</v>
      </c>
      <c r="P422">
        <f t="shared" si="329"/>
        <v>1.5659000741507292</v>
      </c>
      <c r="Q422">
        <f t="shared" si="330"/>
        <v>177.5324577683582</v>
      </c>
      <c r="R422">
        <f t="shared" si="331"/>
        <v>1.5651635242039368</v>
      </c>
      <c r="S422">
        <f t="shared" si="332"/>
        <v>0.19542062279521244</v>
      </c>
      <c r="T422">
        <f t="shared" si="333"/>
        <v>-1.3741100029046642</v>
      </c>
      <c r="U422">
        <f t="shared" si="334"/>
        <v>0.19297123449328757</v>
      </c>
      <c r="V422">
        <f t="shared" si="335"/>
        <v>-1.3766069264442784</v>
      </c>
      <c r="X422">
        <f t="shared" si="352"/>
        <v>-58.249035543081973</v>
      </c>
      <c r="Y422">
        <f t="shared" si="336"/>
        <v>-240.82722146805125</v>
      </c>
      <c r="Z422">
        <f t="shared" si="353"/>
        <v>-60.827221468051249</v>
      </c>
      <c r="AC422">
        <v>1</v>
      </c>
      <c r="AD422">
        <f t="shared" si="337"/>
        <v>204.23619481355999</v>
      </c>
      <c r="AE422">
        <f t="shared" si="338"/>
        <v>-0.16015008135116598</v>
      </c>
      <c r="AF422">
        <f t="shared" si="339"/>
        <v>3.1496351271840001E-2</v>
      </c>
      <c r="AG422">
        <f t="shared" si="315"/>
        <v>235.4552806715499</v>
      </c>
      <c r="AH422">
        <f t="shared" si="316"/>
        <v>-1228.9735410945279</v>
      </c>
      <c r="AJ422">
        <f t="shared" si="340"/>
        <v>26400</v>
      </c>
      <c r="AK422">
        <f t="shared" si="341"/>
        <v>132488.55213834241</v>
      </c>
      <c r="AL422">
        <v>1</v>
      </c>
      <c r="AM422">
        <f t="shared" si="342"/>
        <v>177.52964135961602</v>
      </c>
      <c r="AN422">
        <f t="shared" si="317"/>
        <v>747.10369689016159</v>
      </c>
      <c r="AO422">
        <f t="shared" si="318"/>
        <v>-144.49922901125905</v>
      </c>
      <c r="AQ422">
        <f t="shared" si="343"/>
        <v>2.3113899982918828E-3</v>
      </c>
      <c r="AR422">
        <f t="shared" si="344"/>
        <v>-4.8076911964471165</v>
      </c>
      <c r="AT422">
        <f t="shared" si="365"/>
        <v>-5907.9810452058118</v>
      </c>
      <c r="AU422">
        <f t="shared" si="366"/>
        <v>-1134.8369171926465</v>
      </c>
      <c r="AV422">
        <f t="shared" si="354"/>
        <v>-2.9518187366896145</v>
      </c>
      <c r="AW422">
        <f t="shared" si="355"/>
        <v>288.53051778770782</v>
      </c>
      <c r="AX422">
        <f t="shared" si="356"/>
        <v>-5560.7717445851495</v>
      </c>
      <c r="AY422">
        <f t="shared" si="364"/>
        <v>-1.5189560395843169</v>
      </c>
      <c r="BA422">
        <f t="shared" si="345"/>
        <v>1.0804084335742277</v>
      </c>
      <c r="BB422">
        <f t="shared" si="357"/>
        <v>0.67175931187166038</v>
      </c>
      <c r="BC422">
        <f t="shared" si="358"/>
        <v>-1.4328626971052976</v>
      </c>
      <c r="BD422">
        <f t="shared" si="346"/>
        <v>-262.09698525967508</v>
      </c>
      <c r="BF422">
        <f t="shared" si="347"/>
        <v>-61.897565782856184</v>
      </c>
      <c r="BG422">
        <f t="shared" si="348"/>
        <v>-254.71646563851482</v>
      </c>
      <c r="BH422">
        <f t="shared" si="359"/>
        <v>-74.716465638514819</v>
      </c>
      <c r="BI422">
        <f t="shared" si="360"/>
        <v>-74.716465638514819</v>
      </c>
      <c r="BJ422">
        <f t="shared" si="349"/>
        <v>0</v>
      </c>
      <c r="BK422">
        <f t="shared" si="361"/>
        <v>0</v>
      </c>
      <c r="BM422">
        <f t="shared" si="362"/>
        <v>-62.569325094727844</v>
      </c>
      <c r="BN422">
        <f t="shared" si="350"/>
        <v>-172.61948037883977</v>
      </c>
      <c r="BQ422" s="56">
        <f t="shared" si="363"/>
        <v>17.573720112156796</v>
      </c>
    </row>
    <row r="423" spans="1:69" x14ac:dyDescent="0.2">
      <c r="A423">
        <f t="shared" si="319"/>
        <v>1045000</v>
      </c>
      <c r="B423">
        <f t="shared" si="351"/>
        <v>1045</v>
      </c>
      <c r="C423">
        <f t="shared" si="320"/>
        <v>1.0082468361860588</v>
      </c>
      <c r="D423">
        <f t="shared" si="321"/>
        <v>0.1279887255062179</v>
      </c>
      <c r="F423">
        <f t="shared" si="322"/>
        <v>4.8724040075914588E-5</v>
      </c>
      <c r="G423">
        <f t="shared" si="323"/>
        <v>1.4245602896285436E-3</v>
      </c>
      <c r="H423">
        <f t="shared" si="324"/>
        <v>-3.1401680897103716</v>
      </c>
      <c r="J423">
        <f t="shared" si="325"/>
        <v>15</v>
      </c>
      <c r="M423">
        <f t="shared" si="326"/>
        <v>1.1968862467245998E-3</v>
      </c>
      <c r="N423">
        <f t="shared" si="327"/>
        <v>-1.5707963250000001</v>
      </c>
      <c r="O423">
        <f t="shared" si="328"/>
        <v>205.22053601412335</v>
      </c>
      <c r="P423">
        <f t="shared" si="329"/>
        <v>1.5659235008251426</v>
      </c>
      <c r="Q423">
        <f t="shared" si="330"/>
        <v>178.38595218408253</v>
      </c>
      <c r="R423">
        <f t="shared" si="331"/>
        <v>1.565190474846514</v>
      </c>
      <c r="S423">
        <f t="shared" si="332"/>
        <v>0.19452105766802003</v>
      </c>
      <c r="T423">
        <f t="shared" si="333"/>
        <v>-1.3750271693728227</v>
      </c>
      <c r="U423">
        <f t="shared" si="334"/>
        <v>0.19208207191174026</v>
      </c>
      <c r="V423">
        <f t="shared" si="335"/>
        <v>-1.377513040880143</v>
      </c>
      <c r="X423">
        <f t="shared" si="352"/>
        <v>-58.370215646412248</v>
      </c>
      <c r="Y423">
        <f t="shared" si="336"/>
        <v>-240.89448588485305</v>
      </c>
      <c r="Z423">
        <f t="shared" si="353"/>
        <v>-60.894485884853054</v>
      </c>
      <c r="AC423">
        <v>1</v>
      </c>
      <c r="AD423">
        <f t="shared" si="337"/>
        <v>205.2180995963175</v>
      </c>
      <c r="AE423">
        <f t="shared" si="338"/>
        <v>-0.16169368767336079</v>
      </c>
      <c r="AF423">
        <f t="shared" si="339"/>
        <v>3.1647776037569998E-2</v>
      </c>
      <c r="AG423">
        <f t="shared" si="315"/>
        <v>233.29044308456312</v>
      </c>
      <c r="AH423">
        <f t="shared" si="316"/>
        <v>-1223.5170014893863</v>
      </c>
      <c r="AJ423">
        <f t="shared" si="340"/>
        <v>26400</v>
      </c>
      <c r="AK423">
        <f t="shared" si="341"/>
        <v>133125.51633131522</v>
      </c>
      <c r="AL423">
        <v>1</v>
      </c>
      <c r="AM423">
        <f t="shared" si="342"/>
        <v>178.38314925076801</v>
      </c>
      <c r="AN423">
        <f t="shared" si="317"/>
        <v>747.09592682807795</v>
      </c>
      <c r="AO423">
        <f t="shared" si="318"/>
        <v>-143.80788869866572</v>
      </c>
      <c r="AQ423">
        <f t="shared" si="343"/>
        <v>2.2893243539927307E-3</v>
      </c>
      <c r="AR423">
        <f t="shared" si="344"/>
        <v>-4.7846878998448066</v>
      </c>
      <c r="AT423">
        <f t="shared" si="365"/>
        <v>-5853.6129147877591</v>
      </c>
      <c r="AU423">
        <f t="shared" si="366"/>
        <v>-1119.0229874451763</v>
      </c>
      <c r="AV423">
        <f t="shared" si="354"/>
        <v>-2.9527037247817844</v>
      </c>
      <c r="AW423">
        <f t="shared" si="355"/>
        <v>292.9826892447652</v>
      </c>
      <c r="AX423">
        <f t="shared" si="356"/>
        <v>-5534.5459381395867</v>
      </c>
      <c r="AY423">
        <f t="shared" si="364"/>
        <v>-1.5179086150857108</v>
      </c>
      <c r="BA423">
        <f t="shared" si="345"/>
        <v>1.0752970447325478</v>
      </c>
      <c r="BB423">
        <f t="shared" si="357"/>
        <v>0.63056904443987372</v>
      </c>
      <c r="BC423">
        <f t="shared" si="358"/>
        <v>-1.4347951096960736</v>
      </c>
      <c r="BD423">
        <f t="shared" si="346"/>
        <v>-262.207704345531</v>
      </c>
      <c r="BF423">
        <f t="shared" si="347"/>
        <v>-62.021402581906983</v>
      </c>
      <c r="BG423">
        <f t="shared" si="348"/>
        <v>-254.79286924803597</v>
      </c>
      <c r="BH423">
        <f t="shared" si="359"/>
        <v>-74.79286924803597</v>
      </c>
      <c r="BI423">
        <f t="shared" si="360"/>
        <v>-74.79286924803597</v>
      </c>
      <c r="BJ423">
        <f t="shared" si="349"/>
        <v>0</v>
      </c>
      <c r="BK423">
        <f t="shared" si="361"/>
        <v>0</v>
      </c>
      <c r="BM423">
        <f t="shared" si="362"/>
        <v>-62.651971626346857</v>
      </c>
      <c r="BN423">
        <f t="shared" si="350"/>
        <v>-172.58516490250497</v>
      </c>
      <c r="BQ423" s="56">
        <f t="shared" si="363"/>
        <v>17.532529844725012</v>
      </c>
    </row>
    <row r="424" spans="1:69" x14ac:dyDescent="0.2">
      <c r="A424">
        <f t="shared" si="319"/>
        <v>1050000</v>
      </c>
      <c r="B424">
        <f t="shared" si="351"/>
        <v>1050</v>
      </c>
      <c r="C424">
        <f t="shared" si="320"/>
        <v>1.0083256154792628</v>
      </c>
      <c r="D424">
        <f t="shared" si="321"/>
        <v>0.12859439862920061</v>
      </c>
      <c r="F424">
        <f t="shared" si="322"/>
        <v>4.8261084563490349E-5</v>
      </c>
      <c r="G424">
        <f t="shared" si="323"/>
        <v>1.4177760216066504E-3</v>
      </c>
      <c r="H424">
        <f t="shared" si="324"/>
        <v>-3.1401748739783937</v>
      </c>
      <c r="J424">
        <f t="shared" si="325"/>
        <v>15</v>
      </c>
      <c r="M424">
        <f t="shared" si="326"/>
        <v>1.1911867884068636E-3</v>
      </c>
      <c r="N424">
        <f t="shared" si="327"/>
        <v>-1.5707963250000001</v>
      </c>
      <c r="O424">
        <f t="shared" si="328"/>
        <v>206.20242919502809</v>
      </c>
      <c r="P424">
        <f t="shared" si="329"/>
        <v>1.5659467043936437</v>
      </c>
      <c r="Q424">
        <f t="shared" si="330"/>
        <v>179.23944672814125</v>
      </c>
      <c r="R424">
        <f t="shared" si="331"/>
        <v>1.5652171688243326</v>
      </c>
      <c r="S424">
        <f t="shared" si="332"/>
        <v>0.1936295757463152</v>
      </c>
      <c r="T424">
        <f t="shared" si="333"/>
        <v>-1.3759359299279972</v>
      </c>
      <c r="U424">
        <f t="shared" si="334"/>
        <v>0.19120091098848083</v>
      </c>
      <c r="V424">
        <f t="shared" si="335"/>
        <v>-1.3784108425945754</v>
      </c>
      <c r="X424">
        <f t="shared" si="352"/>
        <v>-58.490839447218754</v>
      </c>
      <c r="Y424">
        <f t="shared" si="336"/>
        <v>-240.96082155580609</v>
      </c>
      <c r="Z424">
        <f t="shared" si="353"/>
        <v>-60.960821555806092</v>
      </c>
      <c r="AC424">
        <v>1</v>
      </c>
      <c r="AD424">
        <f t="shared" si="337"/>
        <v>206.20000437907498</v>
      </c>
      <c r="AE424">
        <f t="shared" si="338"/>
        <v>-0.16324469738319203</v>
      </c>
      <c r="AF424">
        <f t="shared" si="339"/>
        <v>3.1799200803300003E-2</v>
      </c>
      <c r="AG424">
        <f t="shared" ref="AG424:AG487" si="367">AC424*AE424/(AE424^2+AF424^2)+AD424*AF424/(AE424^2+AF424^2)</f>
        <v>231.15495057834934</v>
      </c>
      <c r="AH424">
        <f t="shared" ref="AH424:AH487" si="368">AD424*AE424/(AE424^2+AF424^2)-AC424*AF424/(AE424^2+AF424^2)</f>
        <v>-1218.1067126620865</v>
      </c>
      <c r="AJ424">
        <f t="shared" si="340"/>
        <v>26400</v>
      </c>
      <c r="AK424">
        <f t="shared" si="341"/>
        <v>133762.480524288</v>
      </c>
      <c r="AL424">
        <v>1</v>
      </c>
      <c r="AM424">
        <f t="shared" si="342"/>
        <v>179.23665714192003</v>
      </c>
      <c r="AN424">
        <f t="shared" ref="AN424:AN487" si="369">AJ424*AL424/(AL424^2+AM424^2)+AK424*AM424/(AL424^2+AM424^2)</f>
        <v>747.08826749777495</v>
      </c>
      <c r="AO424">
        <f t="shared" ref="AO424:AO487" si="370">AK424*AL424/(AL424^2+AM424^2)-AJ424*AM424/(AL424^2+AM424^2)</f>
        <v>-143.12313196172917</v>
      </c>
      <c r="AQ424">
        <f t="shared" si="343"/>
        <v>2.2675731819561946E-3</v>
      </c>
      <c r="AR424">
        <f t="shared" si="344"/>
        <v>-4.7619036821080085</v>
      </c>
      <c r="AT424">
        <f t="shared" si="365"/>
        <v>-5799.9826794592636</v>
      </c>
      <c r="AU424">
        <f t="shared" si="366"/>
        <v>-1103.4997564109299</v>
      </c>
      <c r="AV424">
        <f t="shared" si="354"/>
        <v>-2.9535806013505277</v>
      </c>
      <c r="AW424">
        <f t="shared" si="355"/>
        <v>297.36991616973586</v>
      </c>
      <c r="AX424">
        <f t="shared" si="356"/>
        <v>-5508.5647924602672</v>
      </c>
      <c r="AY424">
        <f t="shared" si="364"/>
        <v>-1.5168654813327942</v>
      </c>
      <c r="BA424">
        <f t="shared" si="345"/>
        <v>1.0702317633954992</v>
      </c>
      <c r="BB424">
        <f t="shared" si="357"/>
        <v>0.58955672500325274</v>
      </c>
      <c r="BC424">
        <f t="shared" si="358"/>
        <v>-1.4367151200177335</v>
      </c>
      <c r="BD424">
        <f t="shared" si="346"/>
        <v>-262.31771283370938</v>
      </c>
      <c r="BF424">
        <f t="shared" si="347"/>
        <v>-62.144660540938325</v>
      </c>
      <c r="BG424">
        <f t="shared" si="348"/>
        <v>-254.8685639323885</v>
      </c>
      <c r="BH424">
        <f t="shared" si="359"/>
        <v>-74.868563932388497</v>
      </c>
      <c r="BI424">
        <f t="shared" si="360"/>
        <v>-74.868563932388497</v>
      </c>
      <c r="BJ424">
        <f t="shared" si="349"/>
        <v>0</v>
      </c>
      <c r="BK424">
        <f t="shared" si="361"/>
        <v>0</v>
      </c>
      <c r="BM424">
        <f t="shared" si="362"/>
        <v>-62.734217265941581</v>
      </c>
      <c r="BN424">
        <f t="shared" si="350"/>
        <v>-172.55085109867912</v>
      </c>
      <c r="BQ424" s="56">
        <f t="shared" si="363"/>
        <v>17.491517525288391</v>
      </c>
    </row>
    <row r="425" spans="1:69" x14ac:dyDescent="0.2">
      <c r="A425">
        <f t="shared" si="319"/>
        <v>1055000</v>
      </c>
      <c r="B425">
        <f t="shared" si="351"/>
        <v>1055</v>
      </c>
      <c r="C425">
        <f t="shared" si="320"/>
        <v>1.0084047646086933</v>
      </c>
      <c r="D425">
        <f t="shared" si="321"/>
        <v>0.12919997689641113</v>
      </c>
      <c r="F425">
        <f t="shared" si="322"/>
        <v>4.7804696157697371E-5</v>
      </c>
      <c r="G425">
        <f t="shared" si="323"/>
        <v>1.4110560685854953E-3</v>
      </c>
      <c r="H425">
        <f t="shared" si="324"/>
        <v>-3.1401815939314148</v>
      </c>
      <c r="J425">
        <f t="shared" si="325"/>
        <v>15</v>
      </c>
      <c r="M425">
        <f t="shared" si="326"/>
        <v>1.1855413533907173E-3</v>
      </c>
      <c r="N425">
        <f t="shared" si="327"/>
        <v>-1.5707963250000001</v>
      </c>
      <c r="O425">
        <f t="shared" si="328"/>
        <v>207.18432248590102</v>
      </c>
      <c r="P425">
        <f t="shared" si="329"/>
        <v>1.565969688028255</v>
      </c>
      <c r="Q425">
        <f t="shared" si="330"/>
        <v>180.09294139870977</v>
      </c>
      <c r="R425">
        <f t="shared" si="331"/>
        <v>1.5652436097865035</v>
      </c>
      <c r="S425">
        <f t="shared" si="332"/>
        <v>0.19274607078960726</v>
      </c>
      <c r="T425">
        <f t="shared" si="333"/>
        <v>-1.3768363981238851</v>
      </c>
      <c r="U425">
        <f t="shared" si="334"/>
        <v>0.19032764633820287</v>
      </c>
      <c r="V425">
        <f t="shared" si="335"/>
        <v>-1.3793004440293586</v>
      </c>
      <c r="X425">
        <f t="shared" si="352"/>
        <v>-58.610911819617982</v>
      </c>
      <c r="Y425">
        <f t="shared" si="336"/>
        <v>-241.02624111602373</v>
      </c>
      <c r="Z425">
        <f t="shared" si="353"/>
        <v>-61.026241116023726</v>
      </c>
      <c r="AC425">
        <v>1</v>
      </c>
      <c r="AD425">
        <f t="shared" si="337"/>
        <v>207.18190916183249</v>
      </c>
      <c r="AE425">
        <f t="shared" si="338"/>
        <v>-0.16480311048065968</v>
      </c>
      <c r="AF425">
        <f t="shared" si="339"/>
        <v>3.195062556903E-2</v>
      </c>
      <c r="AG425">
        <f t="shared" si="367"/>
        <v>229.04828201126779</v>
      </c>
      <c r="AH425">
        <f t="shared" si="368"/>
        <v>-1212.7421180531401</v>
      </c>
      <c r="AJ425">
        <f t="shared" si="340"/>
        <v>26400</v>
      </c>
      <c r="AK425">
        <f t="shared" si="341"/>
        <v>134399.44471726081</v>
      </c>
      <c r="AL425">
        <v>1</v>
      </c>
      <c r="AM425">
        <f t="shared" si="342"/>
        <v>180.09016503307203</v>
      </c>
      <c r="AN425">
        <f t="shared" si="369"/>
        <v>747.08071680516298</v>
      </c>
      <c r="AO425">
        <f t="shared" si="370"/>
        <v>-142.44486520673627</v>
      </c>
      <c r="AQ425">
        <f t="shared" si="343"/>
        <v>2.2461305347744806E-3</v>
      </c>
      <c r="AR425">
        <f t="shared" si="344"/>
        <v>-4.7393354283741544</v>
      </c>
      <c r="AT425">
        <f t="shared" si="365"/>
        <v>-5747.0772132305947</v>
      </c>
      <c r="AU425">
        <f t="shared" si="366"/>
        <v>-1088.2606148464022</v>
      </c>
      <c r="AV425">
        <f t="shared" si="354"/>
        <v>-2.9544494759770918</v>
      </c>
      <c r="AW425">
        <f t="shared" si="355"/>
        <v>301.69346034422045</v>
      </c>
      <c r="AX425">
        <f t="shared" si="356"/>
        <v>-5482.8249186009325</v>
      </c>
      <c r="AY425">
        <f t="shared" si="364"/>
        <v>-1.5158265747913133</v>
      </c>
      <c r="BA425">
        <f t="shared" si="345"/>
        <v>1.0652119747421853</v>
      </c>
      <c r="BB425">
        <f t="shared" si="357"/>
        <v>0.54872079963438714</v>
      </c>
      <c r="BC425">
        <f t="shared" si="358"/>
        <v>-1.4386229011857785</v>
      </c>
      <c r="BD425">
        <f t="shared" si="346"/>
        <v>-262.42702064299777</v>
      </c>
      <c r="BF425">
        <f t="shared" si="347"/>
        <v>-62.267344995093723</v>
      </c>
      <c r="BG425">
        <f t="shared" si="348"/>
        <v>-254.94355968770833</v>
      </c>
      <c r="BH425">
        <f t="shared" si="359"/>
        <v>-74.94355968770833</v>
      </c>
      <c r="BI425">
        <f t="shared" si="360"/>
        <v>-74.94355968770833</v>
      </c>
      <c r="BJ425">
        <f t="shared" si="349"/>
        <v>0</v>
      </c>
      <c r="BK425">
        <f t="shared" si="361"/>
        <v>0</v>
      </c>
      <c r="BM425">
        <f t="shared" si="362"/>
        <v>-62.816065794728104</v>
      </c>
      <c r="BN425">
        <f t="shared" si="350"/>
        <v>-172.51653904471053</v>
      </c>
      <c r="BQ425" s="56">
        <f t="shared" si="363"/>
        <v>17.450681599919523</v>
      </c>
    </row>
    <row r="426" spans="1:69" x14ac:dyDescent="0.2">
      <c r="A426">
        <f t="shared" si="319"/>
        <v>1060000</v>
      </c>
      <c r="B426">
        <f t="shared" si="351"/>
        <v>1060</v>
      </c>
      <c r="C426">
        <f t="shared" si="320"/>
        <v>1.0084842834872729</v>
      </c>
      <c r="D426">
        <f t="shared" si="321"/>
        <v>0.12980545988607425</v>
      </c>
      <c r="F426">
        <f t="shared" si="322"/>
        <v>4.73547512339582E-5</v>
      </c>
      <c r="G426">
        <f t="shared" si="323"/>
        <v>1.4043995202758458E-3</v>
      </c>
      <c r="H426">
        <f t="shared" si="324"/>
        <v>-3.1401882504797243</v>
      </c>
      <c r="J426">
        <f t="shared" si="325"/>
        <v>15</v>
      </c>
      <c r="M426">
        <f t="shared" si="326"/>
        <v>1.1799491771954781E-3</v>
      </c>
      <c r="N426">
        <f t="shared" si="327"/>
        <v>-1.5707963250000001</v>
      </c>
      <c r="O426">
        <f t="shared" si="328"/>
        <v>208.16621588518609</v>
      </c>
      <c r="P426">
        <f t="shared" si="329"/>
        <v>1.5659924548411521</v>
      </c>
      <c r="Q426">
        <f t="shared" si="330"/>
        <v>180.94643619399793</v>
      </c>
      <c r="R426">
        <f t="shared" si="331"/>
        <v>1.5652698013132895</v>
      </c>
      <c r="S426">
        <f t="shared" si="332"/>
        <v>0.19187043836986933</v>
      </c>
      <c r="T426">
        <f t="shared" si="333"/>
        <v>-1.3777286855050608</v>
      </c>
      <c r="U426">
        <f t="shared" si="334"/>
        <v>0.1894621743783815</v>
      </c>
      <c r="V426">
        <f t="shared" si="335"/>
        <v>-1.3801819556335155</v>
      </c>
      <c r="X426">
        <f t="shared" si="352"/>
        <v>-58.730437575368697</v>
      </c>
      <c r="Y426">
        <f t="shared" si="336"/>
        <v>-241.09075697767537</v>
      </c>
      <c r="Z426">
        <f t="shared" si="353"/>
        <v>-61.090756977675369</v>
      </c>
      <c r="AC426">
        <v>1</v>
      </c>
      <c r="AD426">
        <f t="shared" si="337"/>
        <v>208.16381394459</v>
      </c>
      <c r="AE426">
        <f t="shared" si="338"/>
        <v>-0.16636892696576377</v>
      </c>
      <c r="AF426">
        <f t="shared" si="339"/>
        <v>3.2102050334759998E-2</v>
      </c>
      <c r="AG426">
        <f t="shared" si="367"/>
        <v>226.96992760290729</v>
      </c>
      <c r="AH426">
        <f t="shared" si="368"/>
        <v>-1207.4226694119523</v>
      </c>
      <c r="AJ426">
        <f t="shared" si="340"/>
        <v>26400</v>
      </c>
      <c r="AK426">
        <f t="shared" si="341"/>
        <v>135036.40891023361</v>
      </c>
      <c r="AL426">
        <v>1</v>
      </c>
      <c r="AM426">
        <f t="shared" si="342"/>
        <v>180.94367292422402</v>
      </c>
      <c r="AN426">
        <f t="shared" si="369"/>
        <v>747.07327270542066</v>
      </c>
      <c r="AO426">
        <f t="shared" si="370"/>
        <v>-141.77299660562085</v>
      </c>
      <c r="AQ426">
        <f t="shared" si="343"/>
        <v>2.2249906049771704E-3</v>
      </c>
      <c r="AR426">
        <f t="shared" si="344"/>
        <v>-4.7169800825516015</v>
      </c>
      <c r="AT426">
        <f t="shared" si="365"/>
        <v>-5694.883676880936</v>
      </c>
      <c r="AU426">
        <f t="shared" si="366"/>
        <v>-1073.2991319367707</v>
      </c>
      <c r="AV426">
        <f t="shared" si="354"/>
        <v>-2.9553104563039332</v>
      </c>
      <c r="AW426">
        <f t="shared" si="355"/>
        <v>305.95455296891146</v>
      </c>
      <c r="AX426">
        <f t="shared" si="356"/>
        <v>-5457.322989631125</v>
      </c>
      <c r="AY426">
        <f t="shared" si="364"/>
        <v>-1.5147918332324068</v>
      </c>
      <c r="BA426">
        <f t="shared" si="345"/>
        <v>1.0602370746100218</v>
      </c>
      <c r="BB426">
        <f t="shared" si="357"/>
        <v>0.50805973327374532</v>
      </c>
      <c r="BC426">
        <f t="shared" si="358"/>
        <v>-1.4405186230715263</v>
      </c>
      <c r="BD426">
        <f t="shared" si="346"/>
        <v>-262.53563750630582</v>
      </c>
      <c r="BF426">
        <f t="shared" si="347"/>
        <v>-62.389461207031438</v>
      </c>
      <c r="BG426">
        <f t="shared" si="348"/>
        <v>-255.01786632322677</v>
      </c>
      <c r="BH426">
        <f t="shared" si="359"/>
        <v>-75.01786632322677</v>
      </c>
      <c r="BI426">
        <f t="shared" si="360"/>
        <v>-75.01786632322677</v>
      </c>
      <c r="BJ426">
        <f t="shared" si="349"/>
        <v>0</v>
      </c>
      <c r="BK426">
        <f t="shared" si="361"/>
        <v>0</v>
      </c>
      <c r="BM426">
        <f t="shared" si="362"/>
        <v>-62.897520940305185</v>
      </c>
      <c r="BN426">
        <f t="shared" si="350"/>
        <v>-172.48222881692092</v>
      </c>
      <c r="BQ426" s="56">
        <f t="shared" si="363"/>
        <v>17.410020533558882</v>
      </c>
    </row>
    <row r="427" spans="1:69" x14ac:dyDescent="0.2">
      <c r="A427">
        <f t="shared" si="319"/>
        <v>1065000</v>
      </c>
      <c r="B427">
        <f t="shared" si="351"/>
        <v>1065</v>
      </c>
      <c r="C427">
        <f t="shared" si="320"/>
        <v>1.0085641720275442</v>
      </c>
      <c r="D427">
        <f t="shared" si="321"/>
        <v>0.13041084717682699</v>
      </c>
      <c r="F427">
        <f t="shared" si="322"/>
        <v>4.6911129063120466E-5</v>
      </c>
      <c r="G427">
        <f t="shared" si="323"/>
        <v>1.3978054834870956E-3</v>
      </c>
      <c r="H427">
        <f t="shared" si="324"/>
        <v>-3.1401948445165133</v>
      </c>
      <c r="J427">
        <f t="shared" si="325"/>
        <v>15</v>
      </c>
      <c r="M427">
        <f t="shared" si="326"/>
        <v>1.1744095096969077E-3</v>
      </c>
      <c r="N427">
        <f t="shared" si="327"/>
        <v>-1.5707963250000001</v>
      </c>
      <c r="O427">
        <f t="shared" si="328"/>
        <v>209.14810939135637</v>
      </c>
      <c r="P427">
        <f t="shared" si="329"/>
        <v>1.5660150078860684</v>
      </c>
      <c r="Q427">
        <f t="shared" si="330"/>
        <v>181.79993111224911</v>
      </c>
      <c r="R427">
        <f t="shared" si="331"/>
        <v>1.5652957469177227</v>
      </c>
      <c r="S427">
        <f t="shared" si="332"/>
        <v>0.19100257583401528</v>
      </c>
      <c r="T427">
        <f t="shared" si="333"/>
        <v>-1.3786129016506001</v>
      </c>
      <c r="U427">
        <f t="shared" si="334"/>
        <v>0.18860439329181744</v>
      </c>
      <c r="V427">
        <f t="shared" si="335"/>
        <v>-1.3810554859066642</v>
      </c>
      <c r="X427">
        <f t="shared" si="352"/>
        <v>-58.849421464899727</v>
      </c>
      <c r="Y427">
        <f t="shared" si="336"/>
        <v>-241.1543813348203</v>
      </c>
      <c r="Z427">
        <f t="shared" si="353"/>
        <v>-61.1543813348203</v>
      </c>
      <c r="AC427">
        <v>1</v>
      </c>
      <c r="AD427">
        <f t="shared" si="337"/>
        <v>209.14571872734751</v>
      </c>
      <c r="AE427">
        <f t="shared" si="338"/>
        <v>-0.16794214683850428</v>
      </c>
      <c r="AF427">
        <f t="shared" si="339"/>
        <v>3.2253475100490002E-2</v>
      </c>
      <c r="AG427">
        <f t="shared" si="367"/>
        <v>224.91938864243937</v>
      </c>
      <c r="AH427">
        <f t="shared" si="368"/>
        <v>-1202.147826657789</v>
      </c>
      <c r="AJ427">
        <f t="shared" si="340"/>
        <v>26400</v>
      </c>
      <c r="AK427">
        <f t="shared" si="341"/>
        <v>135673.3731032064</v>
      </c>
      <c r="AL427">
        <v>1</v>
      </c>
      <c r="AM427">
        <f t="shared" si="342"/>
        <v>181.79718081537601</v>
      </c>
      <c r="AN427">
        <f t="shared" si="369"/>
        <v>747.06593320161107</v>
      </c>
      <c r="AO427">
        <f t="shared" si="370"/>
        <v>-141.1074360545239</v>
      </c>
      <c r="AQ427">
        <f t="shared" si="343"/>
        <v>2.2041477210986088E-3</v>
      </c>
      <c r="AR427">
        <f t="shared" si="344"/>
        <v>-4.6948346459400367</v>
      </c>
      <c r="AT427">
        <f t="shared" si="365"/>
        <v>-5643.3895105765987</v>
      </c>
      <c r="AU427">
        <f t="shared" si="366"/>
        <v>-1058.6090497347277</v>
      </c>
      <c r="AV427">
        <f t="shared" si="354"/>
        <v>-2.9561636480768074</v>
      </c>
      <c r="AW427">
        <f t="shared" si="355"/>
        <v>310.15439555036824</v>
      </c>
      <c r="AX427">
        <f t="shared" si="356"/>
        <v>-5432.055739229043</v>
      </c>
      <c r="AY427">
        <f t="shared" si="364"/>
        <v>-1.5137611956994872</v>
      </c>
      <c r="BA427">
        <f t="shared" si="345"/>
        <v>1.0553064692708052</v>
      </c>
      <c r="BB427">
        <f t="shared" si="357"/>
        <v>0.46757200945098476</v>
      </c>
      <c r="BC427">
        <f t="shared" si="358"/>
        <v>-1.4424024523773202</v>
      </c>
      <c r="BD427">
        <f t="shared" si="346"/>
        <v>-262.64357297497418</v>
      </c>
      <c r="BF427">
        <f t="shared" si="347"/>
        <v>-62.511014368212834</v>
      </c>
      <c r="BG427">
        <f t="shared" si="348"/>
        <v>-255.09149346560292</v>
      </c>
      <c r="BH427">
        <f t="shared" si="359"/>
        <v>-75.091493465602923</v>
      </c>
      <c r="BI427">
        <f t="shared" si="360"/>
        <v>-75.091493465602923</v>
      </c>
      <c r="BJ427">
        <f t="shared" si="349"/>
        <v>0</v>
      </c>
      <c r="BK427">
        <f t="shared" si="361"/>
        <v>0</v>
      </c>
      <c r="BM427">
        <f t="shared" si="362"/>
        <v>-62.978586377663817</v>
      </c>
      <c r="BN427">
        <f t="shared" si="350"/>
        <v>-172.44792049062869</v>
      </c>
      <c r="BQ427" s="56">
        <f t="shared" si="363"/>
        <v>17.369532809736121</v>
      </c>
    </row>
    <row r="428" spans="1:69" x14ac:dyDescent="0.2">
      <c r="A428">
        <f t="shared" ref="A428:A433" si="371">A427+5000</f>
        <v>1070000</v>
      </c>
      <c r="B428">
        <f t="shared" si="351"/>
        <v>1070</v>
      </c>
      <c r="C428">
        <f t="shared" si="320"/>
        <v>1.0086444301416713</v>
      </c>
      <c r="D428">
        <f t="shared" si="321"/>
        <v>0.13101613834772008</v>
      </c>
      <c r="F428">
        <f t="shared" si="322"/>
        <v>4.6473711730458261E-5</v>
      </c>
      <c r="G428">
        <f t="shared" si="323"/>
        <v>1.3912730817276539E-3</v>
      </c>
      <c r="H428">
        <f t="shared" si="324"/>
        <v>-3.1402013769182724</v>
      </c>
      <c r="J428">
        <f t="shared" si="325"/>
        <v>15</v>
      </c>
      <c r="M428">
        <f t="shared" si="326"/>
        <v>1.168921614791782E-3</v>
      </c>
      <c r="N428">
        <f t="shared" si="327"/>
        <v>-1.5707963250000001</v>
      </c>
      <c r="O428">
        <f t="shared" si="328"/>
        <v>210.13000300291353</v>
      </c>
      <c r="P428">
        <f t="shared" si="329"/>
        <v>1.5660373501596601</v>
      </c>
      <c r="Q428">
        <f t="shared" si="330"/>
        <v>182.65342615173961</v>
      </c>
      <c r="R428">
        <f t="shared" si="331"/>
        <v>1.5653214500471739</v>
      </c>
      <c r="S428">
        <f t="shared" si="332"/>
        <v>0.19014238226727706</v>
      </c>
      <c r="T428">
        <f t="shared" si="333"/>
        <v>-1.3794891542165899</v>
      </c>
      <c r="U428">
        <f t="shared" si="334"/>
        <v>0.18775420299008411</v>
      </c>
      <c r="V428">
        <f t="shared" si="335"/>
        <v>-1.381921141441266</v>
      </c>
      <c r="X428">
        <f t="shared" si="352"/>
        <v>-58.967868178317595</v>
      </c>
      <c r="Y428">
        <f t="shared" si="336"/>
        <v>-241.21712616811837</v>
      </c>
      <c r="Z428">
        <f t="shared" si="353"/>
        <v>-61.217126168118369</v>
      </c>
      <c r="AC428">
        <v>1</v>
      </c>
      <c r="AD428">
        <f t="shared" si="337"/>
        <v>210.12762351010502</v>
      </c>
      <c r="AE428">
        <f t="shared" si="338"/>
        <v>-0.16952277009888123</v>
      </c>
      <c r="AF428">
        <f t="shared" si="339"/>
        <v>3.2404899866219999E-2</v>
      </c>
      <c r="AG428">
        <f t="shared" si="367"/>
        <v>222.89617720553088</v>
      </c>
      <c r="AH428">
        <f t="shared" si="368"/>
        <v>-1196.9170577430036</v>
      </c>
      <c r="AJ428">
        <f t="shared" si="340"/>
        <v>26400</v>
      </c>
      <c r="AK428">
        <f t="shared" si="341"/>
        <v>136310.3372961792</v>
      </c>
      <c r="AL428">
        <v>1</v>
      </c>
      <c r="AM428">
        <f t="shared" si="342"/>
        <v>182.65068870652803</v>
      </c>
      <c r="AN428">
        <f t="shared" si="369"/>
        <v>747.05869634334374</v>
      </c>
      <c r="AO428">
        <f t="shared" si="370"/>
        <v>-140.44809513351592</v>
      </c>
      <c r="AQ428">
        <f t="shared" si="343"/>
        <v>2.1835963438736256E-3</v>
      </c>
      <c r="AR428">
        <f t="shared" si="344"/>
        <v>-4.6728961758895586</v>
      </c>
      <c r="AT428">
        <f t="shared" si="365"/>
        <v>-5592.5824267066537</v>
      </c>
      <c r="AU428">
        <f t="shared" si="366"/>
        <v>-1044.1842777953343</v>
      </c>
      <c r="AV428">
        <f t="shared" si="354"/>
        <v>-2.9570091551857853</v>
      </c>
      <c r="AW428">
        <f t="shared" si="355"/>
        <v>314.29416075790283</v>
      </c>
      <c r="AX428">
        <f t="shared" si="356"/>
        <v>-5407.0199603124438</v>
      </c>
      <c r="AY428">
        <f t="shared" si="364"/>
        <v>-1.5127346024761199</v>
      </c>
      <c r="BA428">
        <f t="shared" si="345"/>
        <v>1.0504195752122043</v>
      </c>
      <c r="BB428">
        <f t="shared" si="357"/>
        <v>0.42725613001055041</v>
      </c>
      <c r="BC428">
        <f t="shared" si="358"/>
        <v>-1.4442745527096654</v>
      </c>
      <c r="BD428">
        <f t="shared" si="346"/>
        <v>-262.75083642296522</v>
      </c>
      <c r="BF428">
        <f t="shared" si="347"/>
        <v>-62.632009600162689</v>
      </c>
      <c r="BG428">
        <f t="shared" si="348"/>
        <v>-255.16445056313685</v>
      </c>
      <c r="BH428">
        <f t="shared" si="359"/>
        <v>-75.164450563136853</v>
      </c>
      <c r="BI428">
        <f t="shared" si="360"/>
        <v>-75.164450563136853</v>
      </c>
      <c r="BJ428">
        <f t="shared" si="349"/>
        <v>0</v>
      </c>
      <c r="BK428">
        <f t="shared" si="361"/>
        <v>0</v>
      </c>
      <c r="BM428">
        <f t="shared" si="362"/>
        <v>-63.059265730173237</v>
      </c>
      <c r="BN428">
        <f t="shared" si="350"/>
        <v>-172.41361414017166</v>
      </c>
      <c r="BQ428" s="56">
        <f t="shared" si="363"/>
        <v>17.329216930295686</v>
      </c>
    </row>
    <row r="429" spans="1:69" x14ac:dyDescent="0.2">
      <c r="A429">
        <f t="shared" si="371"/>
        <v>1075000</v>
      </c>
      <c r="B429">
        <f t="shared" si="351"/>
        <v>1075</v>
      </c>
      <c r="C429">
        <f t="shared" si="320"/>
        <v>1.0087250577414399</v>
      </c>
      <c r="D429">
        <f t="shared" si="321"/>
        <v>0.13162133297821962</v>
      </c>
      <c r="F429">
        <f t="shared" si="322"/>
        <v>4.6042384057304972E-5</v>
      </c>
      <c r="G429">
        <f t="shared" si="323"/>
        <v>1.3848014548164869E-3</v>
      </c>
      <c r="H429">
        <f t="shared" si="324"/>
        <v>-3.1402078485451836</v>
      </c>
      <c r="J429">
        <f t="shared" si="325"/>
        <v>15</v>
      </c>
      <c r="M429">
        <f t="shared" si="326"/>
        <v>1.1634847700718203E-3</v>
      </c>
      <c r="N429">
        <f t="shared" si="327"/>
        <v>-1.5707963250000001</v>
      </c>
      <c r="O429">
        <f t="shared" si="328"/>
        <v>211.11189671838707</v>
      </c>
      <c r="P429">
        <f t="shared" si="329"/>
        <v>1.5660594846028335</v>
      </c>
      <c r="Q429">
        <f t="shared" si="330"/>
        <v>183.50692131077781</v>
      </c>
      <c r="R429">
        <f t="shared" si="331"/>
        <v>1.5653469140848801</v>
      </c>
      <c r="S429">
        <f t="shared" si="332"/>
        <v>0.18928975845745927</v>
      </c>
      <c r="T429">
        <f t="shared" si="333"/>
        <v>-1.3803575489775544</v>
      </c>
      <c r="U429">
        <f t="shared" si="334"/>
        <v>0.18691150507785437</v>
      </c>
      <c r="V429">
        <f t="shared" si="335"/>
        <v>-1.3827790269637945</v>
      </c>
      <c r="X429">
        <f t="shared" si="352"/>
        <v>-59.085782346394083</v>
      </c>
      <c r="Y429">
        <f t="shared" si="336"/>
        <v>-241.27900324942121</v>
      </c>
      <c r="Z429">
        <f t="shared" si="353"/>
        <v>-61.279003249421208</v>
      </c>
      <c r="AC429">
        <v>1</v>
      </c>
      <c r="AD429">
        <f t="shared" si="337"/>
        <v>211.10952829286251</v>
      </c>
      <c r="AE429">
        <f t="shared" si="338"/>
        <v>-0.17111079674689461</v>
      </c>
      <c r="AF429">
        <f t="shared" si="339"/>
        <v>3.2556324631949997E-2</v>
      </c>
      <c r="AG429">
        <f t="shared" si="367"/>
        <v>220.89981587953733</v>
      </c>
      <c r="AH429">
        <f t="shared" si="368"/>
        <v>-1191.7298385185097</v>
      </c>
      <c r="AJ429">
        <f t="shared" si="340"/>
        <v>26400</v>
      </c>
      <c r="AK429">
        <f t="shared" si="341"/>
        <v>136947.30148915201</v>
      </c>
      <c r="AL429">
        <v>1</v>
      </c>
      <c r="AM429">
        <f t="shared" si="342"/>
        <v>183.50419659768002</v>
      </c>
      <c r="AN429">
        <f t="shared" si="369"/>
        <v>747.05156022547669</v>
      </c>
      <c r="AO429">
        <f t="shared" si="370"/>
        <v>-139.79488706744294</v>
      </c>
      <c r="AQ429">
        <f t="shared" si="343"/>
        <v>2.1633310625568279E-3</v>
      </c>
      <c r="AR429">
        <f t="shared" si="344"/>
        <v>-4.6511617844971802</v>
      </c>
      <c r="AT429">
        <f t="shared" si="365"/>
        <v>-5542.4504029288828</v>
      </c>
      <c r="AU429">
        <f t="shared" si="366"/>
        <v>-1030.0188879992104</v>
      </c>
      <c r="AV429">
        <f t="shared" si="354"/>
        <v>-2.9578470797052243</v>
      </c>
      <c r="AW429">
        <f t="shared" si="355"/>
        <v>318.37499325172399</v>
      </c>
      <c r="AX429">
        <f t="shared" si="356"/>
        <v>-5382.2125037063925</v>
      </c>
      <c r="AY429">
        <f t="shared" si="364"/>
        <v>-1.511711995054867</v>
      </c>
      <c r="BA429">
        <f t="shared" si="345"/>
        <v>1.0455758189245552</v>
      </c>
      <c r="BB429">
        <f t="shared" si="357"/>
        <v>0.38711061484172515</v>
      </c>
      <c r="BC429">
        <f t="shared" si="358"/>
        <v>-1.4461350846503573</v>
      </c>
      <c r="BD429">
        <f t="shared" si="346"/>
        <v>-262.85743705093796</v>
      </c>
      <c r="BF429">
        <f t="shared" si="347"/>
        <v>-62.752451955702149</v>
      </c>
      <c r="BG429">
        <f t="shared" si="348"/>
        <v>-255.23674688986739</v>
      </c>
      <c r="BH429">
        <f t="shared" si="359"/>
        <v>-75.236746889867391</v>
      </c>
      <c r="BI429">
        <f t="shared" si="360"/>
        <v>-75.236746889867391</v>
      </c>
      <c r="BJ429">
        <f t="shared" si="349"/>
        <v>0</v>
      </c>
      <c r="BK429">
        <f t="shared" si="361"/>
        <v>0</v>
      </c>
      <c r="BM429">
        <f t="shared" si="362"/>
        <v>-63.139562570543873</v>
      </c>
      <c r="BN429">
        <f t="shared" si="350"/>
        <v>-172.37930983892946</v>
      </c>
      <c r="BQ429" s="56">
        <f t="shared" si="363"/>
        <v>17.289071415126863</v>
      </c>
    </row>
    <row r="430" spans="1:69" x14ac:dyDescent="0.2">
      <c r="A430">
        <f t="shared" si="371"/>
        <v>1080000</v>
      </c>
      <c r="B430">
        <f t="shared" si="351"/>
        <v>1080</v>
      </c>
      <c r="C430">
        <f t="shared" si="320"/>
        <v>1.0088060547382582</v>
      </c>
      <c r="D430">
        <f t="shared" si="321"/>
        <v>0.13222643064820877</v>
      </c>
      <c r="F430">
        <f t="shared" si="322"/>
        <v>4.561703352522009E-5</v>
      </c>
      <c r="G430">
        <f t="shared" si="323"/>
        <v>1.3783897585054588E-3</v>
      </c>
      <c r="H430">
        <f t="shared" si="324"/>
        <v>-3.1402142602414949</v>
      </c>
      <c r="J430">
        <f t="shared" si="325"/>
        <v>15</v>
      </c>
      <c r="M430">
        <f t="shared" si="326"/>
        <v>1.1580982665066728E-3</v>
      </c>
      <c r="N430">
        <f t="shared" si="327"/>
        <v>-1.5707963250000001</v>
      </c>
      <c r="O430">
        <f t="shared" si="328"/>
        <v>212.09379053633373</v>
      </c>
      <c r="P430">
        <f t="shared" si="329"/>
        <v>1.5660814141020365</v>
      </c>
      <c r="Q430">
        <f t="shared" si="330"/>
        <v>184.36041658770333</v>
      </c>
      <c r="R430">
        <f t="shared" si="331"/>
        <v>1.5653721423514286</v>
      </c>
      <c r="S430">
        <f t="shared" si="332"/>
        <v>0.18844460686004749</v>
      </c>
      <c r="T430">
        <f t="shared" si="333"/>
        <v>-1.3812181898668305</v>
      </c>
      <c r="U430">
        <f t="shared" si="334"/>
        <v>0.18607620281808265</v>
      </c>
      <c r="V430">
        <f t="shared" si="335"/>
        <v>-1.3836292453748553</v>
      </c>
      <c r="X430">
        <f t="shared" si="352"/>
        <v>-59.203168541534438</v>
      </c>
      <c r="Y430">
        <f t="shared" si="336"/>
        <v>-241.34002414624672</v>
      </c>
      <c r="Z430">
        <f t="shared" si="353"/>
        <v>-61.340024146246719</v>
      </c>
      <c r="AC430">
        <v>1</v>
      </c>
      <c r="AD430">
        <f t="shared" si="337"/>
        <v>212.09143307561999</v>
      </c>
      <c r="AE430">
        <f t="shared" si="338"/>
        <v>-0.17270622678254438</v>
      </c>
      <c r="AF430">
        <f t="shared" si="339"/>
        <v>3.2707749397680001E-2</v>
      </c>
      <c r="AG430">
        <f t="shared" si="367"/>
        <v>218.92983749670472</v>
      </c>
      <c r="AH430">
        <f t="shared" si="368"/>
        <v>-1186.5856526014704</v>
      </c>
      <c r="AJ430">
        <f t="shared" si="340"/>
        <v>26400</v>
      </c>
      <c r="AK430">
        <f t="shared" si="341"/>
        <v>137584.26568212482</v>
      </c>
      <c r="AL430">
        <v>1</v>
      </c>
      <c r="AM430">
        <f t="shared" si="342"/>
        <v>184.35770448883201</v>
      </c>
      <c r="AN430">
        <f t="shared" si="369"/>
        <v>747.04452298686363</v>
      </c>
      <c r="AO430">
        <f t="shared" si="370"/>
        <v>-139.14772668785935</v>
      </c>
      <c r="AQ430">
        <f t="shared" si="343"/>
        <v>2.1433465913608986E-3</v>
      </c>
      <c r="AR430">
        <f t="shared" si="344"/>
        <v>-4.6296286373395414</v>
      </c>
      <c r="AT430">
        <f t="shared" si="365"/>
        <v>-5492.9816754190497</v>
      </c>
      <c r="AU430">
        <f t="shared" si="366"/>
        <v>-1016.1071095566974</v>
      </c>
      <c r="AV430">
        <f t="shared" si="354"/>
        <v>-2.9586775219327253</v>
      </c>
      <c r="AW430">
        <f t="shared" si="355"/>
        <v>322.39801048344339</v>
      </c>
      <c r="AX430">
        <f t="shared" si="356"/>
        <v>-5357.6302768467449</v>
      </c>
      <c r="AY430">
        <f t="shared" si="364"/>
        <v>-1.5106933161070595</v>
      </c>
      <c r="BA430">
        <f t="shared" si="345"/>
        <v>1.0407746366927804</v>
      </c>
      <c r="BB430">
        <f t="shared" si="357"/>
        <v>0.34713400161277996</v>
      </c>
      <c r="BC430">
        <f t="shared" si="358"/>
        <v>-1.4479842058256658</v>
      </c>
      <c r="BD430">
        <f t="shared" si="346"/>
        <v>-262.96338389021241</v>
      </c>
      <c r="BF430">
        <f t="shared" si="347"/>
        <v>-62.872346420155253</v>
      </c>
      <c r="BG430">
        <f t="shared" si="348"/>
        <v>-255.30839154955729</v>
      </c>
      <c r="BH430">
        <f t="shared" si="359"/>
        <v>-75.308391549557285</v>
      </c>
      <c r="BI430">
        <f t="shared" si="360"/>
        <v>-75.308391549557285</v>
      </c>
      <c r="BJ430">
        <f t="shared" si="349"/>
        <v>0</v>
      </c>
      <c r="BK430">
        <f t="shared" si="361"/>
        <v>0</v>
      </c>
      <c r="BM430">
        <f t="shared" si="362"/>
        <v>-63.219480421768026</v>
      </c>
      <c r="BN430">
        <f t="shared" si="350"/>
        <v>-172.34500765934484</v>
      </c>
      <c r="BQ430" s="56">
        <f t="shared" si="363"/>
        <v>17.249094801897918</v>
      </c>
    </row>
    <row r="431" spans="1:69" x14ac:dyDescent="0.2">
      <c r="A431">
        <f t="shared" si="371"/>
        <v>1085000</v>
      </c>
      <c r="B431">
        <f t="shared" si="351"/>
        <v>1085</v>
      </c>
      <c r="C431">
        <f t="shared" si="320"/>
        <v>1.0088874210431567</v>
      </c>
      <c r="D431">
        <f t="shared" si="321"/>
        <v>0.13283143093798933</v>
      </c>
      <c r="F431">
        <f t="shared" si="322"/>
        <v>4.5197550202596965E-5</v>
      </c>
      <c r="G431">
        <f t="shared" si="323"/>
        <v>1.3720371641121117E-3</v>
      </c>
      <c r="H431">
        <f t="shared" si="324"/>
        <v>-3.140220612835888</v>
      </c>
      <c r="J431">
        <f t="shared" si="325"/>
        <v>15</v>
      </c>
      <c r="M431">
        <f t="shared" si="326"/>
        <v>1.1527614081356743E-3</v>
      </c>
      <c r="N431">
        <f t="shared" si="327"/>
        <v>-1.5707963250000001</v>
      </c>
      <c r="O431">
        <f t="shared" si="328"/>
        <v>213.0756844553369</v>
      </c>
      <c r="P431">
        <f t="shared" si="329"/>
        <v>1.566103141490512</v>
      </c>
      <c r="Q431">
        <f t="shared" si="330"/>
        <v>185.21391198088642</v>
      </c>
      <c r="R431">
        <f t="shared" si="331"/>
        <v>1.5653971381062011</v>
      </c>
      <c r="S431">
        <f t="shared" si="332"/>
        <v>0.18760683156414609</v>
      </c>
      <c r="T431">
        <f t="shared" si="333"/>
        <v>-1.3820711790159244</v>
      </c>
      <c r="U431">
        <f t="shared" si="334"/>
        <v>0.18524820109801984</v>
      </c>
      <c r="V431">
        <f t="shared" si="335"/>
        <v>-1.3844718977882937</v>
      </c>
      <c r="X431">
        <f t="shared" si="352"/>
        <v>-59.320031278726574</v>
      </c>
      <c r="Y431">
        <f t="shared" si="336"/>
        <v>-241.40020022614095</v>
      </c>
      <c r="Z431">
        <f t="shared" si="353"/>
        <v>-61.400200226140953</v>
      </c>
      <c r="AC431">
        <v>1</v>
      </c>
      <c r="AD431">
        <f t="shared" si="337"/>
        <v>213.07333785837747</v>
      </c>
      <c r="AE431">
        <f t="shared" si="338"/>
        <v>-0.17430906020583059</v>
      </c>
      <c r="AF431">
        <f t="shared" si="339"/>
        <v>3.2859174163409999E-2</v>
      </c>
      <c r="AG431">
        <f t="shared" si="367"/>
        <v>216.98578487511756</v>
      </c>
      <c r="AH431">
        <f t="shared" si="368"/>
        <v>-1181.4839912451839</v>
      </c>
      <c r="AJ431">
        <f t="shared" si="340"/>
        <v>26400</v>
      </c>
      <c r="AK431">
        <f t="shared" si="341"/>
        <v>138221.2298750976</v>
      </c>
      <c r="AL431">
        <v>1</v>
      </c>
      <c r="AM431">
        <f t="shared" si="342"/>
        <v>185.211212379984</v>
      </c>
      <c r="AN431">
        <f t="shared" si="369"/>
        <v>747.03758280914053</v>
      </c>
      <c r="AO431">
        <f t="shared" si="370"/>
        <v>-138.50653039601403</v>
      </c>
      <c r="AQ431">
        <f t="shared" si="343"/>
        <v>2.1236377660095213E-3</v>
      </c>
      <c r="AR431">
        <f t="shared" si="344"/>
        <v>-4.6082939522406612</v>
      </c>
      <c r="AT431">
        <f t="shared" si="365"/>
        <v>-5444.1647323168918</v>
      </c>
      <c r="AU431">
        <f t="shared" si="366"/>
        <v>-1002.4433241859414</v>
      </c>
      <c r="AV431">
        <f t="shared" si="354"/>
        <v>-2.9595005804271084</v>
      </c>
      <c r="AW431">
        <f t="shared" si="355"/>
        <v>326.3643034699806</v>
      </c>
      <c r="AX431">
        <f t="shared" si="356"/>
        <v>-5333.2702425182088</v>
      </c>
      <c r="AY431">
        <f t="shared" si="364"/>
        <v>-1.5096785094534717</v>
      </c>
      <c r="BA431">
        <f t="shared" si="345"/>
        <v>1.0360154743933263</v>
      </c>
      <c r="BB431">
        <f t="shared" si="357"/>
        <v>0.30732484550942685</v>
      </c>
      <c r="BC431">
        <f t="shared" si="358"/>
        <v>-1.4498220709736367</v>
      </c>
      <c r="BD431">
        <f t="shared" si="346"/>
        <v>-263.06868580662569</v>
      </c>
      <c r="BF431">
        <f t="shared" si="347"/>
        <v>-62.991697912529261</v>
      </c>
      <c r="BG431">
        <f t="shared" si="348"/>
        <v>-255.37939347957038</v>
      </c>
      <c r="BH431">
        <f t="shared" si="359"/>
        <v>-75.379393479570382</v>
      </c>
      <c r="BI431">
        <f t="shared" si="360"/>
        <v>-75.379393479570382</v>
      </c>
      <c r="BJ431">
        <f t="shared" si="349"/>
        <v>0</v>
      </c>
      <c r="BK431">
        <f t="shared" si="361"/>
        <v>0</v>
      </c>
      <c r="BM431">
        <f t="shared" si="362"/>
        <v>-63.299022758038689</v>
      </c>
      <c r="BN431">
        <f t="shared" si="350"/>
        <v>-172.31070767294472</v>
      </c>
      <c r="BQ431" s="56">
        <f t="shared" si="363"/>
        <v>17.209285645794562</v>
      </c>
    </row>
    <row r="432" spans="1:69" x14ac:dyDescent="0.2">
      <c r="A432">
        <f t="shared" si="371"/>
        <v>1090000</v>
      </c>
      <c r="B432">
        <f t="shared" si="351"/>
        <v>1090</v>
      </c>
      <c r="C432">
        <f t="shared" si="320"/>
        <v>1.0089691565667889</v>
      </c>
      <c r="D432">
        <f t="shared" si="321"/>
        <v>0.1334363334282832</v>
      </c>
      <c r="F432">
        <f t="shared" si="322"/>
        <v>4.4783826673621946E-5</v>
      </c>
      <c r="G432">
        <f t="shared" si="323"/>
        <v>1.3657428581625613E-3</v>
      </c>
      <c r="H432">
        <f t="shared" si="324"/>
        <v>-3.1402269071418378</v>
      </c>
      <c r="J432">
        <f t="shared" si="325"/>
        <v>15</v>
      </c>
      <c r="M432">
        <f t="shared" si="326"/>
        <v>1.1474735117680797E-3</v>
      </c>
      <c r="N432">
        <f t="shared" si="327"/>
        <v>-1.5707963250000001</v>
      </c>
      <c r="O432">
        <f t="shared" si="328"/>
        <v>214.05757847400591</v>
      </c>
      <c r="P432">
        <f t="shared" si="329"/>
        <v>1.5661246695495186</v>
      </c>
      <c r="Q432">
        <f t="shared" si="330"/>
        <v>186.06740748872733</v>
      </c>
      <c r="R432">
        <f t="shared" si="331"/>
        <v>1.5654219045487765</v>
      </c>
      <c r="S432">
        <f t="shared" si="332"/>
        <v>0.18677633825922535</v>
      </c>
      <c r="T432">
        <f t="shared" si="333"/>
        <v>-1.3829166167928748</v>
      </c>
      <c r="U432">
        <f t="shared" si="334"/>
        <v>0.18442740639603777</v>
      </c>
      <c r="V432">
        <f t="shared" si="335"/>
        <v>-1.3853070835693106</v>
      </c>
      <c r="X432">
        <f t="shared" si="352"/>
        <v>-59.436375016471636</v>
      </c>
      <c r="Y432">
        <f t="shared" si="336"/>
        <v>-241.45954266093028</v>
      </c>
      <c r="Z432">
        <f t="shared" si="353"/>
        <v>-61.459542660930282</v>
      </c>
      <c r="AC432">
        <v>1</v>
      </c>
      <c r="AD432">
        <f t="shared" si="337"/>
        <v>214.05524264113498</v>
      </c>
      <c r="AE432">
        <f t="shared" si="338"/>
        <v>-0.17591929701675324</v>
      </c>
      <c r="AF432">
        <f t="shared" si="339"/>
        <v>3.3010598929139996E-2</v>
      </c>
      <c r="AG432">
        <f t="shared" si="367"/>
        <v>215.067210567145</v>
      </c>
      <c r="AH432">
        <f t="shared" si="368"/>
        <v>-1176.4243532111498</v>
      </c>
      <c r="AJ432">
        <f t="shared" si="340"/>
        <v>26400</v>
      </c>
      <c r="AK432">
        <f t="shared" si="341"/>
        <v>138858.19406807041</v>
      </c>
      <c r="AL432">
        <v>1</v>
      </c>
      <c r="AM432">
        <f t="shared" si="342"/>
        <v>186.06472027113603</v>
      </c>
      <c r="AN432">
        <f t="shared" si="369"/>
        <v>747.03073791555073</v>
      </c>
      <c r="AO432">
        <f t="shared" si="370"/>
        <v>-137.87121612685411</v>
      </c>
      <c r="AQ432">
        <f t="shared" si="343"/>
        <v>2.1041995404007365E-3</v>
      </c>
      <c r="AR432">
        <f t="shared" si="344"/>
        <v>-4.5871549980736051</v>
      </c>
      <c r="AT432">
        <f t="shared" si="365"/>
        <v>-5395.9883073624032</v>
      </c>
      <c r="AU432">
        <f t="shared" si="366"/>
        <v>-989.02206145817081</v>
      </c>
      <c r="AV432">
        <f t="shared" si="354"/>
        <v>-2.9603163520454294</v>
      </c>
      <c r="AW432">
        <f t="shared" si="355"/>
        <v>330.27493754188816</v>
      </c>
      <c r="AX432">
        <f t="shared" si="356"/>
        <v>-5309.1294176259526</v>
      </c>
      <c r="AY432">
        <f t="shared" si="364"/>
        <v>-1.5086675200358601</v>
      </c>
      <c r="BA432">
        <f t="shared" si="345"/>
        <v>1.0312977872959672</v>
      </c>
      <c r="BB432">
        <f t="shared" si="357"/>
        <v>0.26768171897737048</v>
      </c>
      <c r="BC432">
        <f t="shared" si="358"/>
        <v>-1.4516488320095693</v>
      </c>
      <c r="BD432">
        <f t="shared" si="346"/>
        <v>-263.17335150428318</v>
      </c>
      <c r="BF432">
        <f t="shared" si="347"/>
        <v>-63.110511286670025</v>
      </c>
      <c r="BG432">
        <f t="shared" si="348"/>
        <v>-255.44976145464378</v>
      </c>
      <c r="BH432">
        <f t="shared" si="359"/>
        <v>-75.449761454643777</v>
      </c>
      <c r="BI432">
        <f t="shared" si="360"/>
        <v>-75.449761454643777</v>
      </c>
      <c r="BJ432">
        <f t="shared" si="349"/>
        <v>0</v>
      </c>
      <c r="BK432">
        <f t="shared" si="361"/>
        <v>0</v>
      </c>
      <c r="BM432">
        <f t="shared" si="362"/>
        <v>-63.37819300564739</v>
      </c>
      <c r="BN432">
        <f t="shared" si="350"/>
        <v>-172.2764099503606</v>
      </c>
      <c r="BQ432" s="56">
        <f t="shared" si="363"/>
        <v>17.169642519262506</v>
      </c>
    </row>
    <row r="433" spans="1:69" x14ac:dyDescent="0.2">
      <c r="A433">
        <f t="shared" si="371"/>
        <v>1095000</v>
      </c>
      <c r="B433">
        <f t="shared" si="351"/>
        <v>1095</v>
      </c>
      <c r="C433">
        <f t="shared" si="320"/>
        <v>1.009051261219432</v>
      </c>
      <c r="D433">
        <f t="shared" si="321"/>
        <v>0.13404113770023424</v>
      </c>
      <c r="F433">
        <f t="shared" si="322"/>
        <v>4.4375757969499463E-5</v>
      </c>
      <c r="G433">
        <f t="shared" si="323"/>
        <v>1.359506042044176E-3</v>
      </c>
      <c r="H433">
        <f t="shared" si="324"/>
        <v>-3.1402331439579561</v>
      </c>
      <c r="J433">
        <f t="shared" si="325"/>
        <v>15</v>
      </c>
      <c r="M433">
        <f t="shared" si="326"/>
        <v>1.142233906691513E-3</v>
      </c>
      <c r="N433">
        <f t="shared" si="327"/>
        <v>-1.5707963250000001</v>
      </c>
      <c r="O433">
        <f t="shared" si="328"/>
        <v>215.03947259097546</v>
      </c>
      <c r="P433">
        <f t="shared" si="329"/>
        <v>1.5661460010095178</v>
      </c>
      <c r="Q433">
        <f t="shared" si="330"/>
        <v>186.92090310965534</v>
      </c>
      <c r="R433">
        <f t="shared" si="331"/>
        <v>1.5654464448202976</v>
      </c>
      <c r="S433">
        <f t="shared" si="332"/>
        <v>0.18595303420265485</v>
      </c>
      <c r="T433">
        <f t="shared" si="333"/>
        <v>-1.3837546018396558</v>
      </c>
      <c r="U433">
        <f t="shared" si="334"/>
        <v>0.18361372674924265</v>
      </c>
      <c r="V433">
        <f t="shared" si="335"/>
        <v>-1.3861349003716243</v>
      </c>
      <c r="X433">
        <f t="shared" si="352"/>
        <v>-59.552204157696494</v>
      </c>
      <c r="Y433">
        <f t="shared" si="336"/>
        <v>-241.51806243086722</v>
      </c>
      <c r="Z433">
        <f t="shared" si="353"/>
        <v>-61.518062430867218</v>
      </c>
      <c r="AC433">
        <v>1</v>
      </c>
      <c r="AD433">
        <f t="shared" si="337"/>
        <v>215.03714742389249</v>
      </c>
      <c r="AE433">
        <f t="shared" si="338"/>
        <v>-0.17753693721531227</v>
      </c>
      <c r="AF433">
        <f t="shared" si="339"/>
        <v>3.3162023694870001E-2</v>
      </c>
      <c r="AG433">
        <f t="shared" si="367"/>
        <v>213.1736766151385</v>
      </c>
      <c r="AH433">
        <f t="shared" si="368"/>
        <v>-1171.4062446432799</v>
      </c>
      <c r="AJ433">
        <f t="shared" si="340"/>
        <v>26400</v>
      </c>
      <c r="AK433">
        <f t="shared" si="341"/>
        <v>139495.15826104322</v>
      </c>
      <c r="AL433">
        <v>1</v>
      </c>
      <c r="AM433">
        <f t="shared" si="342"/>
        <v>186.91822816228802</v>
      </c>
      <c r="AN433">
        <f t="shared" si="369"/>
        <v>747.02398656980733</v>
      </c>
      <c r="AO433">
        <f t="shared" si="370"/>
        <v>-137.24170331401552</v>
      </c>
      <c r="AQ433">
        <f t="shared" si="343"/>
        <v>2.0850269833767054E-3</v>
      </c>
      <c r="AR433">
        <f t="shared" si="344"/>
        <v>-4.5662090935949848</v>
      </c>
      <c r="AT433">
        <f t="shared" si="365"/>
        <v>-5348.4413737162085</v>
      </c>
      <c r="AU433">
        <f t="shared" si="366"/>
        <v>-975.83799430369925</v>
      </c>
      <c r="AV433">
        <f t="shared" si="354"/>
        <v>-2.9611249319790689</v>
      </c>
      <c r="AW433">
        <f t="shared" si="355"/>
        <v>334.1309530670419</v>
      </c>
      <c r="AX433">
        <f t="shared" si="356"/>
        <v>-5285.2048719996837</v>
      </c>
      <c r="AY433">
        <f t="shared" si="364"/>
        <v>-1.5076602938893422</v>
      </c>
      <c r="BA433">
        <f t="shared" si="345"/>
        <v>1.0266210398703575</v>
      </c>
      <c r="BB433">
        <f t="shared" si="357"/>
        <v>0.22820321146901185</v>
      </c>
      <c r="BC433">
        <f t="shared" si="358"/>
        <v>-1.4534646380897267</v>
      </c>
      <c r="BD433">
        <f t="shared" si="346"/>
        <v>-263.27738952920924</v>
      </c>
      <c r="BF433">
        <f t="shared" si="347"/>
        <v>-63.228791332392369</v>
      </c>
      <c r="BG433">
        <f t="shared" si="348"/>
        <v>-255.5195040905576</v>
      </c>
      <c r="BH433">
        <f t="shared" si="359"/>
        <v>-75.519504090557604</v>
      </c>
      <c r="BI433">
        <f t="shared" si="360"/>
        <v>-75.519504090557604</v>
      </c>
      <c r="BJ433">
        <f t="shared" si="349"/>
        <v>0</v>
      </c>
      <c r="BK433">
        <f t="shared" si="361"/>
        <v>0</v>
      </c>
      <c r="BM433">
        <f t="shared" si="362"/>
        <v>-63.456994543861384</v>
      </c>
      <c r="BN433">
        <f t="shared" si="350"/>
        <v>-172.24211456134833</v>
      </c>
      <c r="BQ433" s="56">
        <f t="shared" si="363"/>
        <v>17.13016401175415</v>
      </c>
    </row>
    <row r="434" spans="1:69" x14ac:dyDescent="0.2">
      <c r="A434">
        <f>A433+5000</f>
        <v>1100000</v>
      </c>
      <c r="B434">
        <f t="shared" si="351"/>
        <v>1100</v>
      </c>
      <c r="C434">
        <f t="shared" si="320"/>
        <v>1.0091337349109875</v>
      </c>
      <c r="D434">
        <f t="shared" si="321"/>
        <v>0.13464584333540966</v>
      </c>
      <c r="F434">
        <f t="shared" si="322"/>
        <v>4.3973241501860421E-5</v>
      </c>
      <c r="G434">
        <f t="shared" si="323"/>
        <v>1.353325931667732E-3</v>
      </c>
      <c r="H434">
        <f t="shared" si="324"/>
        <v>-3.1402393240683324</v>
      </c>
      <c r="J434">
        <f t="shared" si="325"/>
        <v>15</v>
      </c>
      <c r="M434">
        <f t="shared" si="326"/>
        <v>1.1370419343883697E-3</v>
      </c>
      <c r="N434">
        <f t="shared" si="327"/>
        <v>-1.5707963250000001</v>
      </c>
      <c r="O434">
        <f t="shared" si="328"/>
        <v>216.02136680490517</v>
      </c>
      <c r="P434">
        <f t="shared" si="329"/>
        <v>1.5661671385513281</v>
      </c>
      <c r="Q434">
        <f t="shared" si="330"/>
        <v>187.77439884212848</v>
      </c>
      <c r="R434">
        <f t="shared" si="331"/>
        <v>1.5654707620047974</v>
      </c>
      <c r="S434">
        <f t="shared" si="332"/>
        <v>0.18513682818800273</v>
      </c>
      <c r="T434">
        <f t="shared" si="333"/>
        <v>-1.3845852311086446</v>
      </c>
      <c r="U434">
        <f t="shared" si="334"/>
        <v>0.18280707172185554</v>
      </c>
      <c r="V434">
        <f t="shared" si="335"/>
        <v>-1.3869554441736975</v>
      </c>
      <c r="X434">
        <f t="shared" si="352"/>
        <v>-59.667523050648434</v>
      </c>
      <c r="Y434">
        <f t="shared" si="336"/>
        <v>-241.57577032867232</v>
      </c>
      <c r="Z434">
        <f t="shared" si="353"/>
        <v>-61.57577032867232</v>
      </c>
      <c r="AC434">
        <v>1</v>
      </c>
      <c r="AD434">
        <f t="shared" si="337"/>
        <v>216.01905220665</v>
      </c>
      <c r="AE434">
        <f t="shared" si="338"/>
        <v>-0.17916198080150778</v>
      </c>
      <c r="AF434">
        <f t="shared" si="339"/>
        <v>3.3313448460599998E-2</v>
      </c>
      <c r="AG434">
        <f t="shared" si="367"/>
        <v>211.3047543141486</v>
      </c>
      <c r="AH434">
        <f t="shared" si="368"/>
        <v>-1166.4291789442368</v>
      </c>
      <c r="AJ434">
        <f t="shared" si="340"/>
        <v>26400</v>
      </c>
      <c r="AK434">
        <f t="shared" si="341"/>
        <v>140132.122454016</v>
      </c>
      <c r="AL434">
        <v>1</v>
      </c>
      <c r="AM434">
        <f t="shared" si="342"/>
        <v>187.77173605344004</v>
      </c>
      <c r="AN434">
        <f t="shared" si="369"/>
        <v>747.01732707499252</v>
      </c>
      <c r="AO434">
        <f t="shared" si="370"/>
        <v>-136.61791285576732</v>
      </c>
      <c r="AQ434">
        <f t="shared" si="343"/>
        <v>2.0661152755960172E-3</v>
      </c>
      <c r="AR434">
        <f t="shared" si="344"/>
        <v>-4.5454536063112387</v>
      </c>
      <c r="AT434">
        <f t="shared" si="365"/>
        <v>-5301.5131379580434</v>
      </c>
      <c r="AU434">
        <f t="shared" si="366"/>
        <v>-962.8859346724746</v>
      </c>
      <c r="AV434">
        <f t="shared" si="354"/>
        <v>-2.9619264137889219</v>
      </c>
      <c r="AW434">
        <f t="shared" si="355"/>
        <v>337.9333661506368</v>
      </c>
      <c r="AX434">
        <f t="shared" si="356"/>
        <v>-5261.4937272292464</v>
      </c>
      <c r="AY434">
        <f t="shared" si="364"/>
        <v>-1.506656778115584</v>
      </c>
      <c r="BA434">
        <f t="shared" si="345"/>
        <v>1.0219847055971918</v>
      </c>
      <c r="BB434">
        <f t="shared" si="357"/>
        <v>0.18888792919412337</v>
      </c>
      <c r="BC434">
        <f t="shared" si="358"/>
        <v>-1.4552696356733379</v>
      </c>
      <c r="BD434">
        <f t="shared" si="346"/>
        <v>-263.38080827289969</v>
      </c>
      <c r="BF434">
        <f t="shared" si="347"/>
        <v>-63.34654277658673</v>
      </c>
      <c r="BG434">
        <f t="shared" si="348"/>
        <v>-255.58862984770695</v>
      </c>
      <c r="BH434">
        <f t="shared" si="359"/>
        <v>-75.588629847706954</v>
      </c>
      <c r="BI434">
        <f t="shared" si="360"/>
        <v>-75.588629847706954</v>
      </c>
      <c r="BJ434">
        <f t="shared" si="349"/>
        <v>0</v>
      </c>
      <c r="BK434">
        <f t="shared" si="361"/>
        <v>0</v>
      </c>
      <c r="BM434">
        <f t="shared" si="362"/>
        <v>-63.535430705780854</v>
      </c>
      <c r="BN434">
        <f t="shared" si="350"/>
        <v>-172.2078215748073</v>
      </c>
      <c r="BQ434" s="56">
        <f t="shared" si="363"/>
        <v>17.090848729479259</v>
      </c>
    </row>
    <row r="435" spans="1:69" x14ac:dyDescent="0.2">
      <c r="A435">
        <f t="shared" ref="A435:A472" si="372">A434+5000</f>
        <v>1105000</v>
      </c>
      <c r="B435">
        <f t="shared" si="351"/>
        <v>1105</v>
      </c>
      <c r="C435">
        <f t="shared" si="320"/>
        <v>1.0092165775509812</v>
      </c>
      <c r="D435">
        <f t="shared" si="321"/>
        <v>0.13525044991580171</v>
      </c>
      <c r="F435">
        <f t="shared" si="322"/>
        <v>4.3576176998275517E-5</v>
      </c>
      <c r="G435">
        <f t="shared" si="323"/>
        <v>1.3472017571387442E-3</v>
      </c>
      <c r="H435">
        <f t="shared" si="324"/>
        <v>-3.1402454482428617</v>
      </c>
      <c r="J435">
        <f t="shared" si="325"/>
        <v>15</v>
      </c>
      <c r="M435">
        <f t="shared" si="326"/>
        <v>1.1318969482599155E-3</v>
      </c>
      <c r="N435">
        <f t="shared" si="327"/>
        <v>-1.5707963250000001</v>
      </c>
      <c r="O435">
        <f t="shared" si="328"/>
        <v>217.00326111447887</v>
      </c>
      <c r="P435">
        <f t="shared" si="329"/>
        <v>1.5661880848072478</v>
      </c>
      <c r="Q435">
        <f t="shared" si="330"/>
        <v>188.62789468463257</v>
      </c>
      <c r="R435">
        <f t="shared" si="331"/>
        <v>1.5654948591304922</v>
      </c>
      <c r="S435">
        <f t="shared" si="332"/>
        <v>0.18432763051408096</v>
      </c>
      <c r="T435">
        <f t="shared" si="333"/>
        <v>-1.38540859989818</v>
      </c>
      <c r="U435">
        <f t="shared" si="334"/>
        <v>0.18200735237433985</v>
      </c>
      <c r="V435">
        <f t="shared" si="335"/>
        <v>-1.3877688093140639</v>
      </c>
      <c r="X435">
        <f t="shared" si="352"/>
        <v>-59.782335989772413</v>
      </c>
      <c r="Y435">
        <f t="shared" si="336"/>
        <v>-241.63267696347629</v>
      </c>
      <c r="Z435">
        <f t="shared" si="353"/>
        <v>-61.632676963476285</v>
      </c>
      <c r="AC435">
        <v>1</v>
      </c>
      <c r="AD435">
        <f t="shared" si="337"/>
        <v>217.00095698940751</v>
      </c>
      <c r="AE435">
        <f t="shared" si="338"/>
        <v>-0.18079442777533969</v>
      </c>
      <c r="AF435">
        <f t="shared" si="339"/>
        <v>3.3464873226329996E-2</v>
      </c>
      <c r="AG435">
        <f t="shared" si="367"/>
        <v>209.46002398143563</v>
      </c>
      <c r="AH435">
        <f t="shared" si="368"/>
        <v>-1161.4926766538736</v>
      </c>
      <c r="AJ435">
        <f t="shared" si="340"/>
        <v>26400</v>
      </c>
      <c r="AK435">
        <f t="shared" si="341"/>
        <v>140769.08664698881</v>
      </c>
      <c r="AL435">
        <v>1</v>
      </c>
      <c r="AM435">
        <f t="shared" si="342"/>
        <v>188.625243944592</v>
      </c>
      <c r="AN435">
        <f t="shared" si="369"/>
        <v>747.01075777249127</v>
      </c>
      <c r="AO435">
        <f t="shared" si="370"/>
        <v>-135.99976708188109</v>
      </c>
      <c r="AQ435">
        <f t="shared" si="343"/>
        <v>2.0474597065048409E-3</v>
      </c>
      <c r="AR435">
        <f t="shared" si="344"/>
        <v>-4.5248859513756985</v>
      </c>
      <c r="AT435">
        <f t="shared" si="365"/>
        <v>-5255.1930342576434</v>
      </c>
      <c r="AU435">
        <f t="shared" si="366"/>
        <v>-950.16082934326414</v>
      </c>
      <c r="AV435">
        <f t="shared" si="354"/>
        <v>-2.9627208894397081</v>
      </c>
      <c r="AW435">
        <f t="shared" si="355"/>
        <v>341.68316931235773</v>
      </c>
      <c r="AX435">
        <f t="shared" si="356"/>
        <v>-5237.9931555307403</v>
      </c>
      <c r="AY435">
        <f t="shared" si="364"/>
        <v>-1.5056569208567694</v>
      </c>
      <c r="BA435">
        <f t="shared" si="345"/>
        <v>1.017388266783867</v>
      </c>
      <c r="BB435">
        <f t="shared" si="357"/>
        <v>0.14973449487458063</v>
      </c>
      <c r="BC435">
        <f t="shared" si="358"/>
        <v>-1.4570639685829387</v>
      </c>
      <c r="BD435">
        <f t="shared" si="346"/>
        <v>-263.48361597577872</v>
      </c>
      <c r="BF435">
        <f t="shared" si="347"/>
        <v>-63.4637702843022</v>
      </c>
      <c r="BG435">
        <f t="shared" si="348"/>
        <v>-255.65714703457806</v>
      </c>
      <c r="BH435">
        <f t="shared" si="359"/>
        <v>-75.65714703457806</v>
      </c>
      <c r="BI435">
        <f t="shared" si="360"/>
        <v>-75.65714703457806</v>
      </c>
      <c r="BJ435">
        <f t="shared" si="349"/>
        <v>0</v>
      </c>
      <c r="BK435">
        <f t="shared" si="361"/>
        <v>0</v>
      </c>
      <c r="BM435">
        <f t="shared" si="362"/>
        <v>-63.613504779176786</v>
      </c>
      <c r="BN435">
        <f t="shared" si="350"/>
        <v>-172.17353105879937</v>
      </c>
      <c r="BQ435" s="56">
        <f t="shared" si="363"/>
        <v>17.051695295159718</v>
      </c>
    </row>
    <row r="436" spans="1:69" x14ac:dyDescent="0.2">
      <c r="A436">
        <f t="shared" si="372"/>
        <v>1110000</v>
      </c>
      <c r="B436">
        <f t="shared" si="351"/>
        <v>1110</v>
      </c>
      <c r="C436">
        <f t="shared" si="320"/>
        <v>1.0092997890485638</v>
      </c>
      <c r="D436">
        <f t="shared" si="321"/>
        <v>0.13585495702382924</v>
      </c>
      <c r="F436">
        <f t="shared" si="322"/>
        <v>4.3184466439797429E-5</v>
      </c>
      <c r="G436">
        <f t="shared" si="323"/>
        <v>1.3411327624376817E-3</v>
      </c>
      <c r="H436">
        <f t="shared" si="324"/>
        <v>-3.1402515172375627</v>
      </c>
      <c r="J436">
        <f t="shared" si="325"/>
        <v>15</v>
      </c>
      <c r="M436">
        <f t="shared" si="326"/>
        <v>1.1267983133578438E-3</v>
      </c>
      <c r="N436">
        <f t="shared" si="327"/>
        <v>-1.5707963250000001</v>
      </c>
      <c r="O436">
        <f t="shared" si="328"/>
        <v>217.98515551840407</v>
      </c>
      <c r="P436">
        <f t="shared" si="329"/>
        <v>1.5662088423621485</v>
      </c>
      <c r="Q436">
        <f t="shared" si="330"/>
        <v>189.48139063568081</v>
      </c>
      <c r="R436">
        <f t="shared" si="331"/>
        <v>1.5655187391710386</v>
      </c>
      <c r="S436">
        <f t="shared" si="332"/>
        <v>0.18352535295471575</v>
      </c>
      <c r="T436">
        <f t="shared" si="333"/>
        <v>-1.386224801887241</v>
      </c>
      <c r="U436">
        <f t="shared" si="334"/>
        <v>0.18121448123325559</v>
      </c>
      <c r="V436">
        <f t="shared" si="335"/>
        <v>-1.388575088525773</v>
      </c>
      <c r="X436">
        <f t="shared" si="352"/>
        <v>-59.896647216571566</v>
      </c>
      <c r="Y436">
        <f t="shared" si="336"/>
        <v>-241.68879276466373</v>
      </c>
      <c r="Z436">
        <f t="shared" si="353"/>
        <v>-61.688792764663731</v>
      </c>
      <c r="AC436">
        <v>1</v>
      </c>
      <c r="AD436">
        <f t="shared" si="337"/>
        <v>217.98286177216502</v>
      </c>
      <c r="AE436">
        <f t="shared" si="338"/>
        <v>-0.18243427813680804</v>
      </c>
      <c r="AF436">
        <f t="shared" si="339"/>
        <v>3.361629799206E-2</v>
      </c>
      <c r="AG436">
        <f t="shared" si="367"/>
        <v>207.63907473255469</v>
      </c>
      <c r="AH436">
        <f t="shared" si="368"/>
        <v>-1156.5962653297436</v>
      </c>
      <c r="AJ436">
        <f t="shared" si="340"/>
        <v>26400</v>
      </c>
      <c r="AK436">
        <f t="shared" si="341"/>
        <v>141406.05083996162</v>
      </c>
      <c r="AL436">
        <v>1</v>
      </c>
      <c r="AM436">
        <f t="shared" si="342"/>
        <v>189.47875183574402</v>
      </c>
      <c r="AN436">
        <f t="shared" si="369"/>
        <v>747.00427704095773</v>
      </c>
      <c r="AO436">
        <f t="shared" si="370"/>
        <v>-135.38718972139526</v>
      </c>
      <c r="AQ436">
        <f t="shared" si="343"/>
        <v>2.0290556714033618E-3</v>
      </c>
      <c r="AR436">
        <f t="shared" si="344"/>
        <v>-4.5045035905154629</v>
      </c>
      <c r="AT436">
        <f t="shared" si="365"/>
        <v>-5209.4707187124141</v>
      </c>
      <c r="AU436">
        <f t="shared" si="366"/>
        <v>-937.65775587579242</v>
      </c>
      <c r="AV436">
        <f t="shared" si="354"/>
        <v>-2.9635084493334336</v>
      </c>
      <c r="AW436">
        <f t="shared" si="355"/>
        <v>345.38133214157563</v>
      </c>
      <c r="AX436">
        <f t="shared" si="356"/>
        <v>-5214.7003786422483</v>
      </c>
      <c r="AY436">
        <f t="shared" si="364"/>
        <v>-1.5046606712703281</v>
      </c>
      <c r="BA436">
        <f t="shared" si="345"/>
        <v>1.0128312143845095</v>
      </c>
      <c r="BB436">
        <f t="shared" si="357"/>
        <v>0.11074154750295837</v>
      </c>
      <c r="BC436">
        <f t="shared" si="358"/>
        <v>-1.4588477780631055</v>
      </c>
      <c r="BD436">
        <f t="shared" si="346"/>
        <v>-263.58582073056448</v>
      </c>
      <c r="BF436">
        <f t="shared" si="347"/>
        <v>-63.580478459806756</v>
      </c>
      <c r="BG436">
        <f t="shared" si="348"/>
        <v>-255.72506381113124</v>
      </c>
      <c r="BH436">
        <f t="shared" si="359"/>
        <v>-75.725063811131236</v>
      </c>
      <c r="BI436">
        <f t="shared" si="360"/>
        <v>-75.725063811131236</v>
      </c>
      <c r="BJ436">
        <f t="shared" si="349"/>
        <v>0</v>
      </c>
      <c r="BK436">
        <f t="shared" si="361"/>
        <v>0</v>
      </c>
      <c r="BM436">
        <f t="shared" si="362"/>
        <v>-63.691220007309717</v>
      </c>
      <c r="BN436">
        <f t="shared" si="350"/>
        <v>-172.13924308056679</v>
      </c>
      <c r="BQ436" s="56">
        <f t="shared" si="363"/>
        <v>17.012702347788096</v>
      </c>
    </row>
    <row r="437" spans="1:69" x14ac:dyDescent="0.2">
      <c r="A437">
        <f t="shared" si="372"/>
        <v>1115000</v>
      </c>
      <c r="B437">
        <f t="shared" si="351"/>
        <v>1115</v>
      </c>
      <c r="C437">
        <f t="shared" si="320"/>
        <v>1.0093833693125118</v>
      </c>
      <c r="D437">
        <f t="shared" si="321"/>
        <v>0.13645936424233937</v>
      </c>
      <c r="F437">
        <f t="shared" si="322"/>
        <v>4.2798014000459367E-5</v>
      </c>
      <c r="G437">
        <f t="shared" si="323"/>
        <v>1.3351182051087917E-3</v>
      </c>
      <c r="H437">
        <f t="shared" si="324"/>
        <v>-3.1402575317948913</v>
      </c>
      <c r="J437">
        <f t="shared" si="325"/>
        <v>15</v>
      </c>
      <c r="M437">
        <f t="shared" si="326"/>
        <v>1.1217454061230553E-3</v>
      </c>
      <c r="N437">
        <f t="shared" si="327"/>
        <v>-1.5707963250000001</v>
      </c>
      <c r="O437">
        <f t="shared" si="328"/>
        <v>218.9670500154115</v>
      </c>
      <c r="P437">
        <f t="shared" si="329"/>
        <v>1.5662294137545381</v>
      </c>
      <c r="Q437">
        <f t="shared" si="330"/>
        <v>190.3348866938129</v>
      </c>
      <c r="R437">
        <f t="shared" si="331"/>
        <v>1.5655424050467563</v>
      </c>
      <c r="S437">
        <f t="shared" si="332"/>
        <v>0.18272990872922548</v>
      </c>
      <c r="T437">
        <f t="shared" si="333"/>
        <v>-1.3870339291692655</v>
      </c>
      <c r="U437">
        <f t="shared" si="334"/>
        <v>0.18042837226182204</v>
      </c>
      <c r="V437">
        <f t="shared" si="335"/>
        <v>-1.3893743729699848</v>
      </c>
      <c r="X437">
        <f t="shared" si="352"/>
        <v>-60.010460920450839</v>
      </c>
      <c r="Y437">
        <f t="shared" si="336"/>
        <v>-241.74412798562261</v>
      </c>
      <c r="Z437">
        <f t="shared" si="353"/>
        <v>-61.744127985622612</v>
      </c>
      <c r="AC437">
        <v>1</v>
      </c>
      <c r="AD437">
        <f t="shared" si="337"/>
        <v>218.96476655492251</v>
      </c>
      <c r="AE437">
        <f t="shared" si="338"/>
        <v>-0.18408153188591281</v>
      </c>
      <c r="AF437">
        <f t="shared" si="339"/>
        <v>3.3767722757789997E-2</v>
      </c>
      <c r="AG437">
        <f t="shared" si="367"/>
        <v>205.84150426380666</v>
      </c>
      <c r="AH437">
        <f t="shared" si="368"/>
        <v>-1151.7394794296615</v>
      </c>
      <c r="AJ437">
        <f t="shared" si="340"/>
        <v>26400</v>
      </c>
      <c r="AK437">
        <f t="shared" si="341"/>
        <v>142043.01503293443</v>
      </c>
      <c r="AL437">
        <v>1</v>
      </c>
      <c r="AM437">
        <f t="shared" si="342"/>
        <v>190.33225972689601</v>
      </c>
      <c r="AN437">
        <f t="shared" si="369"/>
        <v>746.99788329531623</v>
      </c>
      <c r="AO437">
        <f t="shared" si="370"/>
        <v>-134.78010587124675</v>
      </c>
      <c r="AQ437">
        <f t="shared" si="343"/>
        <v>2.0108986686041006E-3</v>
      </c>
      <c r="AR437">
        <f t="shared" si="344"/>
        <v>-4.4843040309871443</v>
      </c>
      <c r="AT437">
        <f t="shared" si="365"/>
        <v>-5164.3360638465992</v>
      </c>
      <c r="AU437">
        <f t="shared" si="366"/>
        <v>-925.37191870040942</v>
      </c>
      <c r="AV437">
        <f t="shared" si="354"/>
        <v>-2.9642891823420245</v>
      </c>
      <c r="AW437">
        <f t="shared" si="355"/>
        <v>349.02880193138753</v>
      </c>
      <c r="AX437">
        <f t="shared" si="356"/>
        <v>-5191.6126667482722</v>
      </c>
      <c r="AY437">
        <f t="shared" si="364"/>
        <v>-1.5036679795043899</v>
      </c>
      <c r="BA437">
        <f t="shared" si="345"/>
        <v>1.0083130478242703</v>
      </c>
      <c r="BB437">
        <f t="shared" si="357"/>
        <v>7.1907742105076444E-2</v>
      </c>
      <c r="BC437">
        <f t="shared" si="358"/>
        <v>-1.4606212028376346</v>
      </c>
      <c r="BD437">
        <f t="shared" si="346"/>
        <v>-263.68743048554506</v>
      </c>
      <c r="BF437">
        <f t="shared" si="347"/>
        <v>-63.696671847625254</v>
      </c>
      <c r="BG437">
        <f t="shared" si="348"/>
        <v>-255.79238819209533</v>
      </c>
      <c r="BH437">
        <f t="shared" si="359"/>
        <v>-75.792388192095331</v>
      </c>
      <c r="BI437">
        <f t="shared" si="360"/>
        <v>-75.792388192095331</v>
      </c>
      <c r="BJ437">
        <f t="shared" si="349"/>
        <v>0</v>
      </c>
      <c r="BK437">
        <f t="shared" si="361"/>
        <v>0</v>
      </c>
      <c r="BM437">
        <f t="shared" si="362"/>
        <v>-63.768579589730322</v>
      </c>
      <c r="BN437">
        <f t="shared" si="350"/>
        <v>-172.10495770655029</v>
      </c>
      <c r="BQ437" s="56">
        <f t="shared" si="363"/>
        <v>16.973868542390214</v>
      </c>
    </row>
    <row r="438" spans="1:69" x14ac:dyDescent="0.2">
      <c r="A438">
        <f t="shared" si="372"/>
        <v>1120000</v>
      </c>
      <c r="B438">
        <f t="shared" si="351"/>
        <v>1120</v>
      </c>
      <c r="C438">
        <f t="shared" si="320"/>
        <v>1.0094673182512279</v>
      </c>
      <c r="D438">
        <f t="shared" si="321"/>
        <v>0.13706367115460882</v>
      </c>
      <c r="F438">
        <f t="shared" si="322"/>
        <v>4.2416725988660344E-5</v>
      </c>
      <c r="G438">
        <f t="shared" si="323"/>
        <v>1.3291573559572583E-3</v>
      </c>
      <c r="H438">
        <f t="shared" si="324"/>
        <v>-3.1402634926440429</v>
      </c>
      <c r="J438">
        <f t="shared" si="325"/>
        <v>15</v>
      </c>
      <c r="M438">
        <f t="shared" si="326"/>
        <v>1.1167376141314345E-3</v>
      </c>
      <c r="N438">
        <f t="shared" si="327"/>
        <v>-1.5707963250000001</v>
      </c>
      <c r="O438">
        <f t="shared" si="328"/>
        <v>219.94894460425456</v>
      </c>
      <c r="P438">
        <f t="shared" si="329"/>
        <v>1.5662498014775947</v>
      </c>
      <c r="Q438">
        <f t="shared" si="330"/>
        <v>191.1883828575948</v>
      </c>
      <c r="R438">
        <f t="shared" si="331"/>
        <v>1.5655658596258191</v>
      </c>
      <c r="S438">
        <f t="shared" si="332"/>
        <v>0.18194121247358611</v>
      </c>
      <c r="T438">
        <f t="shared" si="333"/>
        <v>-1.3878360722851391</v>
      </c>
      <c r="U438">
        <f t="shared" si="334"/>
        <v>0.17964894083116817</v>
      </c>
      <c r="V438">
        <f t="shared" si="335"/>
        <v>-1.3901667522687318</v>
      </c>
      <c r="X438">
        <f t="shared" si="352"/>
        <v>-60.123781239544634</v>
      </c>
      <c r="Y438">
        <f t="shared" si="336"/>
        <v>-241.79869270740124</v>
      </c>
      <c r="Z438">
        <f t="shared" si="353"/>
        <v>-61.798692707401244</v>
      </c>
      <c r="AC438">
        <v>1</v>
      </c>
      <c r="AD438">
        <f t="shared" si="337"/>
        <v>219.94667133768002</v>
      </c>
      <c r="AE438">
        <f t="shared" si="338"/>
        <v>-0.18573618902265401</v>
      </c>
      <c r="AF438">
        <f t="shared" si="339"/>
        <v>3.3919147523519995E-2</v>
      </c>
      <c r="AG438">
        <f t="shared" si="367"/>
        <v>204.06691864085127</v>
      </c>
      <c r="AH438">
        <f t="shared" si="368"/>
        <v>-1146.9218601962832</v>
      </c>
      <c r="AJ438">
        <f t="shared" si="340"/>
        <v>26400</v>
      </c>
      <c r="AK438">
        <f t="shared" si="341"/>
        <v>142679.97922590721</v>
      </c>
      <c r="AL438">
        <v>1</v>
      </c>
      <c r="AM438">
        <f t="shared" si="342"/>
        <v>191.18576761804803</v>
      </c>
      <c r="AN438">
        <f t="shared" si="369"/>
        <v>746.99157498579007</v>
      </c>
      <c r="AO438">
        <f t="shared" si="370"/>
        <v>-134.17844196574259</v>
      </c>
      <c r="AQ438">
        <f t="shared" si="343"/>
        <v>1.992984296678831E-3</v>
      </c>
      <c r="AR438">
        <f t="shared" si="344"/>
        <v>-4.4642848245605817</v>
      </c>
      <c r="AT438">
        <f t="shared" si="365"/>
        <v>-5119.779153266737</v>
      </c>
      <c r="AU438">
        <f t="shared" si="366"/>
        <v>-913.29864534008004</v>
      </c>
      <c r="AV438">
        <f t="shared" si="354"/>
        <v>-2.965063175839159</v>
      </c>
      <c r="AW438">
        <f t="shared" si="355"/>
        <v>352.62650429226579</v>
      </c>
      <c r="AX438">
        <f t="shared" si="356"/>
        <v>-5168.7273374320075</v>
      </c>
      <c r="AY438">
        <f t="shared" si="364"/>
        <v>-1.5026787966739492</v>
      </c>
      <c r="BA438">
        <f t="shared" si="345"/>
        <v>1.0038332748277579</v>
      </c>
      <c r="BB438">
        <f t="shared" si="357"/>
        <v>3.3231749506307535E-2</v>
      </c>
      <c r="BC438">
        <f t="shared" si="358"/>
        <v>-1.4623843791652098</v>
      </c>
      <c r="BD438">
        <f t="shared" si="346"/>
        <v>-263.78845304776792</v>
      </c>
      <c r="BF438">
        <f t="shared" si="347"/>
        <v>-63.812354933555568</v>
      </c>
      <c r="BG438">
        <f t="shared" si="348"/>
        <v>-255.85912805017409</v>
      </c>
      <c r="BH438">
        <f t="shared" si="359"/>
        <v>-75.859128050174093</v>
      </c>
      <c r="BI438">
        <f t="shared" si="360"/>
        <v>-75.859128050174093</v>
      </c>
      <c r="BJ438">
        <f t="shared" si="349"/>
        <v>0</v>
      </c>
      <c r="BK438">
        <f t="shared" si="361"/>
        <v>0</v>
      </c>
      <c r="BM438">
        <f t="shared" si="362"/>
        <v>-63.845586683061875</v>
      </c>
      <c r="BN438">
        <f t="shared" si="350"/>
        <v>-172.0706750024062</v>
      </c>
      <c r="BQ438" s="56">
        <f t="shared" si="363"/>
        <v>16.935192549791445</v>
      </c>
    </row>
    <row r="439" spans="1:69" x14ac:dyDescent="0.2">
      <c r="A439">
        <f t="shared" si="372"/>
        <v>1125000</v>
      </c>
      <c r="B439">
        <f t="shared" si="351"/>
        <v>1125</v>
      </c>
      <c r="C439">
        <f t="shared" si="320"/>
        <v>1.009551635772741</v>
      </c>
      <c r="D439">
        <f t="shared" si="321"/>
        <v>0.13766787734434582</v>
      </c>
      <c r="F439">
        <f t="shared" si="322"/>
        <v>4.2040510790370095E-5</v>
      </c>
      <c r="G439">
        <f t="shared" si="323"/>
        <v>1.3232494987544408E-3</v>
      </c>
      <c r="H439">
        <f t="shared" si="324"/>
        <v>-3.1402694005012459</v>
      </c>
      <c r="J439">
        <f t="shared" si="325"/>
        <v>15</v>
      </c>
      <c r="M439">
        <f t="shared" si="326"/>
        <v>1.1117743358464059E-3</v>
      </c>
      <c r="N439">
        <f t="shared" si="327"/>
        <v>-1.5707963250000001</v>
      </c>
      <c r="O439">
        <f t="shared" si="328"/>
        <v>220.93083928370879</v>
      </c>
      <c r="P439">
        <f t="shared" si="329"/>
        <v>1.5662700079801761</v>
      </c>
      <c r="Q439">
        <f t="shared" si="330"/>
        <v>192.0418791256179</v>
      </c>
      <c r="R439">
        <f t="shared" si="331"/>
        <v>1.5655891057254128</v>
      </c>
      <c r="S439">
        <f t="shared" si="332"/>
        <v>0.18115918021226679</v>
      </c>
      <c r="T439">
        <f t="shared" si="333"/>
        <v>-1.3886313202553724</v>
      </c>
      <c r="U439">
        <f t="shared" si="334"/>
        <v>0.17887610369225521</v>
      </c>
      <c r="V439">
        <f t="shared" si="335"/>
        <v>-1.3909523145368792</v>
      </c>
      <c r="X439">
        <f t="shared" si="352"/>
        <v>-60.23661226152845</v>
      </c>
      <c r="Y439">
        <f t="shared" si="336"/>
        <v>-241.8524968422756</v>
      </c>
      <c r="Z439">
        <f t="shared" si="353"/>
        <v>-61.852496842275599</v>
      </c>
      <c r="AC439">
        <v>1</v>
      </c>
      <c r="AD439">
        <f t="shared" si="337"/>
        <v>220.92857612043747</v>
      </c>
      <c r="AE439">
        <f t="shared" si="338"/>
        <v>-0.18739824954703163</v>
      </c>
      <c r="AF439">
        <f t="shared" si="339"/>
        <v>3.4070572289249999E-2</v>
      </c>
      <c r="AG439">
        <f t="shared" si="367"/>
        <v>202.3149320932869</v>
      </c>
      <c r="AH439">
        <f t="shared" si="368"/>
        <v>-1142.1429555436782</v>
      </c>
      <c r="AJ439">
        <f t="shared" si="340"/>
        <v>26400</v>
      </c>
      <c r="AK439">
        <f t="shared" si="341"/>
        <v>143316.94341887999</v>
      </c>
      <c r="AL439">
        <v>1</v>
      </c>
      <c r="AM439">
        <f t="shared" si="342"/>
        <v>192.03927550920002</v>
      </c>
      <c r="AN439">
        <f t="shared" si="369"/>
        <v>746.98535059696451</v>
      </c>
      <c r="AO439">
        <f t="shared" si="370"/>
        <v>-133.58212574684535</v>
      </c>
      <c r="AQ439">
        <f t="shared" si="343"/>
        <v>1.9753082517909625E-3</v>
      </c>
      <c r="AR439">
        <f t="shared" si="344"/>
        <v>-4.4444435665296655</v>
      </c>
      <c r="AT439">
        <f t="shared" si="365"/>
        <v>-5075.7902764684541</v>
      </c>
      <c r="AU439">
        <f t="shared" si="366"/>
        <v>-901.43338275970552</v>
      </c>
      <c r="AV439">
        <f t="shared" si="354"/>
        <v>-2.9658305157313154</v>
      </c>
      <c r="AW439">
        <f t="shared" si="355"/>
        <v>356.17534374607635</v>
      </c>
      <c r="AX439">
        <f t="shared" si="356"/>
        <v>-5146.0417546546378</v>
      </c>
      <c r="AY439">
        <f t="shared" si="364"/>
        <v>-1.5016930748377082</v>
      </c>
      <c r="BA439">
        <f t="shared" si="345"/>
        <v>0.99939141125151176</v>
      </c>
      <c r="BB439">
        <f t="shared" si="357"/>
        <v>-5.2877438983136597E-3</v>
      </c>
      <c r="BC439">
        <f t="shared" si="358"/>
        <v>-1.4641374408936072</v>
      </c>
      <c r="BD439">
        <f t="shared" si="346"/>
        <v>-263.88889608614573</v>
      </c>
      <c r="BF439">
        <f t="shared" si="347"/>
        <v>-63.927532145663704</v>
      </c>
      <c r="BG439">
        <f t="shared" si="348"/>
        <v>-255.92529111916889</v>
      </c>
      <c r="BH439">
        <f t="shared" si="359"/>
        <v>-75.92529111916889</v>
      </c>
      <c r="BI439">
        <f t="shared" si="360"/>
        <v>-75.92529111916889</v>
      </c>
      <c r="BJ439">
        <f t="shared" si="349"/>
        <v>0</v>
      </c>
      <c r="BK439">
        <f t="shared" si="361"/>
        <v>0</v>
      </c>
      <c r="BM439">
        <f t="shared" si="362"/>
        <v>-63.922244401765397</v>
      </c>
      <c r="BN439">
        <f t="shared" si="350"/>
        <v>-172.03639503302313</v>
      </c>
      <c r="BQ439" s="56">
        <f t="shared" si="363"/>
        <v>16.89667305638682</v>
      </c>
    </row>
    <row r="440" spans="1:69" x14ac:dyDescent="0.2">
      <c r="A440">
        <f t="shared" si="372"/>
        <v>1130000</v>
      </c>
      <c r="B440">
        <f t="shared" si="351"/>
        <v>1130</v>
      </c>
      <c r="C440">
        <f t="shared" si="320"/>
        <v>1.0096363217847064</v>
      </c>
      <c r="D440">
        <f t="shared" si="321"/>
        <v>0.13827198239569152</v>
      </c>
      <c r="F440">
        <f t="shared" si="322"/>
        <v>4.1669278814089407E-5</v>
      </c>
      <c r="G440">
        <f t="shared" si="323"/>
        <v>1.3173939299509418E-3</v>
      </c>
      <c r="H440">
        <f t="shared" si="324"/>
        <v>-3.1402752560700491</v>
      </c>
      <c r="J440">
        <f t="shared" si="325"/>
        <v>15</v>
      </c>
      <c r="M440">
        <f t="shared" si="326"/>
        <v>1.1068549803780591E-3</v>
      </c>
      <c r="N440">
        <f t="shared" si="327"/>
        <v>-1.5707963250000001</v>
      </c>
      <c r="O440">
        <f t="shared" si="328"/>
        <v>221.91273405257141</v>
      </c>
      <c r="P440">
        <f t="shared" si="329"/>
        <v>1.566290035667798</v>
      </c>
      <c r="Q440">
        <f t="shared" si="330"/>
        <v>192.89537549649839</v>
      </c>
      <c r="R440">
        <f t="shared" si="331"/>
        <v>1.5656121461128645</v>
      </c>
      <c r="S440">
        <f t="shared" si="332"/>
        <v>0.18038372933071845</v>
      </c>
      <c r="T440">
        <f t="shared" si="333"/>
        <v>-1.3894197606114924</v>
      </c>
      <c r="U440">
        <f t="shared" si="334"/>
        <v>0.17810977894845159</v>
      </c>
      <c r="V440">
        <f t="shared" si="335"/>
        <v>-1.3917311464132995</v>
      </c>
      <c r="X440">
        <f t="shared" si="352"/>
        <v>-60.348958024415055</v>
      </c>
      <c r="Y440">
        <f t="shared" si="336"/>
        <v>-241.90555013722982</v>
      </c>
      <c r="Z440">
        <f t="shared" si="353"/>
        <v>-61.905550137229824</v>
      </c>
      <c r="AC440">
        <v>1</v>
      </c>
      <c r="AD440">
        <f t="shared" si="337"/>
        <v>221.91048090319498</v>
      </c>
      <c r="AE440">
        <f t="shared" si="338"/>
        <v>-0.18906771345904572</v>
      </c>
      <c r="AF440">
        <f t="shared" si="339"/>
        <v>3.4221997054979997E-2</v>
      </c>
      <c r="AG440">
        <f t="shared" si="367"/>
        <v>200.58516681500836</v>
      </c>
      <c r="AH440">
        <f t="shared" si="368"/>
        <v>-1137.4023199458672</v>
      </c>
      <c r="AJ440">
        <f t="shared" si="340"/>
        <v>26400</v>
      </c>
      <c r="AK440">
        <f t="shared" si="341"/>
        <v>143953.9076118528</v>
      </c>
      <c r="AL440">
        <v>1</v>
      </c>
      <c r="AM440">
        <f t="shared" si="342"/>
        <v>192.89278340035202</v>
      </c>
      <c r="AN440">
        <f t="shared" si="369"/>
        <v>746.97920864687524</v>
      </c>
      <c r="AO440">
        <f t="shared" si="370"/>
        <v>-132.99108623524748</v>
      </c>
      <c r="AQ440">
        <f t="shared" si="343"/>
        <v>1.95786632511036E-3</v>
      </c>
      <c r="AR440">
        <f t="shared" si="344"/>
        <v>-4.4247778947494139</v>
      </c>
      <c r="AT440">
        <f t="shared" si="365"/>
        <v>-5032.3599237897506</v>
      </c>
      <c r="AU440">
        <f t="shared" si="366"/>
        <v>-889.77169383799708</v>
      </c>
      <c r="AV440">
        <f t="shared" si="354"/>
        <v>-2.9665912864880655</v>
      </c>
      <c r="AW440">
        <f t="shared" si="355"/>
        <v>359.6762043011679</v>
      </c>
      <c r="AX440">
        <f t="shared" si="356"/>
        <v>-5123.5533277608047</v>
      </c>
      <c r="AY440">
        <f t="shared" si="364"/>
        <v>-1.5007107669755848</v>
      </c>
      <c r="BA440">
        <f t="shared" si="345"/>
        <v>0.99498698092040538</v>
      </c>
      <c r="BB440">
        <f t="shared" si="357"/>
        <v>-4.3652036370282053E-2</v>
      </c>
      <c r="BC440">
        <f t="shared" si="358"/>
        <v>-1.4658805195124807</v>
      </c>
      <c r="BD440">
        <f t="shared" si="346"/>
        <v>-263.98876713448084</v>
      </c>
      <c r="BF440">
        <f t="shared" si="347"/>
        <v>-64.042207855258113</v>
      </c>
      <c r="BG440">
        <f t="shared" si="348"/>
        <v>-255.99088499701921</v>
      </c>
      <c r="BH440">
        <f t="shared" si="359"/>
        <v>-75.990884997019208</v>
      </c>
      <c r="BI440">
        <f t="shared" si="360"/>
        <v>-75.990884997019208</v>
      </c>
      <c r="BJ440">
        <f t="shared" si="349"/>
        <v>0</v>
      </c>
      <c r="BK440">
        <f t="shared" si="361"/>
        <v>0</v>
      </c>
      <c r="BM440">
        <f t="shared" si="362"/>
        <v>-63.998555818887837</v>
      </c>
      <c r="BN440">
        <f t="shared" si="350"/>
        <v>-172.0021178625384</v>
      </c>
      <c r="BQ440" s="56">
        <f t="shared" si="363"/>
        <v>16.858308763914856</v>
      </c>
    </row>
    <row r="441" spans="1:69" x14ac:dyDescent="0.2">
      <c r="A441">
        <f t="shared" si="372"/>
        <v>1135000</v>
      </c>
      <c r="B441">
        <f t="shared" si="351"/>
        <v>1135</v>
      </c>
      <c r="C441">
        <f t="shared" si="320"/>
        <v>1.0097213761944079</v>
      </c>
      <c r="D441">
        <f t="shared" si="321"/>
        <v>0.13887598589322139</v>
      </c>
      <c r="F441">
        <f t="shared" si="322"/>
        <v>4.1302942437504242E-5</v>
      </c>
      <c r="G441">
        <f t="shared" si="323"/>
        <v>1.3115899583972569E-3</v>
      </c>
      <c r="H441">
        <f t="shared" si="324"/>
        <v>-3.1402810600416031</v>
      </c>
      <c r="J441">
        <f t="shared" si="325"/>
        <v>15</v>
      </c>
      <c r="M441">
        <f t="shared" si="326"/>
        <v>1.1019789672486403E-3</v>
      </c>
      <c r="N441">
        <f t="shared" si="327"/>
        <v>-1.5707963250000001</v>
      </c>
      <c r="O441">
        <f t="shared" si="328"/>
        <v>222.89462890966084</v>
      </c>
      <c r="P441">
        <f t="shared" si="329"/>
        <v>1.5663098869035896</v>
      </c>
      <c r="Q441">
        <f t="shared" si="330"/>
        <v>193.74887196887707</v>
      </c>
      <c r="R441">
        <f t="shared" si="331"/>
        <v>1.5656349835067396</v>
      </c>
      <c r="S441">
        <f t="shared" si="332"/>
        <v>0.179614778548497</v>
      </c>
      <c r="T441">
        <f t="shared" si="333"/>
        <v>-1.3902014794266702</v>
      </c>
      <c r="U441">
        <f t="shared" si="334"/>
        <v>0.17734988602874402</v>
      </c>
      <c r="V441">
        <f t="shared" si="335"/>
        <v>-1.3925033330912868</v>
      </c>
      <c r="X441">
        <f t="shared" si="352"/>
        <v>-60.460822517335508</v>
      </c>
      <c r="Y441">
        <f t="shared" si="336"/>
        <v>-241.95786217735184</v>
      </c>
      <c r="Z441">
        <f t="shared" si="353"/>
        <v>-61.957862177351842</v>
      </c>
      <c r="AC441">
        <v>1</v>
      </c>
      <c r="AD441">
        <f t="shared" si="337"/>
        <v>222.89238568595249</v>
      </c>
      <c r="AE441">
        <f t="shared" si="338"/>
        <v>-0.19074458075869616</v>
      </c>
      <c r="AF441">
        <f t="shared" si="339"/>
        <v>3.4373421820710001E-2</v>
      </c>
      <c r="AG441">
        <f t="shared" si="367"/>
        <v>198.87725277016133</v>
      </c>
      <c r="AH441">
        <f t="shared" si="368"/>
        <v>-1132.6995143273011</v>
      </c>
      <c r="AJ441">
        <f t="shared" si="340"/>
        <v>26400</v>
      </c>
      <c r="AK441">
        <f t="shared" si="341"/>
        <v>144590.87180482561</v>
      </c>
      <c r="AL441">
        <v>1</v>
      </c>
      <c r="AM441">
        <f t="shared" si="342"/>
        <v>193.74629129150401</v>
      </c>
      <c r="AN441">
        <f t="shared" si="369"/>
        <v>746.97314768612614</v>
      </c>
      <c r="AO441">
        <f t="shared" si="370"/>
        <v>-132.40525370221002</v>
      </c>
      <c r="AQ441">
        <f t="shared" si="343"/>
        <v>1.9406544003077101E-3</v>
      </c>
      <c r="AR441">
        <f t="shared" si="344"/>
        <v>-4.4052854886985022</v>
      </c>
      <c r="AT441">
        <f t="shared" si="365"/>
        <v>-4989.4787815061918</v>
      </c>
      <c r="AU441">
        <f t="shared" si="366"/>
        <v>-878.3092539573214</v>
      </c>
      <c r="AV441">
        <f t="shared" si="354"/>
        <v>-2.9673455711716263</v>
      </c>
      <c r="AW441">
        <f t="shared" si="355"/>
        <v>363.12995000922956</v>
      </c>
      <c r="AX441">
        <f t="shared" si="356"/>
        <v>-5101.2595105095188</v>
      </c>
      <c r="AY441">
        <f t="shared" si="364"/>
        <v>-1.4997318269668543</v>
      </c>
      <c r="BA441">
        <f t="shared" si="345"/>
        <v>0.99061951546787674</v>
      </c>
      <c r="BB441">
        <f t="shared" si="357"/>
        <v>-8.1862411050142747E-2</v>
      </c>
      <c r="BC441">
        <f t="shared" si="358"/>
        <v>-1.4676137442047721</v>
      </c>
      <c r="BD441">
        <f t="shared" si="346"/>
        <v>-264.08807359441045</v>
      </c>
      <c r="BF441">
        <f t="shared" si="347"/>
        <v>-64.156386377843788</v>
      </c>
      <c r="BG441">
        <f t="shared" si="348"/>
        <v>-256.05591714876454</v>
      </c>
      <c r="BH441">
        <f t="shared" si="359"/>
        <v>-76.055917148764536</v>
      </c>
      <c r="BI441">
        <f t="shared" si="360"/>
        <v>-76.055917148764536</v>
      </c>
      <c r="BJ441">
        <f t="shared" si="349"/>
        <v>0</v>
      </c>
      <c r="BK441">
        <f t="shared" si="361"/>
        <v>0</v>
      </c>
      <c r="BM441">
        <f t="shared" si="362"/>
        <v>-64.074523966793635</v>
      </c>
      <c r="BN441">
        <f t="shared" si="350"/>
        <v>-171.96784355435409</v>
      </c>
      <c r="BQ441" s="56">
        <f t="shared" si="363"/>
        <v>16.820098389234992</v>
      </c>
    </row>
    <row r="442" spans="1:69" x14ac:dyDescent="0.2">
      <c r="A442">
        <f t="shared" si="372"/>
        <v>1140000</v>
      </c>
      <c r="B442">
        <f t="shared" si="351"/>
        <v>1140</v>
      </c>
      <c r="C442">
        <f t="shared" si="320"/>
        <v>1.0098067989087571</v>
      </c>
      <c r="D442">
        <f t="shared" si="321"/>
        <v>0.13947988742194714</v>
      </c>
      <c r="F442">
        <f t="shared" si="322"/>
        <v>4.094141595577407E-5</v>
      </c>
      <c r="G442">
        <f t="shared" si="323"/>
        <v>1.3058369050717835E-3</v>
      </c>
      <c r="H442">
        <f t="shared" si="324"/>
        <v>-3.1402868130949284</v>
      </c>
      <c r="J442">
        <f t="shared" si="325"/>
        <v>15</v>
      </c>
      <c r="M442">
        <f t="shared" si="326"/>
        <v>1.0971457261642163E-3</v>
      </c>
      <c r="N442">
        <f t="shared" si="327"/>
        <v>-1.5707963250000001</v>
      </c>
      <c r="O442">
        <f t="shared" si="328"/>
        <v>223.87652385381625</v>
      </c>
      <c r="P442">
        <f t="shared" si="329"/>
        <v>1.5663295640092236</v>
      </c>
      <c r="Q442">
        <f t="shared" si="330"/>
        <v>194.60236854141843</v>
      </c>
      <c r="R442">
        <f t="shared" si="331"/>
        <v>1.5656576205779114</v>
      </c>
      <c r="S442">
        <f t="shared" si="332"/>
        <v>0.17885224789300624</v>
      </c>
      <c r="T442">
        <f t="shared" si="333"/>
        <v>-1.3909765613456035</v>
      </c>
      <c r="U442">
        <f t="shared" si="334"/>
        <v>0.17659634566156795</v>
      </c>
      <c r="V442">
        <f t="shared" si="335"/>
        <v>-1.3932689583482314</v>
      </c>
      <c r="X442">
        <f t="shared" si="352"/>
        <v>-60.57220968130526</v>
      </c>
      <c r="Y442">
        <f t="shared" si="336"/>
        <v>-242.00944238914701</v>
      </c>
      <c r="Z442">
        <f t="shared" si="353"/>
        <v>-62.009442389147011</v>
      </c>
      <c r="AC442">
        <v>1</v>
      </c>
      <c r="AD442">
        <f t="shared" si="337"/>
        <v>223.87429046871</v>
      </c>
      <c r="AE442">
        <f t="shared" si="338"/>
        <v>-0.1924288514459831</v>
      </c>
      <c r="AF442">
        <f t="shared" si="339"/>
        <v>3.4524846586439999E-2</v>
      </c>
      <c r="AG442">
        <f t="shared" si="367"/>
        <v>197.19082750451452</v>
      </c>
      <c r="AH442">
        <f t="shared" si="368"/>
        <v>-1128.0341059552411</v>
      </c>
      <c r="AJ442">
        <f t="shared" si="340"/>
        <v>26400</v>
      </c>
      <c r="AK442">
        <f t="shared" si="341"/>
        <v>145227.83599779839</v>
      </c>
      <c r="AL442">
        <v>1</v>
      </c>
      <c r="AM442">
        <f t="shared" si="342"/>
        <v>194.59979918265603</v>
      </c>
      <c r="AN442">
        <f t="shared" si="369"/>
        <v>746.9671662970344</v>
      </c>
      <c r="AO442">
        <f t="shared" si="370"/>
        <v>-131.82455964214233</v>
      </c>
      <c r="AQ442">
        <f t="shared" si="343"/>
        <v>1.9236684511256441E-3</v>
      </c>
      <c r="AR442">
        <f t="shared" si="344"/>
        <v>-4.3859640685664685</v>
      </c>
      <c r="AT442">
        <f t="shared" si="365"/>
        <v>-4947.1377270634657</v>
      </c>
      <c r="AU442">
        <f t="shared" si="366"/>
        <v>-867.04184770710901</v>
      </c>
      <c r="AV442">
        <f t="shared" si="354"/>
        <v>-2.9680934514656965</v>
      </c>
      <c r="AW442">
        <f t="shared" si="355"/>
        <v>366.53742550456445</v>
      </c>
      <c r="AX442">
        <f t="shared" si="356"/>
        <v>-5079.1578001297121</v>
      </c>
      <c r="AY442">
        <f t="shared" si="364"/>
        <v>-1.4987562095689122</v>
      </c>
      <c r="BA442">
        <f t="shared" si="345"/>
        <v>0.98628855417988226</v>
      </c>
      <c r="BB442">
        <f t="shared" si="357"/>
        <v>-0.11992013617644472</v>
      </c>
      <c r="BC442">
        <f t="shared" si="358"/>
        <v>-1.4693372418967843</v>
      </c>
      <c r="BD442">
        <f t="shared" si="346"/>
        <v>-264.18682273827613</v>
      </c>
      <c r="BF442">
        <f t="shared" si="347"/>
        <v>-64.270071974056791</v>
      </c>
      <c r="BG442">
        <f t="shared" si="348"/>
        <v>-256.1203949094284</v>
      </c>
      <c r="BH442">
        <f t="shared" si="359"/>
        <v>-76.120394909428398</v>
      </c>
      <c r="BI442">
        <f t="shared" si="360"/>
        <v>-76.120394909428398</v>
      </c>
      <c r="BJ442">
        <f t="shared" si="349"/>
        <v>0</v>
      </c>
      <c r="BK442">
        <f t="shared" si="361"/>
        <v>0</v>
      </c>
      <c r="BM442">
        <f t="shared" si="362"/>
        <v>-64.150151837880344</v>
      </c>
      <c r="BN442">
        <f t="shared" si="350"/>
        <v>-171.93357217115229</v>
      </c>
      <c r="BQ442" s="56">
        <f t="shared" si="363"/>
        <v>16.782040664108692</v>
      </c>
    </row>
    <row r="443" spans="1:69" x14ac:dyDescent="0.2">
      <c r="A443">
        <f t="shared" si="372"/>
        <v>1145000</v>
      </c>
      <c r="B443">
        <f t="shared" si="351"/>
        <v>1145</v>
      </c>
      <c r="C443">
        <f t="shared" si="320"/>
        <v>1.0098925898342932</v>
      </c>
      <c r="D443">
        <f t="shared" si="321"/>
        <v>0.14008368656731804</v>
      </c>
      <c r="F443">
        <f t="shared" si="322"/>
        <v>4.0584615531397787E-5</v>
      </c>
      <c r="G443">
        <f t="shared" si="323"/>
        <v>1.3001341028159525E-3</v>
      </c>
      <c r="H443">
        <f t="shared" si="324"/>
        <v>-3.1402925158971842</v>
      </c>
      <c r="J443">
        <f t="shared" si="325"/>
        <v>15</v>
      </c>
      <c r="M443">
        <f t="shared" si="326"/>
        <v>1.0923546967923203E-3</v>
      </c>
      <c r="N443">
        <f t="shared" si="327"/>
        <v>-1.5707963250000001</v>
      </c>
      <c r="O443">
        <f t="shared" si="328"/>
        <v>224.858418883897</v>
      </c>
      <c r="P443">
        <f t="shared" si="329"/>
        <v>1.5663490692658206</v>
      </c>
      <c r="Q443">
        <f t="shared" si="330"/>
        <v>195.45586521281035</v>
      </c>
      <c r="R443">
        <f t="shared" si="331"/>
        <v>1.5656800599506029</v>
      </c>
      <c r="S443">
        <f t="shared" si="332"/>
        <v>0.17809605867384309</v>
      </c>
      <c r="T443">
        <f t="shared" si="333"/>
        <v>-1.3917450896136792</v>
      </c>
      <c r="U443">
        <f t="shared" si="334"/>
        <v>0.17584907984924139</v>
      </c>
      <c r="V443">
        <f t="shared" si="335"/>
        <v>-1.3940281045745762</v>
      </c>
      <c r="X443">
        <f t="shared" si="352"/>
        <v>-60.683123409975892</v>
      </c>
      <c r="Y443">
        <f t="shared" si="336"/>
        <v>-242.06030004377101</v>
      </c>
      <c r="Z443">
        <f t="shared" si="353"/>
        <v>-62.060300043771008</v>
      </c>
      <c r="AC443">
        <v>1</v>
      </c>
      <c r="AD443">
        <f t="shared" si="337"/>
        <v>224.85619525146751</v>
      </c>
      <c r="AE443">
        <f t="shared" si="338"/>
        <v>-0.19412052552090639</v>
      </c>
      <c r="AF443">
        <f t="shared" si="339"/>
        <v>3.4676271352169996E-2</v>
      </c>
      <c r="AG443">
        <f t="shared" si="367"/>
        <v>195.52553596208517</v>
      </c>
      <c r="AH443">
        <f t="shared" si="368"/>
        <v>-1123.4056683340341</v>
      </c>
      <c r="AJ443">
        <f t="shared" si="340"/>
        <v>26400</v>
      </c>
      <c r="AK443">
        <f t="shared" si="341"/>
        <v>145864.8001907712</v>
      </c>
      <c r="AL443">
        <v>1</v>
      </c>
      <c r="AM443">
        <f t="shared" si="342"/>
        <v>195.45330707380802</v>
      </c>
      <c r="AN443">
        <f t="shared" si="369"/>
        <v>746.96126309280282</v>
      </c>
      <c r="AO443">
        <f t="shared" si="370"/>
        <v>-131.24893674590001</v>
      </c>
      <c r="AQ443">
        <f t="shared" si="343"/>
        <v>1.9069045390239434E-3</v>
      </c>
      <c r="AR443">
        <f t="shared" si="344"/>
        <v>-4.3668113943648299</v>
      </c>
      <c r="AT443">
        <f t="shared" si="365"/>
        <v>-4905.3278244430758</v>
      </c>
      <c r="AU443">
        <f t="shared" si="366"/>
        <v>-855.96536569663533</v>
      </c>
      <c r="AV443">
        <f t="shared" si="354"/>
        <v>-2.9688350077035981</v>
      </c>
      <c r="AW443">
        <f t="shared" si="355"/>
        <v>369.89945652642552</v>
      </c>
      <c r="AX443">
        <f t="shared" si="356"/>
        <v>-5057.2457363997664</v>
      </c>
      <c r="AY443">
        <f t="shared" si="364"/>
        <v>-1.4977838703966317</v>
      </c>
      <c r="BA443">
        <f t="shared" si="345"/>
        <v>0.981993643842486</v>
      </c>
      <c r="BB443">
        <f t="shared" si="357"/>
        <v>-0.15782646530109204</v>
      </c>
      <c r="BC443">
        <f t="shared" si="358"/>
        <v>-1.4710511373069663</v>
      </c>
      <c r="BD443">
        <f t="shared" si="346"/>
        <v>-264.2850217119186</v>
      </c>
      <c r="BF443">
        <f t="shared" si="347"/>
        <v>-64.383268850579526</v>
      </c>
      <c r="BG443">
        <f t="shared" si="348"/>
        <v>-256.18432548682904</v>
      </c>
      <c r="BH443">
        <f t="shared" si="359"/>
        <v>-76.184325486829039</v>
      </c>
      <c r="BI443">
        <f t="shared" si="360"/>
        <v>-76.184325486829039</v>
      </c>
      <c r="BJ443">
        <f t="shared" si="349"/>
        <v>0</v>
      </c>
      <c r="BK443">
        <f t="shared" si="361"/>
        <v>0</v>
      </c>
      <c r="BM443">
        <f t="shared" si="362"/>
        <v>-64.225442385278427</v>
      </c>
      <c r="BN443">
        <f t="shared" si="350"/>
        <v>-171.89930377491046</v>
      </c>
      <c r="BQ443" s="56">
        <f t="shared" si="363"/>
        <v>16.744134334984043</v>
      </c>
    </row>
    <row r="444" spans="1:69" x14ac:dyDescent="0.2">
      <c r="A444">
        <f t="shared" si="372"/>
        <v>1150000</v>
      </c>
      <c r="B444">
        <f t="shared" si="351"/>
        <v>1150</v>
      </c>
      <c r="C444">
        <f t="shared" si="320"/>
        <v>1.0099787488771854</v>
      </c>
      <c r="D444">
        <f t="shared" si="321"/>
        <v>0.1406873829152224</v>
      </c>
      <c r="F444">
        <f t="shared" si="322"/>
        <v>4.0232459145602198E-5</v>
      </c>
      <c r="G444">
        <f t="shared" si="323"/>
        <v>1.2944808960762761E-3</v>
      </c>
      <c r="H444">
        <f t="shared" si="324"/>
        <v>-3.1402981691039238</v>
      </c>
      <c r="J444">
        <f t="shared" si="325"/>
        <v>15</v>
      </c>
      <c r="M444">
        <f t="shared" si="326"/>
        <v>1.0876053285453972E-3</v>
      </c>
      <c r="N444">
        <f t="shared" si="327"/>
        <v>-1.5707963250000001</v>
      </c>
      <c r="O444">
        <f t="shared" si="328"/>
        <v>225.84031399878239</v>
      </c>
      <c r="P444">
        <f t="shared" si="329"/>
        <v>1.5663684049148308</v>
      </c>
      <c r="Q444">
        <f t="shared" si="330"/>
        <v>196.30936198176349</v>
      </c>
      <c r="R444">
        <f t="shared" si="331"/>
        <v>1.5657023042033997</v>
      </c>
      <c r="S444">
        <f t="shared" si="332"/>
        <v>0.1773461334577304</v>
      </c>
      <c r="T444">
        <f t="shared" si="333"/>
        <v>-1.3925071461054306</v>
      </c>
      <c r="U444">
        <f t="shared" si="334"/>
        <v>0.17510801184298574</v>
      </c>
      <c r="V444">
        <f t="shared" si="335"/>
        <v>-1.3947808528020722</v>
      </c>
      <c r="X444">
        <f t="shared" si="352"/>
        <v>-60.793567550372416</v>
      </c>
      <c r="Y444">
        <f t="shared" si="336"/>
        <v>-242.11044426018603</v>
      </c>
      <c r="Z444">
        <f t="shared" si="353"/>
        <v>-62.110444260186028</v>
      </c>
      <c r="AC444">
        <v>1</v>
      </c>
      <c r="AD444">
        <f t="shared" si="337"/>
        <v>225.83810003422502</v>
      </c>
      <c r="AE444">
        <f t="shared" si="338"/>
        <v>-0.19581960298346618</v>
      </c>
      <c r="AF444">
        <f t="shared" si="339"/>
        <v>3.4827696117900001E-2</v>
      </c>
      <c r="AG444">
        <f t="shared" si="367"/>
        <v>193.88103030684724</v>
      </c>
      <c r="AH444">
        <f t="shared" si="368"/>
        <v>-1118.8137811012261</v>
      </c>
      <c r="AJ444">
        <f t="shared" si="340"/>
        <v>26400</v>
      </c>
      <c r="AK444">
        <f t="shared" si="341"/>
        <v>146501.76438374401</v>
      </c>
      <c r="AL444">
        <v>1</v>
      </c>
      <c r="AM444">
        <f t="shared" si="342"/>
        <v>196.30681496496001</v>
      </c>
      <c r="AN444">
        <f t="shared" si="369"/>
        <v>746.95543671671362</v>
      </c>
      <c r="AO444">
        <f t="shared" si="370"/>
        <v>-130.67831887477902</v>
      </c>
      <c r="AQ444">
        <f t="shared" si="343"/>
        <v>1.8903588108962551E-3</v>
      </c>
      <c r="AR444">
        <f t="shared" si="344"/>
        <v>-4.3478252650613864</v>
      </c>
      <c r="AT444">
        <f t="shared" si="365"/>
        <v>-4864.0403196568641</v>
      </c>
      <c r="AU444">
        <f t="shared" si="366"/>
        <v>-845.07580147309955</v>
      </c>
      <c r="AV444">
        <f t="shared" si="354"/>
        <v>-2.9695703188957356</v>
      </c>
      <c r="AW444">
        <f t="shared" si="355"/>
        <v>373.21685042500155</v>
      </c>
      <c r="AX444">
        <f t="shared" si="356"/>
        <v>-5035.5209007502181</v>
      </c>
      <c r="AY444">
        <f t="shared" si="364"/>
        <v>-1.4968147659023003</v>
      </c>
      <c r="BA444">
        <f t="shared" si="345"/>
        <v>0.97773433859297609</v>
      </c>
      <c r="BB444">
        <f t="shared" si="357"/>
        <v>-0.19558263750126706</v>
      </c>
      <c r="BC444">
        <f t="shared" si="358"/>
        <v>-1.4727555529934353</v>
      </c>
      <c r="BD444">
        <f t="shared" si="346"/>
        <v>-264.38267753740075</v>
      </c>
      <c r="BF444">
        <f t="shared" si="347"/>
        <v>-64.495981161037236</v>
      </c>
      <c r="BG444">
        <f t="shared" si="348"/>
        <v>-256.24771596431651</v>
      </c>
      <c r="BH444">
        <f t="shared" si="359"/>
        <v>-76.247715964316512</v>
      </c>
      <c r="BI444">
        <f t="shared" si="360"/>
        <v>-76.247715964316512</v>
      </c>
      <c r="BJ444">
        <f t="shared" si="349"/>
        <v>0</v>
      </c>
      <c r="BK444">
        <f t="shared" si="361"/>
        <v>0</v>
      </c>
      <c r="BM444">
        <f t="shared" si="362"/>
        <v>-64.300398523535975</v>
      </c>
      <c r="BN444">
        <f t="shared" si="350"/>
        <v>-171.86503842691579</v>
      </c>
      <c r="BQ444" s="56">
        <f t="shared" si="363"/>
        <v>16.706378162783871</v>
      </c>
    </row>
    <row r="445" spans="1:69" x14ac:dyDescent="0.2">
      <c r="A445">
        <f t="shared" si="372"/>
        <v>1155000</v>
      </c>
      <c r="B445">
        <f t="shared" si="351"/>
        <v>1155</v>
      </c>
      <c r="C445">
        <f t="shared" si="320"/>
        <v>1.010065275943232</v>
      </c>
      <c r="D445">
        <f t="shared" si="321"/>
        <v>0.1412909760519894</v>
      </c>
      <c r="F445">
        <f t="shared" si="322"/>
        <v>3.9884866551200519E-5</v>
      </c>
      <c r="G445">
        <f t="shared" si="323"/>
        <v>1.288876640653095E-3</v>
      </c>
      <c r="H445">
        <f t="shared" si="324"/>
        <v>-3.1403037733593471</v>
      </c>
      <c r="J445">
        <f t="shared" si="325"/>
        <v>15</v>
      </c>
      <c r="M445">
        <f t="shared" si="326"/>
        <v>1.0828970803698759E-3</v>
      </c>
      <c r="N445">
        <f t="shared" si="327"/>
        <v>-1.5707963250000001</v>
      </c>
      <c r="O445">
        <f t="shared" si="328"/>
        <v>226.82220919737111</v>
      </c>
      <c r="P445">
        <f t="shared" si="329"/>
        <v>1.5663875731588923</v>
      </c>
      <c r="Q445">
        <f t="shared" si="330"/>
        <v>197.16285884701082</v>
      </c>
      <c r="R445">
        <f t="shared" si="331"/>
        <v>1.5657243558702392</v>
      </c>
      <c r="S445">
        <f t="shared" si="332"/>
        <v>0.17660239604402145</v>
      </c>
      <c r="T445">
        <f t="shared" si="333"/>
        <v>-1.3932628113523131</v>
      </c>
      <c r="U445">
        <f t="shared" si="334"/>
        <v>0.17437306611851947</v>
      </c>
      <c r="V445">
        <f t="shared" si="335"/>
        <v>-1.3955272827313563</v>
      </c>
      <c r="X445">
        <f t="shared" si="352"/>
        <v>-60.90354590361698</v>
      </c>
      <c r="Y445">
        <f t="shared" si="336"/>
        <v>-242.15988400824054</v>
      </c>
      <c r="Z445">
        <f t="shared" si="353"/>
        <v>-62.159884008240539</v>
      </c>
      <c r="AC445">
        <v>1</v>
      </c>
      <c r="AD445">
        <f t="shared" si="337"/>
        <v>226.8200048169825</v>
      </c>
      <c r="AE445">
        <f t="shared" si="338"/>
        <v>-0.19752608383366235</v>
      </c>
      <c r="AF445">
        <f t="shared" si="339"/>
        <v>3.4979120883629998E-2</v>
      </c>
      <c r="AG445">
        <f t="shared" si="367"/>
        <v>192.25696974937046</v>
      </c>
      <c r="AH445">
        <f t="shared" si="368"/>
        <v>-1114.2580299255158</v>
      </c>
      <c r="AJ445">
        <f t="shared" si="340"/>
        <v>26400</v>
      </c>
      <c r="AK445">
        <f t="shared" si="341"/>
        <v>147138.72857671682</v>
      </c>
      <c r="AL445">
        <v>1</v>
      </c>
      <c r="AM445">
        <f t="shared" si="342"/>
        <v>197.16032285611203</v>
      </c>
      <c r="AN445">
        <f t="shared" si="369"/>
        <v>746.94968584134995</v>
      </c>
      <c r="AO445">
        <f t="shared" si="370"/>
        <v>-130.11264103518582</v>
      </c>
      <c r="AQ445">
        <f t="shared" si="343"/>
        <v>1.8740274968558504E-3</v>
      </c>
      <c r="AR445">
        <f t="shared" si="344"/>
        <v>-4.3290035177370143</v>
      </c>
      <c r="AT445">
        <f t="shared" si="365"/>
        <v>-4823.2666363665003</v>
      </c>
      <c r="AU445">
        <f t="shared" si="366"/>
        <v>-834.36924854115625</v>
      </c>
      <c r="AV445">
        <f t="shared" si="354"/>
        <v>-2.9702994627563988</v>
      </c>
      <c r="AW445">
        <f t="shared" si="355"/>
        <v>376.49039665165105</v>
      </c>
      <c r="AX445">
        <f t="shared" si="356"/>
        <v>-5013.9809153890628</v>
      </c>
      <c r="AY445">
        <f t="shared" si="364"/>
        <v>-1.4958488533561161</v>
      </c>
      <c r="BA445">
        <f t="shared" si="345"/>
        <v>0.97351019977443265</v>
      </c>
      <c r="BB445">
        <f t="shared" si="357"/>
        <v>-0.23318987758783571</v>
      </c>
      <c r="BC445">
        <f t="shared" si="358"/>
        <v>-1.4744506094002827</v>
      </c>
      <c r="BD445">
        <f t="shared" si="346"/>
        <v>-264.47979711566074</v>
      </c>
      <c r="BF445">
        <f t="shared" si="347"/>
        <v>-64.608213006876213</v>
      </c>
      <c r="BG445">
        <f t="shared" si="348"/>
        <v>-256.31057330344061</v>
      </c>
      <c r="BH445">
        <f t="shared" si="359"/>
        <v>-76.310573303440606</v>
      </c>
      <c r="BI445">
        <f t="shared" si="360"/>
        <v>-76.310573303440606</v>
      </c>
      <c r="BJ445">
        <f t="shared" si="349"/>
        <v>0</v>
      </c>
      <c r="BK445">
        <f t="shared" si="361"/>
        <v>0</v>
      </c>
      <c r="BM445">
        <f t="shared" si="362"/>
        <v>-64.375023129288394</v>
      </c>
      <c r="BN445">
        <f t="shared" si="350"/>
        <v>-171.83077618777989</v>
      </c>
      <c r="BQ445" s="56">
        <f t="shared" si="363"/>
        <v>16.668770922697298</v>
      </c>
    </row>
    <row r="446" spans="1:69" x14ac:dyDescent="0.2">
      <c r="A446">
        <f t="shared" si="372"/>
        <v>1160000</v>
      </c>
      <c r="B446">
        <f t="shared" si="351"/>
        <v>1160</v>
      </c>
      <c r="C446">
        <f t="shared" si="320"/>
        <v>1.0101521709378609</v>
      </c>
      <c r="D446">
        <f t="shared" si="321"/>
        <v>0.14189446556439037</v>
      </c>
      <c r="F446">
        <f t="shared" si="322"/>
        <v>3.9541759226870385E-5</v>
      </c>
      <c r="G446">
        <f t="shared" si="323"/>
        <v>1.2833207034558252E-3</v>
      </c>
      <c r="H446">
        <f t="shared" si="324"/>
        <v>-3.1403093292965445</v>
      </c>
      <c r="J446">
        <f t="shared" si="325"/>
        <v>15</v>
      </c>
      <c r="M446">
        <f t="shared" si="326"/>
        <v>1.0782294205406954E-3</v>
      </c>
      <c r="N446">
        <f t="shared" si="327"/>
        <v>-1.5707963250000001</v>
      </c>
      <c r="O446">
        <f t="shared" si="328"/>
        <v>227.80410447858074</v>
      </c>
      <c r="P446">
        <f t="shared" si="329"/>
        <v>1.5664065761626687</v>
      </c>
      <c r="Q446">
        <f t="shared" si="330"/>
        <v>198.01635580730729</v>
      </c>
      <c r="R446">
        <f t="shared" si="331"/>
        <v>1.5657462174413717</v>
      </c>
      <c r="S446">
        <f t="shared" si="332"/>
        <v>0.1758647714407619</v>
      </c>
      <c r="T446">
        <f t="shared" si="333"/>
        <v>-1.3940121645698165</v>
      </c>
      <c r="U446">
        <f t="shared" si="334"/>
        <v>0.17364416835220836</v>
      </c>
      <c r="V446">
        <f t="shared" si="335"/>
        <v>-1.3962674727588666</v>
      </c>
      <c r="X446">
        <f t="shared" si="352"/>
        <v>-61.01306222563872</v>
      </c>
      <c r="Y446">
        <f t="shared" si="336"/>
        <v>-242.20862811167561</v>
      </c>
      <c r="Z446">
        <f t="shared" si="353"/>
        <v>-62.208628111675608</v>
      </c>
      <c r="AC446">
        <v>1</v>
      </c>
      <c r="AD446">
        <f t="shared" si="337"/>
        <v>227.80190959974001</v>
      </c>
      <c r="AE446">
        <f t="shared" si="338"/>
        <v>-0.19923996807149494</v>
      </c>
      <c r="AF446">
        <f t="shared" si="339"/>
        <v>3.5130545649359995E-2</v>
      </c>
      <c r="AG446">
        <f t="shared" si="367"/>
        <v>190.65302037823224</v>
      </c>
      <c r="AH446">
        <f t="shared" si="368"/>
        <v>-1109.7380064064935</v>
      </c>
      <c r="AJ446">
        <f t="shared" si="340"/>
        <v>26400</v>
      </c>
      <c r="AK446">
        <f t="shared" si="341"/>
        <v>147775.6927696896</v>
      </c>
      <c r="AL446">
        <v>1</v>
      </c>
      <c r="AM446">
        <f t="shared" si="342"/>
        <v>198.01383074726402</v>
      </c>
      <c r="AN446">
        <f t="shared" si="369"/>
        <v>746.94400916784025</v>
      </c>
      <c r="AO446">
        <f t="shared" si="370"/>
        <v>-129.55183935396192</v>
      </c>
      <c r="AQ446">
        <f t="shared" si="343"/>
        <v>1.8579069080880447E-3</v>
      </c>
      <c r="AR446">
        <f t="shared" si="344"/>
        <v>-4.3103440267642634</v>
      </c>
      <c r="AT446">
        <f t="shared" si="365"/>
        <v>-4782.9983716239021</v>
      </c>
      <c r="AU446">
        <f t="shared" si="366"/>
        <v>-823.84189748014921</v>
      </c>
      <c r="AV446">
        <f t="shared" si="354"/>
        <v>-2.9710225157299268</v>
      </c>
      <c r="AW446">
        <f t="shared" si="355"/>
        <v>379.72086723393386</v>
      </c>
      <c r="AX446">
        <f t="shared" si="356"/>
        <v>-4992.6234424489357</v>
      </c>
      <c r="AY446">
        <f t="shared" si="364"/>
        <v>-1.4948860908272228</v>
      </c>
      <c r="BA446">
        <f t="shared" si="345"/>
        <v>0.96932079579363828</v>
      </c>
      <c r="BB446">
        <f t="shared" si="357"/>
        <v>-0.2706493963104602</v>
      </c>
      <c r="BC446">
        <f t="shared" si="358"/>
        <v>-1.476136424902704</v>
      </c>
      <c r="BD446">
        <f t="shared" si="346"/>
        <v>-264.57638722909758</v>
      </c>
      <c r="BF446">
        <f t="shared" si="347"/>
        <v>-64.719968438224228</v>
      </c>
      <c r="BG446">
        <f t="shared" si="348"/>
        <v>-256.37290434654994</v>
      </c>
      <c r="BH446">
        <f t="shared" si="359"/>
        <v>-76.372904346549944</v>
      </c>
      <c r="BI446">
        <f t="shared" si="360"/>
        <v>-76.372904346549944</v>
      </c>
      <c r="BJ446">
        <f t="shared" si="349"/>
        <v>0</v>
      </c>
      <c r="BK446">
        <f t="shared" si="361"/>
        <v>0</v>
      </c>
      <c r="BM446">
        <f t="shared" si="362"/>
        <v>-64.449319041913768</v>
      </c>
      <c r="BN446">
        <f t="shared" si="350"/>
        <v>-171.7965171174524</v>
      </c>
      <c r="BQ446" s="56">
        <f t="shared" si="363"/>
        <v>16.631311403974674</v>
      </c>
    </row>
    <row r="447" spans="1:69" x14ac:dyDescent="0.2">
      <c r="A447">
        <f t="shared" si="372"/>
        <v>1165000</v>
      </c>
      <c r="B447">
        <f t="shared" si="351"/>
        <v>1165</v>
      </c>
      <c r="C447">
        <f t="shared" si="320"/>
        <v>1.0102394337661311</v>
      </c>
      <c r="D447">
        <f t="shared" si="321"/>
        <v>0.14249785103964047</v>
      </c>
      <c r="F447">
        <f t="shared" si="322"/>
        <v>3.9203060332802594E-5</v>
      </c>
      <c r="G447">
        <f t="shared" si="323"/>
        <v>1.2778124622645104E-3</v>
      </c>
      <c r="H447">
        <f t="shared" si="324"/>
        <v>-3.1403148375377357</v>
      </c>
      <c r="J447">
        <f t="shared" si="325"/>
        <v>15</v>
      </c>
      <c r="M447">
        <f t="shared" si="326"/>
        <v>1.0736018264611215E-3</v>
      </c>
      <c r="N447">
        <f t="shared" si="327"/>
        <v>-1.5707963250000001</v>
      </c>
      <c r="O447">
        <f t="shared" si="328"/>
        <v>228.78599984134755</v>
      </c>
      <c r="P447">
        <f t="shared" si="329"/>
        <v>1.5664254160536624</v>
      </c>
      <c r="Q447">
        <f t="shared" si="330"/>
        <v>198.86985286142902</v>
      </c>
      <c r="R447">
        <f t="shared" si="331"/>
        <v>1.5657678913642985</v>
      </c>
      <c r="S447">
        <f t="shared" si="332"/>
        <v>0.17513318584129478</v>
      </c>
      <c r="T447">
        <f t="shared" si="333"/>
        <v>-1.3947552836839285</v>
      </c>
      <c r="U447">
        <f t="shared" si="334"/>
        <v>0.17292124539775944</v>
      </c>
      <c r="V447">
        <f t="shared" si="335"/>
        <v>-1.397001500003116</v>
      </c>
      <c r="X447">
        <f t="shared" si="352"/>
        <v>-61.122120227870539</v>
      </c>
      <c r="Y447">
        <f t="shared" si="336"/>
        <v>-242.25668525105951</v>
      </c>
      <c r="Z447">
        <f t="shared" si="353"/>
        <v>-62.256685251059508</v>
      </c>
      <c r="AC447">
        <v>1</v>
      </c>
      <c r="AD447">
        <f t="shared" si="337"/>
        <v>228.78381438249747</v>
      </c>
      <c r="AE447">
        <f t="shared" si="338"/>
        <v>-0.20096125569696399</v>
      </c>
      <c r="AF447">
        <f t="shared" si="339"/>
        <v>3.528197041509E-2</v>
      </c>
      <c r="AG447">
        <f t="shared" si="367"/>
        <v>189.06885499605838</v>
      </c>
      <c r="AH447">
        <f t="shared" si="368"/>
        <v>-1105.2533079761561</v>
      </c>
      <c r="AJ447">
        <f t="shared" si="340"/>
        <v>26400</v>
      </c>
      <c r="AK447">
        <f t="shared" si="341"/>
        <v>148412.65696266241</v>
      </c>
      <c r="AL447">
        <v>1</v>
      </c>
      <c r="AM447">
        <f t="shared" si="342"/>
        <v>198.86733863841604</v>
      </c>
      <c r="AN447">
        <f t="shared" si="369"/>
        <v>746.93840542512453</v>
      </c>
      <c r="AO447">
        <f t="shared" si="370"/>
        <v>-128.99585105434383</v>
      </c>
      <c r="AQ447">
        <f t="shared" si="343"/>
        <v>1.8419934347669998E-3</v>
      </c>
      <c r="AR447">
        <f t="shared" si="344"/>
        <v>-4.2918447030071096</v>
      </c>
      <c r="AT447">
        <f t="shared" si="365"/>
        <v>-4743.2272917289292</v>
      </c>
      <c r="AU447">
        <f t="shared" si="366"/>
        <v>-813.49003315549908</v>
      </c>
      <c r="AV447">
        <f t="shared" si="354"/>
        <v>-2.971739553016242</v>
      </c>
      <c r="AW447">
        <f t="shared" si="355"/>
        <v>382.90901723598228</v>
      </c>
      <c r="AX447">
        <f t="shared" si="356"/>
        <v>-4971.4461831555527</v>
      </c>
      <c r="AY447">
        <f t="shared" si="364"/>
        <v>-1.4939264371652725</v>
      </c>
      <c r="BA447">
        <f t="shared" si="345"/>
        <v>0.96516570198226237</v>
      </c>
      <c r="BB447">
        <f t="shared" si="357"/>
        <v>-0.30796239055931374</v>
      </c>
      <c r="BC447">
        <f t="shared" si="358"/>
        <v>-1.4778131158509695</v>
      </c>
      <c r="BD447">
        <f t="shared" si="346"/>
        <v>-264.67245454409073</v>
      </c>
      <c r="BF447">
        <f t="shared" si="347"/>
        <v>-64.831251454733405</v>
      </c>
      <c r="BG447">
        <f t="shared" si="348"/>
        <v>-256.43471581932545</v>
      </c>
      <c r="BH447">
        <f t="shared" si="359"/>
        <v>-76.434715819325447</v>
      </c>
      <c r="BI447">
        <f t="shared" si="360"/>
        <v>-76.434715819325447</v>
      </c>
      <c r="BJ447">
        <f t="shared" si="349"/>
        <v>0</v>
      </c>
      <c r="BK447">
        <f t="shared" si="361"/>
        <v>0</v>
      </c>
      <c r="BM447">
        <f t="shared" si="362"/>
        <v>-64.523289064174094</v>
      </c>
      <c r="BN447">
        <f t="shared" si="350"/>
        <v>-171.76226127523472</v>
      </c>
      <c r="BQ447" s="56">
        <f t="shared" si="363"/>
        <v>16.593998409725824</v>
      </c>
    </row>
    <row r="448" spans="1:69" x14ac:dyDescent="0.2">
      <c r="A448">
        <f t="shared" si="372"/>
        <v>1170000</v>
      </c>
      <c r="B448">
        <f t="shared" si="351"/>
        <v>1170</v>
      </c>
      <c r="C448">
        <f t="shared" si="320"/>
        <v>1.010327064332732</v>
      </c>
      <c r="D448">
        <f t="shared" si="321"/>
        <v>0.14310113206540021</v>
      </c>
      <c r="F448">
        <f t="shared" si="322"/>
        <v>3.8868694667673957E-5</v>
      </c>
      <c r="G448">
        <f t="shared" si="323"/>
        <v>1.2723513054974914E-3</v>
      </c>
      <c r="H448">
        <f t="shared" si="324"/>
        <v>-3.1403202986945029</v>
      </c>
      <c r="J448">
        <f t="shared" si="325"/>
        <v>15</v>
      </c>
      <c r="M448">
        <f t="shared" si="326"/>
        <v>1.069013784467698E-3</v>
      </c>
      <c r="N448">
        <f t="shared" si="327"/>
        <v>-1.5707963250000001</v>
      </c>
      <c r="O448">
        <f t="shared" si="328"/>
        <v>229.76789528462598</v>
      </c>
      <c r="P448">
        <f t="shared" si="329"/>
        <v>1.5664440949230101</v>
      </c>
      <c r="Q448">
        <f t="shared" si="330"/>
        <v>199.72335000817318</v>
      </c>
      <c r="R448">
        <f t="shared" si="331"/>
        <v>1.5657893800446847</v>
      </c>
      <c r="S448">
        <f t="shared" si="332"/>
        <v>0.17440756660139436</v>
      </c>
      <c r="T448">
        <f t="shared" si="333"/>
        <v>-1.395492245356972</v>
      </c>
      <c r="U448">
        <f t="shared" si="334"/>
        <v>0.17220422526344359</v>
      </c>
      <c r="V448">
        <f t="shared" si="335"/>
        <v>-1.3977294403303393</v>
      </c>
      <c r="X448">
        <f t="shared" si="352"/>
        <v>-61.230723577932665</v>
      </c>
      <c r="Y448">
        <f t="shared" si="336"/>
        <v>-242.30406396665379</v>
      </c>
      <c r="Z448">
        <f t="shared" si="353"/>
        <v>-62.304063966653786</v>
      </c>
      <c r="AC448">
        <v>1</v>
      </c>
      <c r="AD448">
        <f t="shared" si="337"/>
        <v>229.76571916525498</v>
      </c>
      <c r="AE448">
        <f t="shared" si="338"/>
        <v>-0.20268994671006946</v>
      </c>
      <c r="AF448">
        <f t="shared" si="339"/>
        <v>3.5433395180819997E-2</v>
      </c>
      <c r="AG448">
        <f t="shared" si="367"/>
        <v>187.50415296004795</v>
      </c>
      <c r="AH448">
        <f t="shared" si="368"/>
        <v>-1100.8035378021648</v>
      </c>
      <c r="AJ448">
        <f t="shared" si="340"/>
        <v>26400</v>
      </c>
      <c r="AK448">
        <f t="shared" si="341"/>
        <v>149049.62115563522</v>
      </c>
      <c r="AL448">
        <v>1</v>
      </c>
      <c r="AM448">
        <f t="shared" si="342"/>
        <v>199.72084652956804</v>
      </c>
      <c r="AN448">
        <f t="shared" si="369"/>
        <v>746.93287336924243</v>
      </c>
      <c r="AO448">
        <f t="shared" si="370"/>
        <v>-128.44461443253948</v>
      </c>
      <c r="AQ448">
        <f t="shared" si="343"/>
        <v>1.8262835440347096E-3</v>
      </c>
      <c r="AR448">
        <f t="shared" si="344"/>
        <v>-4.2735034930412201</v>
      </c>
      <c r="AT448">
        <f t="shared" si="365"/>
        <v>-4703.9453282006943</v>
      </c>
      <c r="AU448">
        <f t="shared" si="366"/>
        <v>-803.31003202080342</v>
      </c>
      <c r="AV448">
        <f t="shared" si="354"/>
        <v>-2.9724506485957871</v>
      </c>
      <c r="AW448">
        <f t="shared" si="355"/>
        <v>386.05558520472044</v>
      </c>
      <c r="AX448">
        <f t="shared" si="356"/>
        <v>-4950.4468770167923</v>
      </c>
      <c r="AY448">
        <f t="shared" si="364"/>
        <v>-1.492969851982491</v>
      </c>
      <c r="BA448">
        <f t="shared" si="345"/>
        <v>0.96104450046122669</v>
      </c>
      <c r="BB448">
        <f t="shared" si="357"/>
        <v>-0.34513004356351934</v>
      </c>
      <c r="BC448">
        <f t="shared" si="358"/>
        <v>-1.4794807966132961</v>
      </c>
      <c r="BD448">
        <f t="shared" si="346"/>
        <v>-264.76800561345635</v>
      </c>
      <c r="BF448">
        <f t="shared" si="347"/>
        <v>-64.942066006406208</v>
      </c>
      <c r="BG448">
        <f t="shared" si="348"/>
        <v>-256.4960143332496</v>
      </c>
      <c r="BH448">
        <f t="shared" si="359"/>
        <v>-76.496014333249605</v>
      </c>
      <c r="BI448">
        <f t="shared" si="360"/>
        <v>-76.496014333249605</v>
      </c>
      <c r="BJ448">
        <f t="shared" si="349"/>
        <v>0</v>
      </c>
      <c r="BK448">
        <f t="shared" si="361"/>
        <v>0</v>
      </c>
      <c r="BM448">
        <f t="shared" si="362"/>
        <v>-64.596935962842693</v>
      </c>
      <c r="BN448">
        <f t="shared" si="350"/>
        <v>-171.72800871979328</v>
      </c>
      <c r="BQ448" s="56">
        <f t="shared" si="363"/>
        <v>16.556830756721617</v>
      </c>
    </row>
    <row r="449" spans="1:69" x14ac:dyDescent="0.2">
      <c r="A449">
        <f t="shared" si="372"/>
        <v>1175000</v>
      </c>
      <c r="B449">
        <f t="shared" si="351"/>
        <v>1175</v>
      </c>
      <c r="C449">
        <f t="shared" si="320"/>
        <v>1.0104150625419848</v>
      </c>
      <c r="D449">
        <f t="shared" si="321"/>
        <v>0.14370430822977687</v>
      </c>
      <c r="F449">
        <f t="shared" si="322"/>
        <v>3.8538588626899131E-5</v>
      </c>
      <c r="G449">
        <f t="shared" si="323"/>
        <v>1.2669366319850029E-3</v>
      </c>
      <c r="H449">
        <f t="shared" si="324"/>
        <v>-3.1403257133680151</v>
      </c>
      <c r="J449">
        <f t="shared" si="325"/>
        <v>15</v>
      </c>
      <c r="M449">
        <f t="shared" si="326"/>
        <v>1.0644647896401759E-3</v>
      </c>
      <c r="N449">
        <f t="shared" si="327"/>
        <v>-1.5707963250000001</v>
      </c>
      <c r="O449">
        <f t="shared" si="328"/>
        <v>230.74979080738819</v>
      </c>
      <c r="P449">
        <f t="shared" si="329"/>
        <v>1.5664626148262555</v>
      </c>
      <c r="Q449">
        <f t="shared" si="330"/>
        <v>200.57684724635743</v>
      </c>
      <c r="R449">
        <f t="shared" si="331"/>
        <v>1.56581068584725</v>
      </c>
      <c r="S449">
        <f t="shared" si="332"/>
        <v>0.17368784221691561</v>
      </c>
      <c r="T449">
        <f t="shared" si="333"/>
        <v>-1.3962231250128301</v>
      </c>
      <c r="U449">
        <f t="shared" si="334"/>
        <v>0.17149303708983346</v>
      </c>
      <c r="V449">
        <f t="shared" si="335"/>
        <v>-1.3984513683795341</v>
      </c>
      <c r="X449">
        <f t="shared" si="352"/>
        <v>-61.338875900303726</v>
      </c>
      <c r="Y449">
        <f t="shared" si="336"/>
        <v>-242.35077266120973</v>
      </c>
      <c r="Z449">
        <f t="shared" si="353"/>
        <v>-62.350772661209731</v>
      </c>
      <c r="AC449">
        <v>1</v>
      </c>
      <c r="AD449">
        <f t="shared" si="337"/>
        <v>230.74762394801249</v>
      </c>
      <c r="AE449">
        <f t="shared" si="338"/>
        <v>-0.20442604111081128</v>
      </c>
      <c r="AF449">
        <f t="shared" si="339"/>
        <v>3.5584819946549995E-2</v>
      </c>
      <c r="AG449">
        <f t="shared" si="367"/>
        <v>185.95860002684523</v>
      </c>
      <c r="AH449">
        <f t="shared" si="368"/>
        <v>-1096.3883046928083</v>
      </c>
      <c r="AJ449">
        <f t="shared" si="340"/>
        <v>26400</v>
      </c>
      <c r="AK449">
        <f t="shared" si="341"/>
        <v>149686.585348608</v>
      </c>
      <c r="AL449">
        <v>1</v>
      </c>
      <c r="AM449">
        <f t="shared" si="342"/>
        <v>200.57435442072003</v>
      </c>
      <c r="AN449">
        <f t="shared" si="369"/>
        <v>746.92741178264282</v>
      </c>
      <c r="AO449">
        <f t="shared" si="370"/>
        <v>-127.89806883490239</v>
      </c>
      <c r="AQ449">
        <f t="shared" si="343"/>
        <v>1.8107737780400583E-3</v>
      </c>
      <c r="AR449">
        <f t="shared" si="344"/>
        <v>-4.2553183783941373</v>
      </c>
      <c r="AT449">
        <f t="shared" si="365"/>
        <v>-4665.1445738589691</v>
      </c>
      <c r="AU449">
        <f t="shared" si="366"/>
        <v>-793.29835950736651</v>
      </c>
      <c r="AV449">
        <f t="shared" si="354"/>
        <v>-2.9731558752538629</v>
      </c>
      <c r="AW449">
        <f t="shared" si="355"/>
        <v>389.16129360243514</v>
      </c>
      <c r="AX449">
        <f t="shared" si="356"/>
        <v>-4929.6233010318365</v>
      </c>
      <c r="AY449">
        <f t="shared" si="364"/>
        <v>-1.4920162956362377</v>
      </c>
      <c r="BA449">
        <f t="shared" si="345"/>
        <v>0.95695678000816675</v>
      </c>
      <c r="BB449">
        <f t="shared" si="357"/>
        <v>-0.38215352508639733</v>
      </c>
      <c r="BC449">
        <f t="shared" si="358"/>
        <v>-1.4811395796176252</v>
      </c>
      <c r="BD449">
        <f t="shared" si="346"/>
        <v>-264.86304687884103</v>
      </c>
      <c r="BF449">
        <f t="shared" si="347"/>
        <v>-65.052415994404697</v>
      </c>
      <c r="BG449">
        <f t="shared" si="348"/>
        <v>-256.55680638801323</v>
      </c>
      <c r="BH449">
        <f t="shared" si="359"/>
        <v>-76.556806388013229</v>
      </c>
      <c r="BI449">
        <f t="shared" si="360"/>
        <v>-76.556806388013229</v>
      </c>
      <c r="BJ449">
        <f t="shared" si="349"/>
        <v>0</v>
      </c>
      <c r="BK449">
        <f t="shared" si="361"/>
        <v>0</v>
      </c>
      <c r="BM449">
        <f t="shared" si="362"/>
        <v>-64.670262469318303</v>
      </c>
      <c r="BN449">
        <f t="shared" si="350"/>
        <v>-171.69375950917214</v>
      </c>
      <c r="BQ449" s="56">
        <f t="shared" si="363"/>
        <v>16.51980727519874</v>
      </c>
    </row>
    <row r="450" spans="1:69" x14ac:dyDescent="0.2">
      <c r="A450">
        <f t="shared" si="372"/>
        <v>1180000</v>
      </c>
      <c r="B450">
        <f t="shared" si="351"/>
        <v>1180</v>
      </c>
      <c r="C450">
        <f t="shared" si="320"/>
        <v>1.0105034282978429</v>
      </c>
      <c r="D450">
        <f t="shared" si="321"/>
        <v>0.14430737912132624</v>
      </c>
      <c r="F450">
        <f t="shared" si="322"/>
        <v>3.821267016211829E-5</v>
      </c>
      <c r="G450">
        <f t="shared" si="323"/>
        <v>1.2615678507485377E-3</v>
      </c>
      <c r="H450">
        <f t="shared" si="324"/>
        <v>-3.1403310821492516</v>
      </c>
      <c r="J450">
        <f t="shared" si="325"/>
        <v>15</v>
      </c>
      <c r="M450">
        <f t="shared" si="326"/>
        <v>1.0599543456162768E-3</v>
      </c>
      <c r="N450">
        <f t="shared" si="327"/>
        <v>-1.5707963250000001</v>
      </c>
      <c r="O450">
        <f t="shared" si="328"/>
        <v>231.73168640862383</v>
      </c>
      <c r="P450">
        <f t="shared" si="329"/>
        <v>1.5664809777841033</v>
      </c>
      <c r="Q450">
        <f t="shared" si="330"/>
        <v>201.4303445748194</v>
      </c>
      <c r="R450">
        <f t="shared" si="331"/>
        <v>1.5658318110966356</v>
      </c>
      <c r="S450">
        <f t="shared" si="332"/>
        <v>0.17297394230194593</v>
      </c>
      <c r="T450">
        <f t="shared" si="333"/>
        <v>-1.396947996861577</v>
      </c>
      <c r="U450">
        <f t="shared" si="334"/>
        <v>0.17078761112804361</v>
      </c>
      <c r="V450">
        <f t="shared" si="335"/>
        <v>-1.3991673575869079</v>
      </c>
      <c r="X450">
        <f t="shared" si="352"/>
        <v>-61.446580776979175</v>
      </c>
      <c r="Y450">
        <f t="shared" si="336"/>
        <v>-242.39681960270082</v>
      </c>
      <c r="Z450">
        <f t="shared" si="353"/>
        <v>-62.396819602700816</v>
      </c>
      <c r="AC450">
        <v>1</v>
      </c>
      <c r="AD450">
        <f t="shared" si="337"/>
        <v>231.72952873077</v>
      </c>
      <c r="AE450">
        <f t="shared" si="338"/>
        <v>-0.2061695388991896</v>
      </c>
      <c r="AF450">
        <f t="shared" si="339"/>
        <v>3.5736244712279999E-2</v>
      </c>
      <c r="AG450">
        <f t="shared" si="367"/>
        <v>184.43188820162575</v>
      </c>
      <c r="AH450">
        <f t="shared" si="368"/>
        <v>-1092.0072230036587</v>
      </c>
      <c r="AJ450">
        <f t="shared" si="340"/>
        <v>26400</v>
      </c>
      <c r="AK450">
        <f t="shared" si="341"/>
        <v>150323.54954158081</v>
      </c>
      <c r="AL450">
        <v>1</v>
      </c>
      <c r="AM450">
        <f t="shared" si="342"/>
        <v>201.42786231187205</v>
      </c>
      <c r="AN450">
        <f t="shared" si="369"/>
        <v>746.92201947351452</v>
      </c>
      <c r="AO450">
        <f t="shared" si="370"/>
        <v>-127.35615463568621</v>
      </c>
      <c r="AQ450">
        <f t="shared" si="343"/>
        <v>1.7954607520359179E-3</v>
      </c>
      <c r="AR450">
        <f t="shared" si="344"/>
        <v>-4.2372873748047661</v>
      </c>
      <c r="AT450">
        <f t="shared" si="365"/>
        <v>-4626.8172790123263</v>
      </c>
      <c r="AU450">
        <f t="shared" si="366"/>
        <v>-783.45156749799571</v>
      </c>
      <c r="AV450">
        <f t="shared" si="354"/>
        <v>-2.9738553046043981</v>
      </c>
      <c r="AW450">
        <f t="shared" si="355"/>
        <v>392.22684922616691</v>
      </c>
      <c r="AX450">
        <f t="shared" si="356"/>
        <v>-4908.9732689197735</v>
      </c>
      <c r="AY450">
        <f t="shared" si="364"/>
        <v>-1.4910657292120386</v>
      </c>
      <c r="BA450">
        <f t="shared" si="345"/>
        <v>0.95290213592791417</v>
      </c>
      <c r="BB450">
        <f t="shared" si="357"/>
        <v>-0.41903399161752941</v>
      </c>
      <c r="BC450">
        <f t="shared" si="358"/>
        <v>-1.4827895753923594</v>
      </c>
      <c r="BD450">
        <f t="shared" si="346"/>
        <v>-264.95758467305581</v>
      </c>
      <c r="BF450">
        <f t="shared" si="347"/>
        <v>-65.162305271843735</v>
      </c>
      <c r="BG450">
        <f t="shared" si="348"/>
        <v>-256.61709837386178</v>
      </c>
      <c r="BH450">
        <f t="shared" si="359"/>
        <v>-76.617098373861779</v>
      </c>
      <c r="BI450">
        <f t="shared" si="360"/>
        <v>-76.617098373861779</v>
      </c>
      <c r="BJ450">
        <f t="shared" si="349"/>
        <v>0</v>
      </c>
      <c r="BK450">
        <f t="shared" si="361"/>
        <v>0</v>
      </c>
      <c r="BM450">
        <f t="shared" si="362"/>
        <v>-64.74327128022621</v>
      </c>
      <c r="BN450">
        <f t="shared" si="350"/>
        <v>-171.65951370080603</v>
      </c>
      <c r="BQ450" s="56">
        <f t="shared" si="363"/>
        <v>16.482926808667607</v>
      </c>
    </row>
    <row r="451" spans="1:69" x14ac:dyDescent="0.2">
      <c r="A451">
        <f t="shared" si="372"/>
        <v>1185000</v>
      </c>
      <c r="B451">
        <f t="shared" si="351"/>
        <v>1185</v>
      </c>
      <c r="C451">
        <f t="shared" si="320"/>
        <v>1.0105921615038918</v>
      </c>
      <c r="D451">
        <f t="shared" si="321"/>
        <v>0.14491034432905395</v>
      </c>
      <c r="F451">
        <f t="shared" si="322"/>
        <v>3.7890868741878956E-5</v>
      </c>
      <c r="G451">
        <f t="shared" si="323"/>
        <v>1.2562443807857867E-3</v>
      </c>
      <c r="H451">
        <f t="shared" si="324"/>
        <v>-3.1403364056192142</v>
      </c>
      <c r="J451">
        <f t="shared" si="325"/>
        <v>15</v>
      </c>
      <c r="M451">
        <f t="shared" si="326"/>
        <v>1.055481964411145E-3</v>
      </c>
      <c r="N451">
        <f t="shared" si="327"/>
        <v>-1.5707963250000001</v>
      </c>
      <c r="O451">
        <f t="shared" si="328"/>
        <v>232.7135820873396</v>
      </c>
      <c r="P451">
        <f t="shared" si="329"/>
        <v>1.5664991857831552</v>
      </c>
      <c r="Q451">
        <f t="shared" si="330"/>
        <v>202.28384199241631</v>
      </c>
      <c r="R451">
        <f t="shared" si="331"/>
        <v>1.5658527580782495</v>
      </c>
      <c r="S451">
        <f t="shared" si="332"/>
        <v>0.17226579756744653</v>
      </c>
      <c r="T451">
        <f t="shared" si="333"/>
        <v>-1.3976669339235293</v>
      </c>
      <c r="U451">
        <f t="shared" si="334"/>
        <v>0.17008787871846004</v>
      </c>
      <c r="V451">
        <f t="shared" si="335"/>
        <v>-1.3998774802097522</v>
      </c>
      <c r="X451">
        <f t="shared" si="352"/>
        <v>-61.553841748117634</v>
      </c>
      <c r="Y451">
        <f t="shared" si="336"/>
        <v>-242.44221292698995</v>
      </c>
      <c r="Z451">
        <f t="shared" si="353"/>
        <v>-62.442212926989953</v>
      </c>
      <c r="AC451">
        <v>1</v>
      </c>
      <c r="AD451">
        <f t="shared" si="337"/>
        <v>232.71143351352751</v>
      </c>
      <c r="AE451">
        <f t="shared" si="338"/>
        <v>-0.20792044007520433</v>
      </c>
      <c r="AF451">
        <f t="shared" si="339"/>
        <v>3.5887669478009997E-2</v>
      </c>
      <c r="AG451">
        <f t="shared" si="367"/>
        <v>182.92371559126804</v>
      </c>
      <c r="AH451">
        <f t="shared" si="368"/>
        <v>-1087.6599125458845</v>
      </c>
      <c r="AJ451">
        <f t="shared" si="340"/>
        <v>26400</v>
      </c>
      <c r="AK451">
        <f t="shared" si="341"/>
        <v>150960.51373455362</v>
      </c>
      <c r="AL451">
        <v>1</v>
      </c>
      <c r="AM451">
        <f t="shared" si="342"/>
        <v>202.28137020302401</v>
      </c>
      <c r="AN451">
        <f t="shared" si="369"/>
        <v>746.91669527513557</v>
      </c>
      <c r="AO451">
        <f t="shared" si="370"/>
        <v>-126.81881321536233</v>
      </c>
      <c r="AQ451">
        <f t="shared" si="343"/>
        <v>1.7803411525323305E-3</v>
      </c>
      <c r="AR451">
        <f t="shared" si="344"/>
        <v>-4.2194085315016236</v>
      </c>
      <c r="AT451">
        <f t="shared" si="365"/>
        <v>-4588.9558477497731</v>
      </c>
      <c r="AU451">
        <f t="shared" si="366"/>
        <v>-773.76629188203799</v>
      </c>
      <c r="AV451">
        <f t="shared" si="354"/>
        <v>-2.9745490071131599</v>
      </c>
      <c r="AW451">
        <f t="shared" si="355"/>
        <v>395.25294361438284</v>
      </c>
      <c r="AX451">
        <f t="shared" si="356"/>
        <v>-4888.4946303671377</v>
      </c>
      <c r="AY451">
        <f t="shared" si="364"/>
        <v>-1.4901181145070816</v>
      </c>
      <c r="BA451">
        <f t="shared" si="345"/>
        <v>0.94888016992592505</v>
      </c>
      <c r="BB451">
        <f t="shared" si="357"/>
        <v>-0.45577258656166542</v>
      </c>
      <c r="BC451">
        <f t="shared" si="358"/>
        <v>-1.4844308926060783</v>
      </c>
      <c r="BD451">
        <f t="shared" si="346"/>
        <v>-265.0516252223515</v>
      </c>
      <c r="BF451">
        <f t="shared" si="347"/>
        <v>-65.271737644568162</v>
      </c>
      <c r="BG451">
        <f t="shared" si="348"/>
        <v>-256.67689657388354</v>
      </c>
      <c r="BH451">
        <f t="shared" si="359"/>
        <v>-76.676896573883539</v>
      </c>
      <c r="BI451">
        <f t="shared" si="360"/>
        <v>-76.676896573883539</v>
      </c>
      <c r="BJ451">
        <f t="shared" si="349"/>
        <v>0</v>
      </c>
      <c r="BK451">
        <f t="shared" si="361"/>
        <v>0</v>
      </c>
      <c r="BM451">
        <f t="shared" si="362"/>
        <v>-64.815965058006498</v>
      </c>
      <c r="BN451">
        <f t="shared" si="350"/>
        <v>-171.62527135153209</v>
      </c>
      <c r="BQ451" s="56">
        <f t="shared" si="363"/>
        <v>16.44618821372347</v>
      </c>
    </row>
    <row r="452" spans="1:69" x14ac:dyDescent="0.2">
      <c r="A452">
        <f t="shared" si="372"/>
        <v>1190000</v>
      </c>
      <c r="B452">
        <f t="shared" si="351"/>
        <v>1190</v>
      </c>
      <c r="C452">
        <f t="shared" si="320"/>
        <v>1.0106812620633499</v>
      </c>
      <c r="D452">
        <f t="shared" si="321"/>
        <v>0.14551320344241697</v>
      </c>
      <c r="F452">
        <f t="shared" si="322"/>
        <v>3.7573115313471839E-5</v>
      </c>
      <c r="G452">
        <f t="shared" si="323"/>
        <v>1.2509656508610132E-3</v>
      </c>
      <c r="H452">
        <f t="shared" si="324"/>
        <v>-3.1403416843491394</v>
      </c>
      <c r="J452">
        <f t="shared" si="325"/>
        <v>15</v>
      </c>
      <c r="M452">
        <f t="shared" si="326"/>
        <v>1.0510471662413502E-3</v>
      </c>
      <c r="N452">
        <f t="shared" si="327"/>
        <v>-1.5707963250000001</v>
      </c>
      <c r="O452">
        <f t="shared" si="328"/>
        <v>233.69547784255883</v>
      </c>
      <c r="P452">
        <f t="shared" si="329"/>
        <v>1.566517240776625</v>
      </c>
      <c r="Q452">
        <f t="shared" si="330"/>
        <v>203.13733949802469</v>
      </c>
      <c r="R452">
        <f t="shared" si="331"/>
        <v>1.5658735290390917</v>
      </c>
      <c r="S452">
        <f t="shared" si="332"/>
        <v>0.17156333980037083</v>
      </c>
      <c r="T452">
        <f t="shared" si="333"/>
        <v>-1.3983800080527347</v>
      </c>
      <c r="U452">
        <f t="shared" si="334"/>
        <v>0.16939377226994676</v>
      </c>
      <c r="V452">
        <f t="shared" si="335"/>
        <v>-1.4005818073497533</v>
      </c>
      <c r="X452">
        <f t="shared" si="352"/>
        <v>-61.660662312675299</v>
      </c>
      <c r="Y452">
        <f t="shared" si="336"/>
        <v>-242.48696064043463</v>
      </c>
      <c r="Z452">
        <f t="shared" si="353"/>
        <v>-62.486960640434631</v>
      </c>
      <c r="AC452">
        <v>1</v>
      </c>
      <c r="AD452">
        <f t="shared" si="337"/>
        <v>233.69333829628502</v>
      </c>
      <c r="AE452">
        <f t="shared" si="338"/>
        <v>-0.2096787446388555</v>
      </c>
      <c r="AF452">
        <f t="shared" si="339"/>
        <v>3.6039094243739994E-2</v>
      </c>
      <c r="AG452">
        <f t="shared" si="367"/>
        <v>181.43378626148609</v>
      </c>
      <c r="AH452">
        <f t="shared" si="368"/>
        <v>-1083.3459984961908</v>
      </c>
      <c r="AJ452">
        <f t="shared" si="340"/>
        <v>26400</v>
      </c>
      <c r="AK452">
        <f t="shared" si="341"/>
        <v>151597.47792752643</v>
      </c>
      <c r="AL452">
        <v>1</v>
      </c>
      <c r="AM452">
        <f t="shared" si="342"/>
        <v>203.13487809417603</v>
      </c>
      <c r="AN452">
        <f t="shared" si="369"/>
        <v>746.91143804524188</v>
      </c>
      <c r="AO452">
        <f t="shared" si="370"/>
        <v>-126.28598693948386</v>
      </c>
      <c r="AQ452">
        <f t="shared" si="343"/>
        <v>1.7654117355038954E-3</v>
      </c>
      <c r="AR452">
        <f t="shared" si="344"/>
        <v>-4.2016799304992709</v>
      </c>
      <c r="AT452">
        <f t="shared" si="365"/>
        <v>-4551.552834332655</v>
      </c>
      <c r="AU452">
        <f t="shared" si="366"/>
        <v>-764.23925018873683</v>
      </c>
      <c r="AV452">
        <f t="shared" si="354"/>
        <v>-2.9752370521204199</v>
      </c>
      <c r="AW452">
        <f t="shared" si="355"/>
        <v>398.24025344136754</v>
      </c>
      <c r="AX452">
        <f t="shared" si="356"/>
        <v>-4868.1852702938068</v>
      </c>
      <c r="AY452">
        <f t="shared" si="364"/>
        <v>-1.4891734140141555</v>
      </c>
      <c r="BA452">
        <f t="shared" si="345"/>
        <v>0.94489048998457148</v>
      </c>
      <c r="BB452">
        <f t="shared" si="357"/>
        <v>-0.49237044042459421</v>
      </c>
      <c r="BC452">
        <f t="shared" si="358"/>
        <v>-1.4860636381062644</v>
      </c>
      <c r="BD452">
        <f t="shared" si="346"/>
        <v>-265.14517464863803</v>
      </c>
      <c r="BF452">
        <f t="shared" si="347"/>
        <v>-65.380716871914629</v>
      </c>
      <c r="BG452">
        <f t="shared" si="348"/>
        <v>-256.73620716624021</v>
      </c>
      <c r="BH452">
        <f t="shared" si="359"/>
        <v>-76.736207166240206</v>
      </c>
      <c r="BI452">
        <f t="shared" si="360"/>
        <v>-76.736207166240206</v>
      </c>
      <c r="BJ452">
        <f t="shared" si="349"/>
        <v>0</v>
      </c>
      <c r="BK452">
        <f t="shared" si="361"/>
        <v>0</v>
      </c>
      <c r="BM452">
        <f t="shared" si="362"/>
        <v>-64.888346431490035</v>
      </c>
      <c r="BN452">
        <f t="shared" si="350"/>
        <v>-171.59103251760217</v>
      </c>
      <c r="BQ452" s="56">
        <f t="shared" si="363"/>
        <v>16.409590359860541</v>
      </c>
    </row>
    <row r="453" spans="1:69" x14ac:dyDescent="0.2">
      <c r="A453">
        <f t="shared" si="372"/>
        <v>1195000</v>
      </c>
      <c r="B453">
        <f t="shared" si="351"/>
        <v>1195</v>
      </c>
      <c r="C453">
        <f t="shared" si="320"/>
        <v>1.0107707298790696</v>
      </c>
      <c r="D453">
        <f t="shared" si="321"/>
        <v>0.14611595605132535</v>
      </c>
      <c r="F453">
        <f t="shared" si="322"/>
        <v>3.7259342265882333E-5</v>
      </c>
      <c r="G453">
        <f t="shared" si="323"/>
        <v>1.2457310993006811E-3</v>
      </c>
      <c r="H453">
        <f t="shared" si="324"/>
        <v>-3.1403469189006996</v>
      </c>
      <c r="J453">
        <f t="shared" si="325"/>
        <v>15</v>
      </c>
      <c r="M453">
        <f t="shared" si="326"/>
        <v>1.0466494793533109E-3</v>
      </c>
      <c r="N453">
        <f t="shared" si="327"/>
        <v>-1.5707963250000001</v>
      </c>
      <c r="O453">
        <f t="shared" si="328"/>
        <v>234.67737367332134</v>
      </c>
      <c r="P453">
        <f t="shared" si="329"/>
        <v>1.5665351446850386</v>
      </c>
      <c r="Q453">
        <f t="shared" si="330"/>
        <v>203.99083709053986</v>
      </c>
      <c r="R453">
        <f t="shared" si="331"/>
        <v>1.5658941261885568</v>
      </c>
      <c r="S453">
        <f t="shared" si="332"/>
        <v>0.17086650184324823</v>
      </c>
      <c r="T453">
        <f t="shared" si="333"/>
        <v>-1.3990872899599136</v>
      </c>
      <c r="U453">
        <f t="shared" si="334"/>
        <v>0.16870522523951648</v>
      </c>
      <c r="V453">
        <f t="shared" si="335"/>
        <v>-1.4012804089757622</v>
      </c>
      <c r="X453">
        <f t="shared" si="352"/>
        <v>-61.76704592902869</v>
      </c>
      <c r="Y453">
        <f t="shared" si="336"/>
        <v>-242.53107062243151</v>
      </c>
      <c r="Z453">
        <f t="shared" si="353"/>
        <v>-62.531070622431514</v>
      </c>
      <c r="AC453">
        <v>1</v>
      </c>
      <c r="AD453">
        <f t="shared" si="337"/>
        <v>234.6752430790425</v>
      </c>
      <c r="AE453">
        <f t="shared" si="338"/>
        <v>-0.21144445259014311</v>
      </c>
      <c r="AF453">
        <f t="shared" si="339"/>
        <v>3.6190519009469999E-2</v>
      </c>
      <c r="AG453">
        <f t="shared" si="367"/>
        <v>179.96181009780321</v>
      </c>
      <c r="AH453">
        <f t="shared" si="368"/>
        <v>-1079.0651113083663</v>
      </c>
      <c r="AJ453">
        <f t="shared" si="340"/>
        <v>26400</v>
      </c>
      <c r="AK453">
        <f t="shared" si="341"/>
        <v>152234.44212049921</v>
      </c>
      <c r="AL453">
        <v>1</v>
      </c>
      <c r="AM453">
        <f t="shared" si="342"/>
        <v>203.98838598532802</v>
      </c>
      <c r="AN453">
        <f t="shared" si="369"/>
        <v>746.90624666541487</v>
      </c>
      <c r="AO453">
        <f t="shared" si="370"/>
        <v>-125.75761913808022</v>
      </c>
      <c r="AQ453">
        <f t="shared" si="343"/>
        <v>1.7506693246495467E-3</v>
      </c>
      <c r="AR453">
        <f t="shared" si="344"/>
        <v>-4.1840996859124164</v>
      </c>
      <c r="AT453">
        <f t="shared" si="365"/>
        <v>-4514.6009396838353</v>
      </c>
      <c r="AU453">
        <f t="shared" si="366"/>
        <v>-754.86723929611537</v>
      </c>
      <c r="AV453">
        <f t="shared" si="354"/>
        <v>-2.9759195078630927</v>
      </c>
      <c r="AW453">
        <f t="shared" si="355"/>
        <v>401.18944089975764</v>
      </c>
      <c r="AX453">
        <f t="shared" si="356"/>
        <v>-4848.0431081367769</v>
      </c>
      <c r="AY453">
        <f t="shared" si="364"/>
        <v>-1.4882315909060224</v>
      </c>
      <c r="BA453">
        <f t="shared" si="345"/>
        <v>0.94093271024222647</v>
      </c>
      <c r="BB453">
        <f t="shared" si="357"/>
        <v>-0.5288286709959954</v>
      </c>
      <c r="BC453">
        <f t="shared" si="358"/>
        <v>-1.4876879169570703</v>
      </c>
      <c r="BD453">
        <f t="shared" si="346"/>
        <v>-265.23823897164789</v>
      </c>
      <c r="BF453">
        <f t="shared" si="347"/>
        <v>-65.489246667458403</v>
      </c>
      <c r="BG453">
        <f t="shared" si="348"/>
        <v>-256.79503622634206</v>
      </c>
      <c r="BH453">
        <f t="shared" si="359"/>
        <v>-76.795036226342063</v>
      </c>
      <c r="BI453">
        <f t="shared" si="360"/>
        <v>-76.795036226342063</v>
      </c>
      <c r="BJ453">
        <f t="shared" si="349"/>
        <v>0</v>
      </c>
      <c r="BK453">
        <f t="shared" si="361"/>
        <v>0</v>
      </c>
      <c r="BM453">
        <f t="shared" si="362"/>
        <v>-64.960417996462411</v>
      </c>
      <c r="BN453">
        <f t="shared" si="350"/>
        <v>-171.55679725469415</v>
      </c>
      <c r="BQ453" s="56">
        <f t="shared" si="363"/>
        <v>16.373132129289139</v>
      </c>
    </row>
    <row r="454" spans="1:69" x14ac:dyDescent="0.2">
      <c r="A454">
        <f t="shared" si="372"/>
        <v>1200000</v>
      </c>
      <c r="B454">
        <f t="shared" si="351"/>
        <v>1200</v>
      </c>
      <c r="C454">
        <f t="shared" si="320"/>
        <v>1.0108605648535369</v>
      </c>
      <c r="D454">
        <f t="shared" si="321"/>
        <v>0.14671860174614351</v>
      </c>
      <c r="F454">
        <f t="shared" si="322"/>
        <v>3.6949483393820355E-5</v>
      </c>
      <c r="G454">
        <f t="shared" si="323"/>
        <v>1.2405401737942013E-3</v>
      </c>
      <c r="H454">
        <f t="shared" si="324"/>
        <v>-3.1403521098262059</v>
      </c>
      <c r="J454">
        <f t="shared" si="325"/>
        <v>15</v>
      </c>
      <c r="M454">
        <f t="shared" si="326"/>
        <v>1.0422884398560055E-3</v>
      </c>
      <c r="N454">
        <f t="shared" si="327"/>
        <v>-1.5707963250000001</v>
      </c>
      <c r="O454">
        <f t="shared" si="328"/>
        <v>235.6592695786828</v>
      </c>
      <c r="P454">
        <f t="shared" si="329"/>
        <v>1.5665528993969131</v>
      </c>
      <c r="Q454">
        <f t="shared" si="330"/>
        <v>204.8443347688754</v>
      </c>
      <c r="R454">
        <f t="shared" si="331"/>
        <v>1.5659145516992172</v>
      </c>
      <c r="S454">
        <f t="shared" si="332"/>
        <v>0.17017521757422072</v>
      </c>
      <c r="T454">
        <f t="shared" si="333"/>
        <v>-1.3997888492348658</v>
      </c>
      <c r="U454">
        <f t="shared" si="334"/>
        <v>0.16802217211245504</v>
      </c>
      <c r="V454">
        <f t="shared" si="335"/>
        <v>-1.4019733539460311</v>
      </c>
      <c r="X454">
        <f t="shared" si="352"/>
        <v>-61.872996015585954</v>
      </c>
      <c r="Y454">
        <f t="shared" si="336"/>
        <v>-242.5745506279018</v>
      </c>
      <c r="Z454">
        <f t="shared" si="353"/>
        <v>-62.5745506279018</v>
      </c>
      <c r="AC454">
        <v>1</v>
      </c>
      <c r="AD454">
        <f t="shared" si="337"/>
        <v>235.65714786180001</v>
      </c>
      <c r="AE454">
        <f t="shared" si="338"/>
        <v>-0.21321756392906713</v>
      </c>
      <c r="AF454">
        <f t="shared" si="339"/>
        <v>3.6341943775199996E-2</v>
      </c>
      <c r="AG454">
        <f t="shared" si="367"/>
        <v>178.5075026702508</v>
      </c>
      <c r="AH454">
        <f t="shared" si="368"/>
        <v>-1074.816886626405</v>
      </c>
      <c r="AJ454">
        <f t="shared" si="340"/>
        <v>26400</v>
      </c>
      <c r="AK454">
        <f t="shared" si="341"/>
        <v>152871.40631347202</v>
      </c>
      <c r="AL454">
        <v>1</v>
      </c>
      <c r="AM454">
        <f t="shared" si="342"/>
        <v>204.84189387648004</v>
      </c>
      <c r="AN454">
        <f t="shared" si="369"/>
        <v>746.90112004048729</v>
      </c>
      <c r="AO454">
        <f t="shared" si="370"/>
        <v>-125.23365408556693</v>
      </c>
      <c r="AQ454">
        <f t="shared" si="343"/>
        <v>1.7361108097029845E-3</v>
      </c>
      <c r="AR454">
        <f t="shared" si="344"/>
        <v>-4.1666659432871622</v>
      </c>
      <c r="AT454">
        <f t="shared" si="365"/>
        <v>-4478.0930079711825</v>
      </c>
      <c r="AU454">
        <f t="shared" si="366"/>
        <v>-745.6471332126996</v>
      </c>
      <c r="AV454">
        <f t="shared" si="354"/>
        <v>-2.9765964414963575</v>
      </c>
      <c r="AW454">
        <f t="shared" si="355"/>
        <v>404.10115407162243</v>
      </c>
      <c r="AX454">
        <f t="shared" si="356"/>
        <v>-4828.0660971512889</v>
      </c>
      <c r="AY454">
        <f t="shared" si="364"/>
        <v>-1.4872926090202092</v>
      </c>
      <c r="BA454">
        <f t="shared" si="345"/>
        <v>0.93700645087507373</v>
      </c>
      <c r="BB454">
        <f t="shared" si="357"/>
        <v>-0.56514838352929864</v>
      </c>
      <c r="BC454">
        <f t="shared" si="358"/>
        <v>-1.4893038324761483</v>
      </c>
      <c r="BD454">
        <f t="shared" si="346"/>
        <v>-265.33082411104658</v>
      </c>
      <c r="BF454">
        <f t="shared" si="347"/>
        <v>-65.597330699745186</v>
      </c>
      <c r="BG454">
        <f t="shared" si="348"/>
        <v>-256.85338972897006</v>
      </c>
      <c r="BH454">
        <f t="shared" si="359"/>
        <v>-76.853389728970058</v>
      </c>
      <c r="BI454">
        <f t="shared" si="360"/>
        <v>-76.853389728970058</v>
      </c>
      <c r="BJ454">
        <f t="shared" si="349"/>
        <v>0</v>
      </c>
      <c r="BK454">
        <f t="shared" si="361"/>
        <v>0</v>
      </c>
      <c r="BM454">
        <f t="shared" si="362"/>
        <v>-65.032182316215895</v>
      </c>
      <c r="BN454">
        <f t="shared" si="350"/>
        <v>-171.5225656179235</v>
      </c>
      <c r="BQ454" s="56">
        <f t="shared" si="363"/>
        <v>16.336812416755841</v>
      </c>
    </row>
    <row r="455" spans="1:69" x14ac:dyDescent="0.2">
      <c r="A455">
        <f t="shared" si="372"/>
        <v>1205000</v>
      </c>
      <c r="B455">
        <f t="shared" si="351"/>
        <v>1205</v>
      </c>
      <c r="C455">
        <f t="shared" si="320"/>
        <v>1.0109507668888731</v>
      </c>
      <c r="D455">
        <f t="shared" si="321"/>
        <v>0.14732114011769176</v>
      </c>
      <c r="F455">
        <f t="shared" si="322"/>
        <v>3.6643473862792946E-5</v>
      </c>
      <c r="G455">
        <f t="shared" si="323"/>
        <v>1.2353923311996368E-3</v>
      </c>
      <c r="H455">
        <f t="shared" si="324"/>
        <v>-3.1403572576688004</v>
      </c>
      <c r="J455">
        <f t="shared" si="325"/>
        <v>15</v>
      </c>
      <c r="M455">
        <f t="shared" si="326"/>
        <v>1.0379635915578479E-3</v>
      </c>
      <c r="N455">
        <f t="shared" si="327"/>
        <v>-1.5707963250000001</v>
      </c>
      <c r="O455">
        <f t="shared" si="328"/>
        <v>236.64116555771454</v>
      </c>
      <c r="P455">
        <f t="shared" si="329"/>
        <v>1.5665705067694224</v>
      </c>
      <c r="Q455">
        <f t="shared" si="330"/>
        <v>205.69783253196314</v>
      </c>
      <c r="R455">
        <f t="shared" si="331"/>
        <v>1.5659348077075879</v>
      </c>
      <c r="S455">
        <f t="shared" si="332"/>
        <v>0.16948942188752195</v>
      </c>
      <c r="T455">
        <f t="shared" si="333"/>
        <v>-1.4004847543683598</v>
      </c>
      <c r="U455">
        <f t="shared" si="334"/>
        <v>0.1673445483828867</v>
      </c>
      <c r="V455">
        <f t="shared" si="335"/>
        <v>-1.4026607100299349</v>
      </c>
      <c r="X455">
        <f t="shared" si="352"/>
        <v>-61.978515951386981</v>
      </c>
      <c r="Y455">
        <f t="shared" si="336"/>
        <v>-242.61740828971912</v>
      </c>
      <c r="Z455">
        <f t="shared" si="353"/>
        <v>-62.617408289719123</v>
      </c>
      <c r="AC455">
        <v>1</v>
      </c>
      <c r="AD455">
        <f t="shared" si="337"/>
        <v>236.63905264455752</v>
      </c>
      <c r="AE455">
        <f t="shared" si="338"/>
        <v>-0.21499807865562756</v>
      </c>
      <c r="AF455">
        <f t="shared" si="339"/>
        <v>3.649336854093E-2</v>
      </c>
      <c r="AG455">
        <f t="shared" si="367"/>
        <v>177.07058510168005</v>
      </c>
      <c r="AH455">
        <f t="shared" si="368"/>
        <v>-1070.6009651991787</v>
      </c>
      <c r="AJ455">
        <f t="shared" si="340"/>
        <v>26400</v>
      </c>
      <c r="AK455">
        <f t="shared" si="341"/>
        <v>153508.37050644483</v>
      </c>
      <c r="AL455">
        <v>1</v>
      </c>
      <c r="AM455">
        <f t="shared" si="342"/>
        <v>205.69540176763201</v>
      </c>
      <c r="AN455">
        <f t="shared" si="369"/>
        <v>746.89605709796433</v>
      </c>
      <c r="AO455">
        <f t="shared" si="370"/>
        <v>-124.71403698115519</v>
      </c>
      <c r="AQ455">
        <f t="shared" si="343"/>
        <v>1.7217331447920757E-3</v>
      </c>
      <c r="AR455">
        <f t="shared" si="344"/>
        <v>-4.1493768789489023</v>
      </c>
      <c r="AT455">
        <f t="shared" si="365"/>
        <v>-4442.0220232825131</v>
      </c>
      <c r="AU455">
        <f t="shared" si="366"/>
        <v>-736.57588092949493</v>
      </c>
      <c r="AV455">
        <f t="shared" si="354"/>
        <v>-2.9772679191147833</v>
      </c>
      <c r="AW455">
        <f t="shared" si="355"/>
        <v>406.97602728848301</v>
      </c>
      <c r="AX455">
        <f t="shared" si="356"/>
        <v>-4808.2522237288094</v>
      </c>
      <c r="AY455">
        <f t="shared" si="364"/>
        <v>-1.4863564328442032</v>
      </c>
      <c r="BA455">
        <f t="shared" si="345"/>
        <v>0.93311133798157042</v>
      </c>
      <c r="BB455">
        <f t="shared" si="357"/>
        <v>-0.60133067091862225</v>
      </c>
      <c r="BC455">
        <f t="shared" si="358"/>
        <v>-1.4909114862705801</v>
      </c>
      <c r="BD455">
        <f t="shared" si="346"/>
        <v>-265.42293588849094</v>
      </c>
      <c r="BF455">
        <f t="shared" si="347"/>
        <v>-65.704972593008804</v>
      </c>
      <c r="BG455">
        <f t="shared" si="348"/>
        <v>-256.91127355034519</v>
      </c>
      <c r="BH455">
        <f t="shared" si="359"/>
        <v>-76.911273550345186</v>
      </c>
      <c r="BI455">
        <f t="shared" si="360"/>
        <v>-76.911273550345186</v>
      </c>
      <c r="BJ455">
        <f t="shared" si="349"/>
        <v>0</v>
      </c>
      <c r="BK455">
        <f t="shared" si="361"/>
        <v>0</v>
      </c>
      <c r="BM455">
        <f t="shared" si="362"/>
        <v>-65.103641922090191</v>
      </c>
      <c r="BN455">
        <f t="shared" si="350"/>
        <v>-171.48833766185425</v>
      </c>
      <c r="BQ455" s="56">
        <f t="shared" si="363"/>
        <v>16.300630129366517</v>
      </c>
    </row>
    <row r="456" spans="1:69" x14ac:dyDescent="0.2">
      <c r="A456">
        <f t="shared" si="372"/>
        <v>1210000</v>
      </c>
      <c r="B456">
        <f t="shared" si="351"/>
        <v>1210</v>
      </c>
      <c r="C456">
        <f t="shared" si="320"/>
        <v>1.0110413358868333</v>
      </c>
      <c r="D456">
        <f t="shared" si="321"/>
        <v>0.14792357075724794</v>
      </c>
      <c r="F456">
        <f t="shared" si="322"/>
        <v>3.6341250175185082E-5</v>
      </c>
      <c r="G456">
        <f t="shared" si="323"/>
        <v>1.2302870373542254E-3</v>
      </c>
      <c r="H456">
        <f t="shared" si="324"/>
        <v>-3.1403623629626458</v>
      </c>
      <c r="J456">
        <f t="shared" si="325"/>
        <v>15</v>
      </c>
      <c r="M456">
        <f t="shared" si="326"/>
        <v>1.0336744858076088E-3</v>
      </c>
      <c r="N456">
        <f t="shared" si="327"/>
        <v>-1.5707963250000001</v>
      </c>
      <c r="O456">
        <f t="shared" si="328"/>
        <v>237.62306160950345</v>
      </c>
      <c r="P456">
        <f t="shared" si="329"/>
        <v>1.5665879686290443</v>
      </c>
      <c r="Q456">
        <f t="shared" si="330"/>
        <v>206.5513303787524</v>
      </c>
      <c r="R456">
        <f t="shared" si="331"/>
        <v>1.5659548963148711</v>
      </c>
      <c r="S456">
        <f t="shared" si="332"/>
        <v>0.16880905067438662</v>
      </c>
      <c r="T456">
        <f t="shared" si="333"/>
        <v>-1.4011750727735162</v>
      </c>
      <c r="U456">
        <f t="shared" si="334"/>
        <v>0.16667229053477028</v>
      </c>
      <c r="V456">
        <f t="shared" si="335"/>
        <v>-1.4033425439291909</v>
      </c>
      <c r="X456">
        <f t="shared" si="352"/>
        <v>-62.08360907669271</v>
      </c>
      <c r="Y456">
        <f t="shared" si="336"/>
        <v>-242.65965112108154</v>
      </c>
      <c r="Z456">
        <f t="shared" si="353"/>
        <v>-62.659651121081538</v>
      </c>
      <c r="AC456">
        <v>1</v>
      </c>
      <c r="AD456">
        <f t="shared" si="337"/>
        <v>237.62095742731498</v>
      </c>
      <c r="AE456">
        <f t="shared" si="338"/>
        <v>-0.21678599676982441</v>
      </c>
      <c r="AF456">
        <f t="shared" si="339"/>
        <v>3.6644793306659998E-2</v>
      </c>
      <c r="AG456">
        <f t="shared" si="367"/>
        <v>175.65078393957796</v>
      </c>
      <c r="AH456">
        <f t="shared" si="368"/>
        <v>-1066.4169927966313</v>
      </c>
      <c r="AJ456">
        <f t="shared" si="340"/>
        <v>26400</v>
      </c>
      <c r="AK456">
        <f t="shared" si="341"/>
        <v>154145.33469941761</v>
      </c>
      <c r="AL456">
        <v>1</v>
      </c>
      <c r="AM456">
        <f t="shared" si="342"/>
        <v>206.54890965878403</v>
      </c>
      <c r="AN456">
        <f t="shared" si="369"/>
        <v>746.89105678746262</v>
      </c>
      <c r="AO456">
        <f t="shared" si="370"/>
        <v>-124.19871392974729</v>
      </c>
      <c r="AQ456">
        <f t="shared" si="343"/>
        <v>1.7075333468456139E-3</v>
      </c>
      <c r="AR456">
        <f t="shared" si="344"/>
        <v>-4.132230699366386</v>
      </c>
      <c r="AT456">
        <f t="shared" si="365"/>
        <v>-4406.3811063892463</v>
      </c>
      <c r="AU456">
        <f t="shared" si="366"/>
        <v>-727.65050433973931</v>
      </c>
      <c r="AV456">
        <f t="shared" si="354"/>
        <v>-2.9779340057729637</v>
      </c>
      <c r="AW456">
        <f t="shared" si="355"/>
        <v>409.81468148064516</v>
      </c>
      <c r="AX456">
        <f t="shared" si="356"/>
        <v>-4788.5995067314243</v>
      </c>
      <c r="AY456">
        <f t="shared" si="364"/>
        <v>-1.4854230275010414</v>
      </c>
      <c r="BA456">
        <f t="shared" si="345"/>
        <v>0.92924700346949485</v>
      </c>
      <c r="BB456">
        <f t="shared" si="357"/>
        <v>-0.63737661387284938</v>
      </c>
      <c r="BC456">
        <f t="shared" si="358"/>
        <v>-1.4925109782719224</v>
      </c>
      <c r="BD456">
        <f t="shared" si="346"/>
        <v>-265.5145800296375</v>
      </c>
      <c r="BF456">
        <f t="shared" si="347"/>
        <v>-65.812175927874648</v>
      </c>
      <c r="BG456">
        <f t="shared" si="348"/>
        <v>-256.96869347014723</v>
      </c>
      <c r="BH456">
        <f t="shared" si="359"/>
        <v>-76.96869347014723</v>
      </c>
      <c r="BI456">
        <f t="shared" si="360"/>
        <v>-76.96869347014723</v>
      </c>
      <c r="BJ456">
        <f t="shared" si="349"/>
        <v>0</v>
      </c>
      <c r="BK456">
        <f t="shared" si="361"/>
        <v>0</v>
      </c>
      <c r="BM456">
        <f t="shared" si="362"/>
        <v>-65.174799314001788</v>
      </c>
      <c r="BN456">
        <f t="shared" si="350"/>
        <v>-171.45411344050976</v>
      </c>
      <c r="BQ456" s="56">
        <f t="shared" si="363"/>
        <v>16.264584186412286</v>
      </c>
    </row>
    <row r="457" spans="1:69" x14ac:dyDescent="0.2">
      <c r="A457">
        <f t="shared" si="372"/>
        <v>1215000</v>
      </c>
      <c r="B457">
        <f t="shared" si="351"/>
        <v>1215</v>
      </c>
      <c r="C457">
        <f t="shared" ref="C457:C520" si="373">SQRT((A457/Fesr)^2+1)</f>
        <v>1.0111322717488096</v>
      </c>
      <c r="D457">
        <f t="shared" ref="D457:D520" si="374">ATAN(A457/Fesr)</f>
        <v>0.14852589325654875</v>
      </c>
      <c r="F457">
        <f t="shared" ref="F457:F520" si="375">(Ro/(Ro+Rdcr))/SQRT((A457/(Q*Fo))^2+(1-(A457^2/Fo^2))^2)</f>
        <v>3.6042750137315794E-5</v>
      </c>
      <c r="G457">
        <f t="shared" ref="G457:G520" si="376">-ATAN(A457*Fo/(Q*(Fo^2-A457^2)))</f>
        <v>1.2252237668895838E-3</v>
      </c>
      <c r="H457">
        <f t="shared" ref="H457:H520" si="377">IF(G457&gt;0,G457-Pi,G457)</f>
        <v>-3.1403674262331105</v>
      </c>
      <c r="J457">
        <f t="shared" ref="J457:J520" si="378">Vin/Vramp</f>
        <v>15</v>
      </c>
      <c r="M457">
        <f t="shared" ref="M457:M520" si="379">1/(2*Pi*_Rfb1*(Cc1ea_u+Cc2ea_u)*A457)</f>
        <v>1.0294206813392648E-3</v>
      </c>
      <c r="N457">
        <f t="shared" ref="N457:N520" si="380">-Pi/2</f>
        <v>-1.5707963250000001</v>
      </c>
      <c r="O457">
        <f t="shared" ref="O457:O520" si="381">SQRT(1+(A457/Fz1_u)^2)</f>
        <v>238.6049577331512</v>
      </c>
      <c r="P457">
        <f t="shared" ref="P457:P520" si="382">ATAN2(Fz1_u,A457)</f>
        <v>1.5666052867721918</v>
      </c>
      <c r="Q457">
        <f t="shared" ref="Q457:Q520" si="383">SQRT(1+(A457/Fz2_u)^2)</f>
        <v>207.40482830820986</v>
      </c>
      <c r="R457">
        <f t="shared" ref="R457:R520" si="384">ATAN2(Fz2_u,A457)</f>
        <v>1.5659748195876821</v>
      </c>
      <c r="S457">
        <f t="shared" ref="S457:S520" si="385">1/SQRT(1+(A457/Fp1_u)^2)</f>
        <v>0.16813404080438041</v>
      </c>
      <c r="T457">
        <f t="shared" ref="T457:T520" si="386">-ATAN2(Fp1_u,A457)</f>
        <v>-1.4018598708066978</v>
      </c>
      <c r="U457">
        <f t="shared" ref="U457:U520" si="387">1/SQRT(1+(A457/Fp2_u)^2)</f>
        <v>0.16600533602331444</v>
      </c>
      <c r="V457">
        <f t="shared" ref="V457:V520" si="388">-ATAN2(Fp2_u,A457)</f>
        <v>-1.4040189212985885</v>
      </c>
      <c r="X457">
        <f t="shared" si="352"/>
        <v>-62.18827869356349</v>
      </c>
      <c r="Y457">
        <f t="shared" ref="Y457:Y520" si="389">(180/Pi)*(D457+H457+N457+P457+R457+T457+V457)</f>
        <v>-242.70128651782883</v>
      </c>
      <c r="Z457">
        <f t="shared" si="353"/>
        <v>-62.701286517828834</v>
      </c>
      <c r="AC457">
        <v>1</v>
      </c>
      <c r="AD457">
        <f t="shared" ref="AD457:AD520" si="390">Rcea1_u*Cc1ea_u*A457*2*Pi</f>
        <v>238.60286221007249</v>
      </c>
      <c r="AE457">
        <f t="shared" ref="AE457:AE520" si="391">-Rcea1_u*Cc1ea_u*Cc2ea_u*(A457*2*Pi)^2</f>
        <v>-0.21858131827165769</v>
      </c>
      <c r="AF457">
        <f t="shared" ref="AF457:AF520" si="392">(Cc2ea_u+Cc1ea_u)*A457*2*Pi</f>
        <v>3.6796218072389995E-2</v>
      </c>
      <c r="AG457">
        <f t="shared" si="367"/>
        <v>174.24783103128325</v>
      </c>
      <c r="AH457">
        <f t="shared" si="368"/>
        <v>-1062.2646201274715</v>
      </c>
      <c r="AJ457">
        <f t="shared" ref="AJ457:AJ520" si="393">_Rfb1</f>
        <v>26400</v>
      </c>
      <c r="AK457">
        <f t="shared" ref="AK457:AK520" si="394">_Rfb1*Rcea2_u*Cc3ea_u*A457*2*Pi</f>
        <v>154782.29889239039</v>
      </c>
      <c r="AL457">
        <v>1</v>
      </c>
      <c r="AM457">
        <f t="shared" ref="AM457:AM520" si="395">(_Rfb1+Rcea2_u)*Cc3ea_u*A457*2*Pi</f>
        <v>207.40241754993602</v>
      </c>
      <c r="AN457">
        <f t="shared" si="369"/>
        <v>746.88611808016753</v>
      </c>
      <c r="AO457">
        <f t="shared" si="370"/>
        <v>-123.68763192330371</v>
      </c>
      <c r="AQ457">
        <f t="shared" ref="AQ457:AQ520" si="396">Eadcg/(1+(Eadcg*A457/GBP)^2)</f>
        <v>1.6935084940458782E-3</v>
      </c>
      <c r="AR457">
        <f t="shared" ref="AR457:AR520" si="397">-(A457*Eadcg*Eadcg/GBP)/(1+(Eadcg*A457/GBP)^2)</f>
        <v>-4.1152256405314835</v>
      </c>
      <c r="AT457">
        <f t="shared" si="365"/>
        <v>-4371.1635115960862</v>
      </c>
      <c r="AU457">
        <f t="shared" si="366"/>
        <v>-718.86809622404462</v>
      </c>
      <c r="AV457">
        <f t="shared" si="354"/>
        <v>-2.9785947655056755</v>
      </c>
      <c r="AW457">
        <f t="shared" si="355"/>
        <v>412.61772451621039</v>
      </c>
      <c r="AX457">
        <f t="shared" si="356"/>
        <v>-4769.105996842165</v>
      </c>
      <c r="AY457">
        <f t="shared" si="364"/>
        <v>-1.484492358735281</v>
      </c>
      <c r="BA457">
        <f t="shared" ref="BA457:BA520" si="398">SQRT(AT457^2+AU457^2)/SQRT(AW457^2+AX457^2)</f>
        <v>0.925413084945512</v>
      </c>
      <c r="BB457">
        <f t="shared" si="357"/>
        <v>-0.67328728108690283</v>
      </c>
      <c r="BC457">
        <f t="shared" si="358"/>
        <v>-1.4941024067703945</v>
      </c>
      <c r="BD457">
        <f t="shared" ref="BD457:BD520" si="399">BC457*180/Pi-180</f>
        <v>-265.60576216610104</v>
      </c>
      <c r="BF457">
        <f t="shared" ref="BF457:BF520" si="400">20*LOG(BA457*J457*F457*C457)</f>
        <v>-65.918944242049406</v>
      </c>
      <c r="BG457">
        <f t="shared" ref="BG457:BG520" si="401">(180/Pi)*(D457+H457+BC457)</f>
        <v>-257.0256551734841</v>
      </c>
      <c r="BH457">
        <f t="shared" si="359"/>
        <v>-77.025655173484097</v>
      </c>
      <c r="BI457">
        <f t="shared" si="360"/>
        <v>-77.025655173484097</v>
      </c>
      <c r="BJ457">
        <f t="shared" ref="BJ457:BJ520" si="402">SUM((BF458&lt;0)*(BF457&gt;0))*A457</f>
        <v>0</v>
      </c>
      <c r="BK457">
        <f t="shared" si="361"/>
        <v>0</v>
      </c>
      <c r="BM457">
        <f t="shared" si="362"/>
        <v>-65.245656960962492</v>
      </c>
      <c r="BN457">
        <f t="shared" ref="BN457:BN520" si="403">(H457+D457)*180/Pi</f>
        <v>-171.41989300738305</v>
      </c>
      <c r="BQ457" s="56">
        <f t="shared" si="363"/>
        <v>16.228673519198232</v>
      </c>
    </row>
    <row r="458" spans="1:69" x14ac:dyDescent="0.2">
      <c r="A458">
        <f t="shared" si="372"/>
        <v>1220000</v>
      </c>
      <c r="B458">
        <f t="shared" ref="B458:B521" si="404">A458/1000</f>
        <v>1220</v>
      </c>
      <c r="C458">
        <f t="shared" si="373"/>
        <v>1.0112235743758291</v>
      </c>
      <c r="D458">
        <f t="shared" si="374"/>
        <v>0.14912810720779129</v>
      </c>
      <c r="F458">
        <f t="shared" si="375"/>
        <v>3.5747912827437379E-5</v>
      </c>
      <c r="G458">
        <f t="shared" si="376"/>
        <v>1.2202020030514572E-3</v>
      </c>
      <c r="H458">
        <f t="shared" si="377"/>
        <v>-3.1403724479969486</v>
      </c>
      <c r="J458">
        <f t="shared" si="378"/>
        <v>15</v>
      </c>
      <c r="M458">
        <f t="shared" si="379"/>
        <v>1.0252017441206612E-3</v>
      </c>
      <c r="N458">
        <f t="shared" si="380"/>
        <v>-1.5707963250000001</v>
      </c>
      <c r="O458">
        <f t="shared" si="381"/>
        <v>239.58685392777429</v>
      </c>
      <c r="P458">
        <f t="shared" si="382"/>
        <v>1.5666224629658296</v>
      </c>
      <c r="Q458">
        <f t="shared" si="383"/>
        <v>208.25832631931911</v>
      </c>
      <c r="R458">
        <f t="shared" si="384"/>
        <v>1.5659945795587591</v>
      </c>
      <c r="S458">
        <f t="shared" si="385"/>
        <v>0.16746433010713896</v>
      </c>
      <c r="T458">
        <f t="shared" si="386"/>
        <v>-1.4025392137879251</v>
      </c>
      <c r="U458">
        <f t="shared" si="387"/>
        <v>0.16534362325680224</v>
      </c>
      <c r="V458">
        <f t="shared" si="388"/>
        <v>-1.4046899067662442</v>
      </c>
      <c r="X458">
        <f t="shared" ref="X458:X521" si="405">20*LOG(C458*J458*O458*Q458*F458*M458*S458*U458)</f>
        <v>-62.292528066427252</v>
      </c>
      <c r="Y458">
        <f t="shared" si="389"/>
        <v>-242.74232176070717</v>
      </c>
      <c r="Z458">
        <f t="shared" ref="Z458:Z521" si="406">Y458+180</f>
        <v>-62.742321760707171</v>
      </c>
      <c r="AC458">
        <v>1</v>
      </c>
      <c r="AD458">
        <f t="shared" si="390"/>
        <v>239.58476699283</v>
      </c>
      <c r="AE458">
        <f t="shared" si="391"/>
        <v>-0.22038404316112742</v>
      </c>
      <c r="AF458">
        <f t="shared" si="392"/>
        <v>3.694764283812E-2</v>
      </c>
      <c r="AG458">
        <f t="shared" si="367"/>
        <v>172.86146340250016</v>
      </c>
      <c r="AH458">
        <f t="shared" si="368"/>
        <v>-1058.1435027583361</v>
      </c>
      <c r="AJ458">
        <f t="shared" si="393"/>
        <v>26400</v>
      </c>
      <c r="AK458">
        <f t="shared" si="394"/>
        <v>155419.2630853632</v>
      </c>
      <c r="AL458">
        <v>1</v>
      </c>
      <c r="AM458">
        <f t="shared" si="395"/>
        <v>208.25592544108804</v>
      </c>
      <c r="AN458">
        <f t="shared" si="369"/>
        <v>746.88123996830097</v>
      </c>
      <c r="AO458">
        <f t="shared" si="370"/>
        <v>-123.18073882266806</v>
      </c>
      <c r="AQ458">
        <f t="shared" si="396"/>
        <v>1.6796557243254965E-3</v>
      </c>
      <c r="AR458">
        <f t="shared" si="397"/>
        <v>-4.0983599673542113</v>
      </c>
      <c r="AT458">
        <f t="shared" si="365"/>
        <v>-4336.3626236742057</v>
      </c>
      <c r="AU458">
        <f t="shared" si="366"/>
        <v>-710.22581829863771</v>
      </c>
      <c r="AV458">
        <f t="shared" ref="AV458:AV521" si="407">ATAN2(AT458,AU458)</f>
        <v>-2.97925026134758</v>
      </c>
      <c r="AW458">
        <f t="shared" ref="AW458:AW521" si="408">AG458-AH458*AO458/_Rfb2+AG458*AN458/_Rfb2+AN458-AO458*AR458+AQ458*AN458</f>
        <v>415.38575153010311</v>
      </c>
      <c r="AX458">
        <f t="shared" ref="AX458:AX521" si="409">AH458+AH458*AN458/_Rfb2+AG458*AO458/_Rfb2+AO458+AO458*AQ458+AN458*AR458</f>
        <v>-4749.7697759308248</v>
      </c>
      <c r="AY458">
        <f t="shared" si="364"/>
        <v>-1.4835643928993392</v>
      </c>
      <c r="BA458">
        <f t="shared" si="398"/>
        <v>0.92160922560720515</v>
      </c>
      <c r="BB458">
        <f t="shared" ref="BB458:BB521" si="410">20*LOG(BA458)</f>
        <v>-0.70906372941015627</v>
      </c>
      <c r="BC458">
        <f t="shared" ref="BC458:BC521" si="411">AV458-AY458</f>
        <v>-1.4956858684482408</v>
      </c>
      <c r="BD458">
        <f t="shared" si="399"/>
        <v>-265.69648783736596</v>
      </c>
      <c r="BF458">
        <f t="shared" si="400"/>
        <v>-66.025281030997419</v>
      </c>
      <c r="BG458">
        <f t="shared" si="401"/>
        <v>-257.08216425281347</v>
      </c>
      <c r="BH458">
        <f t="shared" ref="BH458:BH521" si="412">IF(BG458&gt;180,BG458-180,BG458+180)</f>
        <v>-77.08216425281347</v>
      </c>
      <c r="BI458">
        <f t="shared" ref="BI458:BI521" si="413">IF(BH458&gt;180,BH458-360,BH458)</f>
        <v>-77.08216425281347</v>
      </c>
      <c r="BJ458">
        <f t="shared" si="402"/>
        <v>0</v>
      </c>
      <c r="BK458">
        <f t="shared" ref="BK458:BK521" si="414">IF(BJ458&gt;0,BI458,0)</f>
        <v>0</v>
      </c>
      <c r="BM458">
        <f t="shared" ref="BM458:BM521" si="415">20*LOG(J458*F458*C458)</f>
        <v>-65.316217301587272</v>
      </c>
      <c r="BN458">
        <f t="shared" si="403"/>
        <v>-171.38567641544753</v>
      </c>
      <c r="BQ458" s="56">
        <f t="shared" ref="BQ458:BQ521" si="416">20*LOG(BA458*7)</f>
        <v>16.192897070874981</v>
      </c>
    </row>
    <row r="459" spans="1:69" x14ac:dyDescent="0.2">
      <c r="A459">
        <f t="shared" si="372"/>
        <v>1225000</v>
      </c>
      <c r="B459">
        <f t="shared" si="404"/>
        <v>1225</v>
      </c>
      <c r="C459">
        <f t="shared" si="373"/>
        <v>1.011315243668556</v>
      </c>
      <c r="D459">
        <f t="shared" si="374"/>
        <v>0.14973021220363467</v>
      </c>
      <c r="F459">
        <f t="shared" si="375"/>
        <v>3.545667856464731E-5</v>
      </c>
      <c r="G459">
        <f t="shared" si="376"/>
        <v>1.2152212375238821E-3</v>
      </c>
      <c r="H459">
        <f t="shared" si="377"/>
        <v>-3.1403774287624762</v>
      </c>
      <c r="J459">
        <f t="shared" si="378"/>
        <v>15</v>
      </c>
      <c r="M459">
        <f t="shared" si="379"/>
        <v>1.0210172472058831E-3</v>
      </c>
      <c r="N459">
        <f t="shared" si="380"/>
        <v>-1.5707963250000001</v>
      </c>
      <c r="O459">
        <f t="shared" si="381"/>
        <v>240.56875019250373</v>
      </c>
      <c r="P459">
        <f t="shared" si="382"/>
        <v>1.5666394989480743</v>
      </c>
      <c r="Q459">
        <f t="shared" si="383"/>
        <v>209.11182441108042</v>
      </c>
      <c r="R459">
        <f t="shared" si="384"/>
        <v>1.5660141782276538</v>
      </c>
      <c r="S459">
        <f t="shared" si="385"/>
        <v>0.16679985735450661</v>
      </c>
      <c r="T459">
        <f t="shared" si="386"/>
        <v>-1.4032131660208196</v>
      </c>
      <c r="U459">
        <f t="shared" si="387"/>
        <v>0.16468709157881448</v>
      </c>
      <c r="V459">
        <f t="shared" si="388"/>
        <v>-1.4053555639533912</v>
      </c>
      <c r="X459">
        <f t="shared" si="405"/>
        <v>-62.39636042263713</v>
      </c>
      <c r="Y459">
        <f t="shared" si="389"/>
        <v>-242.78276401758146</v>
      </c>
      <c r="Z459">
        <f t="shared" si="406"/>
        <v>-62.782764017581457</v>
      </c>
      <c r="AC459">
        <v>1</v>
      </c>
      <c r="AD459">
        <f t="shared" si="390"/>
        <v>240.56667177558751</v>
      </c>
      <c r="AE459">
        <f t="shared" si="391"/>
        <v>-0.22219417143823356</v>
      </c>
      <c r="AF459">
        <f t="shared" si="392"/>
        <v>3.7099067603849997E-2</v>
      </c>
      <c r="AG459">
        <f t="shared" si="367"/>
        <v>171.49142313901231</v>
      </c>
      <c r="AH459">
        <f t="shared" si="368"/>
        <v>-1054.0533010343972</v>
      </c>
      <c r="AJ459">
        <f t="shared" si="393"/>
        <v>26400</v>
      </c>
      <c r="AK459">
        <f t="shared" si="394"/>
        <v>156056.22727833601</v>
      </c>
      <c r="AL459">
        <v>1</v>
      </c>
      <c r="AM459">
        <f t="shared" si="395"/>
        <v>209.10943333224</v>
      </c>
      <c r="AN459">
        <f t="shared" si="369"/>
        <v>746.87642146461008</v>
      </c>
      <c r="AO459">
        <f t="shared" si="370"/>
        <v>-122.67798333983747</v>
      </c>
      <c r="AQ459">
        <f t="shared" si="396"/>
        <v>1.6659722339071664E-3</v>
      </c>
      <c r="AR459">
        <f t="shared" si="397"/>
        <v>-4.0816319730725574</v>
      </c>
      <c r="AT459">
        <f t="shared" si="365"/>
        <v>-4301.9719548753665</v>
      </c>
      <c r="AU459">
        <f t="shared" si="366"/>
        <v>-701.7208993244891</v>
      </c>
      <c r="AV459">
        <f t="shared" si="407"/>
        <v>-2.9799005553524704</v>
      </c>
      <c r="AW459">
        <f t="shared" si="408"/>
        <v>418.11934524346191</v>
      </c>
      <c r="AX459">
        <f t="shared" si="409"/>
        <v>-4730.5889564348472</v>
      </c>
      <c r="AY459">
        <f t="shared" ref="AY459:AY522" si="417">ATAN2(AW459,AX459)</f>
        <v>-1.4826390969401906</v>
      </c>
      <c r="BA459">
        <f t="shared" si="398"/>
        <v>0.91783507413748933</v>
      </c>
      <c r="BB459">
        <f t="shared" si="410"/>
        <v>-0.74470700401223933</v>
      </c>
      <c r="BC459">
        <f t="shared" si="411"/>
        <v>-1.4972614584122799</v>
      </c>
      <c r="BD459">
        <f t="shared" si="399"/>
        <v>-265.78676249265175</v>
      </c>
      <c r="BF459">
        <f t="shared" si="400"/>
        <v>-66.13118974860393</v>
      </c>
      <c r="BG459">
        <f t="shared" si="401"/>
        <v>-257.13822620981807</v>
      </c>
      <c r="BH459">
        <f t="shared" si="412"/>
        <v>-77.138226209818072</v>
      </c>
      <c r="BI459">
        <f t="shared" si="413"/>
        <v>-77.138226209818072</v>
      </c>
      <c r="BJ459">
        <f t="shared" si="402"/>
        <v>0</v>
      </c>
      <c r="BK459">
        <f t="shared" si="414"/>
        <v>0</v>
      </c>
      <c r="BM459">
        <f t="shared" si="415"/>
        <v>-65.386482744591689</v>
      </c>
      <c r="BN459">
        <f t="shared" si="403"/>
        <v>-171.35146371716635</v>
      </c>
      <c r="BQ459" s="56">
        <f t="shared" si="416"/>
        <v>16.157253796272897</v>
      </c>
    </row>
    <row r="460" spans="1:69" x14ac:dyDescent="0.2">
      <c r="A460">
        <f t="shared" si="372"/>
        <v>1230000</v>
      </c>
      <c r="B460">
        <f t="shared" si="404"/>
        <v>1230</v>
      </c>
      <c r="C460">
        <f t="shared" si="373"/>
        <v>1.0114072795272919</v>
      </c>
      <c r="D460">
        <f t="shared" si="374"/>
        <v>0.1503322078372013</v>
      </c>
      <c r="F460">
        <f t="shared" si="375"/>
        <v>3.5168988878682884E-5</v>
      </c>
      <c r="G460">
        <f t="shared" si="376"/>
        <v>1.2102809702576407E-3</v>
      </c>
      <c r="H460">
        <f t="shared" si="377"/>
        <v>-3.1403823690297425</v>
      </c>
      <c r="J460">
        <f t="shared" si="378"/>
        <v>15</v>
      </c>
      <c r="M460">
        <f t="shared" si="379"/>
        <v>1.0168667705912249E-3</v>
      </c>
      <c r="N460">
        <f t="shared" si="380"/>
        <v>-1.5707963250000001</v>
      </c>
      <c r="O460">
        <f t="shared" si="381"/>
        <v>241.55064652648454</v>
      </c>
      <c r="P460">
        <f t="shared" si="382"/>
        <v>1.5666563964287821</v>
      </c>
      <c r="Q460">
        <f t="shared" si="383"/>
        <v>209.9653225825102</v>
      </c>
      <c r="R460">
        <f t="shared" si="384"/>
        <v>1.566033617561406</v>
      </c>
      <c r="S460">
        <f t="shared" si="385"/>
        <v>0.16614056224306448</v>
      </c>
      <c r="T460">
        <f t="shared" si="386"/>
        <v>-1.4038817908120986</v>
      </c>
      <c r="U460">
        <f t="shared" si="387"/>
        <v>0.16403568125084175</v>
      </c>
      <c r="V460">
        <f t="shared" si="388"/>
        <v>-1.4060159554937202</v>
      </c>
      <c r="X460">
        <f t="shared" si="405"/>
        <v>-62.499778953019309</v>
      </c>
      <c r="Y460">
        <f t="shared" si="389"/>
        <v>-242.8226203455979</v>
      </c>
      <c r="Z460">
        <f t="shared" si="406"/>
        <v>-62.822620345597898</v>
      </c>
      <c r="AC460">
        <v>1</v>
      </c>
      <c r="AD460">
        <f t="shared" si="390"/>
        <v>241.54857655834499</v>
      </c>
      <c r="AE460">
        <f t="shared" si="391"/>
        <v>-0.22401170310297613</v>
      </c>
      <c r="AF460">
        <f t="shared" si="392"/>
        <v>3.7250492369579995E-2</v>
      </c>
      <c r="AG460">
        <f t="shared" si="367"/>
        <v>170.13745727150234</v>
      </c>
      <c r="AH460">
        <f t="shared" si="368"/>
        <v>-1049.993680001392</v>
      </c>
      <c r="AJ460">
        <f t="shared" si="393"/>
        <v>26400</v>
      </c>
      <c r="AK460">
        <f t="shared" si="394"/>
        <v>156693.19147130882</v>
      </c>
      <c r="AL460">
        <v>1</v>
      </c>
      <c r="AM460">
        <f t="shared" si="395"/>
        <v>209.96294122339202</v>
      </c>
      <c r="AN460">
        <f t="shared" si="369"/>
        <v>746.87166160186484</v>
      </c>
      <c r="AO460">
        <f t="shared" si="370"/>
        <v>-122.17931502066476</v>
      </c>
      <c r="AQ460">
        <f t="shared" si="396"/>
        <v>1.6524552758848444E-3</v>
      </c>
      <c r="AR460">
        <f t="shared" si="397"/>
        <v>-4.0650399786767171</v>
      </c>
      <c r="AT460">
        <f t="shared" si="365"/>
        <v>-4267.9851420246523</v>
      </c>
      <c r="AU460">
        <f t="shared" si="366"/>
        <v>-693.35063327522278</v>
      </c>
      <c r="AV460">
        <f t="shared" si="407"/>
        <v>-2.9805457086120817</v>
      </c>
      <c r="AW460">
        <f t="shared" si="408"/>
        <v>420.81907627370492</v>
      </c>
      <c r="AX460">
        <f t="shared" si="409"/>
        <v>-4711.5616807548595</v>
      </c>
      <c r="AY460">
        <f t="shared" si="417"/>
        <v>-1.4817164383864119</v>
      </c>
      <c r="BA460">
        <f t="shared" si="398"/>
        <v>0.91409028460137187</v>
      </c>
      <c r="BB460">
        <f t="shared" si="410"/>
        <v>-0.78021813854604227</v>
      </c>
      <c r="BC460">
        <f t="shared" si="411"/>
        <v>-1.4988292702256698</v>
      </c>
      <c r="BD460">
        <f t="shared" si="399"/>
        <v>-265.87659149273236</v>
      </c>
      <c r="BF460">
        <f t="shared" si="400"/>
        <v>-66.236673807825355</v>
      </c>
      <c r="BG460">
        <f t="shared" si="401"/>
        <v>-257.193846457235</v>
      </c>
      <c r="BH460">
        <f t="shared" si="412"/>
        <v>-77.193846457234997</v>
      </c>
      <c r="BI460">
        <f t="shared" si="413"/>
        <v>-77.193846457234997</v>
      </c>
      <c r="BJ460">
        <f t="shared" si="402"/>
        <v>0</v>
      </c>
      <c r="BK460">
        <f t="shared" si="414"/>
        <v>0</v>
      </c>
      <c r="BM460">
        <f t="shared" si="415"/>
        <v>-65.456455669279322</v>
      </c>
      <c r="BN460">
        <f t="shared" si="403"/>
        <v>-171.31725496450261</v>
      </c>
      <c r="BQ460" s="56">
        <f t="shared" si="416"/>
        <v>16.121742661739095</v>
      </c>
    </row>
    <row r="461" spans="1:69" x14ac:dyDescent="0.2">
      <c r="A461">
        <f t="shared" si="372"/>
        <v>1235000</v>
      </c>
      <c r="B461">
        <f t="shared" si="404"/>
        <v>1235</v>
      </c>
      <c r="C461">
        <f t="shared" si="373"/>
        <v>1.0114996818519755</v>
      </c>
      <c r="D461">
        <f t="shared" si="374"/>
        <v>0.15093409370207844</v>
      </c>
      <c r="F461">
        <f t="shared" si="375"/>
        <v>3.4884786480570306E-5</v>
      </c>
      <c r="G461">
        <f t="shared" si="376"/>
        <v>1.2053807093028836E-3</v>
      </c>
      <c r="H461">
        <f t="shared" si="377"/>
        <v>-3.1403872692906973</v>
      </c>
      <c r="J461">
        <f t="shared" si="378"/>
        <v>15</v>
      </c>
      <c r="M461">
        <f t="shared" si="379"/>
        <v>1.0127499010746614E-3</v>
      </c>
      <c r="N461">
        <f t="shared" si="380"/>
        <v>-1.5707963250000001</v>
      </c>
      <c r="O461">
        <f t="shared" si="381"/>
        <v>242.53254292887559</v>
      </c>
      <c r="P461">
        <f t="shared" si="382"/>
        <v>1.5666731570901189</v>
      </c>
      <c r="Q461">
        <f t="shared" si="383"/>
        <v>210.81882083264085</v>
      </c>
      <c r="R461">
        <f t="shared" si="384"/>
        <v>1.5660528994952021</v>
      </c>
      <c r="S461">
        <f t="shared" si="385"/>
        <v>0.16548638537703803</v>
      </c>
      <c r="T461">
        <f t="shared" si="386"/>
        <v>-1.404545150490625</v>
      </c>
      <c r="U461">
        <f t="shared" si="387"/>
        <v>0.16338933343527581</v>
      </c>
      <c r="V461">
        <f t="shared" si="388"/>
        <v>-1.406671143052278</v>
      </c>
      <c r="X461">
        <f t="shared" si="405"/>
        <v>-62.602786812410791</v>
      </c>
      <c r="Y461">
        <f t="shared" si="389"/>
        <v>-242.86189769329772</v>
      </c>
      <c r="Z461">
        <f t="shared" si="406"/>
        <v>-62.86189769329772</v>
      </c>
      <c r="AC461">
        <v>1</v>
      </c>
      <c r="AD461">
        <f t="shared" si="390"/>
        <v>242.5304813411025</v>
      </c>
      <c r="AE461">
        <f t="shared" si="391"/>
        <v>-0.22583663815535515</v>
      </c>
      <c r="AF461">
        <f t="shared" si="392"/>
        <v>3.7401917135309999E-2</v>
      </c>
      <c r="AG461">
        <f t="shared" si="367"/>
        <v>168.79931766338501</v>
      </c>
      <c r="AH461">
        <f t="shared" si="368"/>
        <v>-1045.9643093290458</v>
      </c>
      <c r="AJ461">
        <f t="shared" si="393"/>
        <v>26400</v>
      </c>
      <c r="AK461">
        <f t="shared" si="394"/>
        <v>157330.1556642816</v>
      </c>
      <c r="AL461">
        <v>1</v>
      </c>
      <c r="AM461">
        <f t="shared" si="395"/>
        <v>210.81644911454404</v>
      </c>
      <c r="AN461">
        <f t="shared" si="369"/>
        <v>746.86695943237521</v>
      </c>
      <c r="AO461">
        <f t="shared" si="370"/>
        <v>-121.68468422798151</v>
      </c>
      <c r="AQ461">
        <f t="shared" si="396"/>
        <v>1.6391021588450625E-3</v>
      </c>
      <c r="AR461">
        <f t="shared" si="397"/>
        <v>-4.048582332347304</v>
      </c>
      <c r="AT461">
        <f t="shared" si="365"/>
        <v>-4234.395943689432</v>
      </c>
      <c r="AU461">
        <f t="shared" si="366"/>
        <v>-685.11237756175683</v>
      </c>
      <c r="AV461">
        <f t="shared" si="407"/>
        <v>-2.9811857812744771</v>
      </c>
      <c r="AW461">
        <f t="shared" si="408"/>
        <v>423.48550343558691</v>
      </c>
      <c r="AX461">
        <f t="shared" si="409"/>
        <v>-4692.6861206644689</v>
      </c>
      <c r="AY461">
        <f t="shared" si="417"/>
        <v>-1.4807963853355643</v>
      </c>
      <c r="BA461">
        <f t="shared" si="398"/>
        <v>0.9103745163449829</v>
      </c>
      <c r="BB461">
        <f t="shared" si="410"/>
        <v>-0.81559815530814395</v>
      </c>
      <c r="BC461">
        <f t="shared" si="411"/>
        <v>-1.5003893959389127</v>
      </c>
      <c r="BD461">
        <f t="shared" si="399"/>
        <v>-265.96598011171318</v>
      </c>
      <c r="BF461">
        <f t="shared" si="400"/>
        <v>-66.34173658132724</v>
      </c>
      <c r="BG461">
        <f t="shared" si="401"/>
        <v>-257.24903032064185</v>
      </c>
      <c r="BH461">
        <f t="shared" si="412"/>
        <v>-77.24903032064185</v>
      </c>
      <c r="BI461">
        <f t="shared" si="413"/>
        <v>-77.24903032064185</v>
      </c>
      <c r="BJ461">
        <f t="shared" si="402"/>
        <v>0</v>
      </c>
      <c r="BK461">
        <f t="shared" si="414"/>
        <v>0</v>
      </c>
      <c r="BM461">
        <f t="shared" si="415"/>
        <v>-65.526138426019088</v>
      </c>
      <c r="BN461">
        <f t="shared" si="403"/>
        <v>-171.28305020892873</v>
      </c>
      <c r="BQ461" s="56">
        <f t="shared" si="416"/>
        <v>16.086362644976994</v>
      </c>
    </row>
    <row r="462" spans="1:69" x14ac:dyDescent="0.2">
      <c r="A462">
        <f t="shared" si="372"/>
        <v>1240000</v>
      </c>
      <c r="B462">
        <f t="shared" si="404"/>
        <v>1240</v>
      </c>
      <c r="C462">
        <f t="shared" si="373"/>
        <v>1.0115924505421843</v>
      </c>
      <c r="D462">
        <f t="shared" si="374"/>
        <v>0.15153586939231969</v>
      </c>
      <c r="F462">
        <f t="shared" si="375"/>
        <v>3.4604015234100673E-5</v>
      </c>
      <c r="G462">
        <f t="shared" si="376"/>
        <v>1.2005199706458013E-3</v>
      </c>
      <c r="H462">
        <f t="shared" si="377"/>
        <v>-3.1403921300293542</v>
      </c>
      <c r="J462">
        <f t="shared" si="378"/>
        <v>15</v>
      </c>
      <c r="M462">
        <f t="shared" si="379"/>
        <v>1.008666232118715E-3</v>
      </c>
      <c r="N462">
        <f t="shared" si="380"/>
        <v>-1.5707963250000001</v>
      </c>
      <c r="O462">
        <f t="shared" si="381"/>
        <v>243.51443939884942</v>
      </c>
      <c r="P462">
        <f t="shared" si="382"/>
        <v>1.5666897825871209</v>
      </c>
      <c r="Q462">
        <f t="shared" si="383"/>
        <v>211.67231916052037</v>
      </c>
      <c r="R462">
        <f t="shared" si="384"/>
        <v>1.566072025933017</v>
      </c>
      <c r="S462">
        <f t="shared" si="385"/>
        <v>0.1648372682515756</v>
      </c>
      <c r="T462">
        <f t="shared" si="386"/>
        <v>-1.4052033064260263</v>
      </c>
      <c r="U462">
        <f t="shared" si="387"/>
        <v>0.16274799017877073</v>
      </c>
      <c r="V462">
        <f t="shared" si="388"/>
        <v>-1.4073211873439408</v>
      </c>
      <c r="X462">
        <f t="shared" si="405"/>
        <v>-62.70538712018773</v>
      </c>
      <c r="Y462">
        <f t="shared" si="389"/>
        <v>-242.90060290268232</v>
      </c>
      <c r="Z462">
        <f t="shared" si="406"/>
        <v>-62.900602902682323</v>
      </c>
      <c r="AC462">
        <v>1</v>
      </c>
      <c r="AD462">
        <f t="shared" si="390"/>
        <v>243.51238612386001</v>
      </c>
      <c r="AE462">
        <f t="shared" si="391"/>
        <v>-0.22766897659537058</v>
      </c>
      <c r="AF462">
        <f t="shared" si="392"/>
        <v>3.7553341901039997E-2</v>
      </c>
      <c r="AG462">
        <f t="shared" si="367"/>
        <v>167.47676090156489</v>
      </c>
      <c r="AH462">
        <f t="shared" si="368"/>
        <v>-1041.9648632358656</v>
      </c>
      <c r="AJ462">
        <f t="shared" si="393"/>
        <v>26400</v>
      </c>
      <c r="AK462">
        <f t="shared" si="394"/>
        <v>157967.11985725441</v>
      </c>
      <c r="AL462">
        <v>1</v>
      </c>
      <c r="AM462">
        <f t="shared" si="395"/>
        <v>211.66995700569603</v>
      </c>
      <c r="AN462">
        <f t="shared" si="369"/>
        <v>746.86231402751878</v>
      </c>
      <c r="AO462">
        <f t="shared" si="370"/>
        <v>-121.1940421251286</v>
      </c>
      <c r="AQ462">
        <f t="shared" si="396"/>
        <v>1.6259102455270802E-3</v>
      </c>
      <c r="AR462">
        <f t="shared" si="397"/>
        <v>-4.0322574089071592</v>
      </c>
      <c r="AT462">
        <f t="shared" si="365"/>
        <v>-4201.1982374223162</v>
      </c>
      <c r="AU462">
        <f t="shared" si="366"/>
        <v>-677.00355131172228</v>
      </c>
      <c r="AV462">
        <f t="shared" si="407"/>
        <v>-2.9818208325620148</v>
      </c>
      <c r="AW462">
        <f t="shared" si="408"/>
        <v>426.11917403354346</v>
      </c>
      <c r="AX462">
        <f t="shared" si="409"/>
        <v>-4673.9604767339088</v>
      </c>
      <c r="AY462">
        <f t="shared" si="417"/>
        <v>-1.4798789064419</v>
      </c>
      <c r="BA462">
        <f t="shared" si="398"/>
        <v>0.90668743389682371</v>
      </c>
      <c r="BB462">
        <f t="shared" si="410"/>
        <v>-0.85084806539665947</v>
      </c>
      <c r="BC462">
        <f t="shared" si="411"/>
        <v>-1.5019419261201148</v>
      </c>
      <c r="BD462">
        <f t="shared" si="399"/>
        <v>-266.05493353876437</v>
      </c>
      <c r="BF462">
        <f t="shared" si="400"/>
        <v>-66.446381402109836</v>
      </c>
      <c r="BG462">
        <f t="shared" si="401"/>
        <v>-257.3037830401999</v>
      </c>
      <c r="BH462">
        <f t="shared" si="412"/>
        <v>-77.303783040199903</v>
      </c>
      <c r="BI462">
        <f t="shared" si="413"/>
        <v>-77.303783040199903</v>
      </c>
      <c r="BJ462">
        <f t="shared" si="402"/>
        <v>0</v>
      </c>
      <c r="BK462">
        <f t="shared" si="414"/>
        <v>0</v>
      </c>
      <c r="BM462">
        <f t="shared" si="415"/>
        <v>-65.595533336713174</v>
      </c>
      <c r="BN462">
        <f t="shared" si="403"/>
        <v>-171.24884950143556</v>
      </c>
      <c r="BQ462" s="56">
        <f t="shared" si="416"/>
        <v>16.051112734888477</v>
      </c>
    </row>
    <row r="463" spans="1:69" x14ac:dyDescent="0.2">
      <c r="A463">
        <f t="shared" si="372"/>
        <v>1245000</v>
      </c>
      <c r="B463">
        <f t="shared" si="404"/>
        <v>1245</v>
      </c>
      <c r="C463">
        <f t="shared" si="373"/>
        <v>1.0116855854971341</v>
      </c>
      <c r="D463">
        <f t="shared" si="374"/>
        <v>0.15213753450244646</v>
      </c>
      <c r="F463">
        <f t="shared" si="375"/>
        <v>3.4326620128106184E-5</v>
      </c>
      <c r="G463">
        <f t="shared" si="376"/>
        <v>1.1956982780492347E-3</v>
      </c>
      <c r="H463">
        <f t="shared" si="377"/>
        <v>-3.140396951721951</v>
      </c>
      <c r="J463">
        <f t="shared" si="378"/>
        <v>15</v>
      </c>
      <c r="M463">
        <f t="shared" si="379"/>
        <v>1.0046153637166318E-3</v>
      </c>
      <c r="N463">
        <f t="shared" si="380"/>
        <v>-1.5707963250000001</v>
      </c>
      <c r="O463">
        <f t="shared" si="381"/>
        <v>244.4963359355917</v>
      </c>
      <c r="P463">
        <f t="shared" si="382"/>
        <v>1.5667062745482374</v>
      </c>
      <c r="Q463">
        <f t="shared" si="383"/>
        <v>212.52581756521204</v>
      </c>
      <c r="R463">
        <f t="shared" si="384"/>
        <v>1.5660909987482401</v>
      </c>
      <c r="S463">
        <f t="shared" si="385"/>
        <v>0.16419315323638761</v>
      </c>
      <c r="T463">
        <f t="shared" si="386"/>
        <v>-1.4058563190468962</v>
      </c>
      <c r="U463">
        <f t="shared" si="387"/>
        <v>0.16211159439596451</v>
      </c>
      <c r="V463">
        <f t="shared" si="388"/>
        <v>-1.4079661481514685</v>
      </c>
      <c r="X463">
        <f t="shared" si="405"/>
        <v>-62.807582960784245</v>
      </c>
      <c r="Y463">
        <f t="shared" si="389"/>
        <v>-242.93874271123286</v>
      </c>
      <c r="Z463">
        <f t="shared" si="406"/>
        <v>-62.938742711232862</v>
      </c>
      <c r="AC463">
        <v>1</v>
      </c>
      <c r="AD463">
        <f t="shared" si="390"/>
        <v>244.49429090661752</v>
      </c>
      <c r="AE463">
        <f t="shared" si="391"/>
        <v>-0.22950871842302242</v>
      </c>
      <c r="AF463">
        <f t="shared" si="392"/>
        <v>3.7704766666769994E-2</v>
      </c>
      <c r="AG463">
        <f t="shared" si="367"/>
        <v>166.16954819003351</v>
      </c>
      <c r="AH463">
        <f t="shared" si="368"/>
        <v>-1037.995020415279</v>
      </c>
      <c r="AJ463">
        <f t="shared" si="393"/>
        <v>26400</v>
      </c>
      <c r="AK463">
        <f t="shared" si="394"/>
        <v>158604.08405022722</v>
      </c>
      <c r="AL463">
        <v>1</v>
      </c>
      <c r="AM463">
        <f t="shared" si="395"/>
        <v>212.523464896848</v>
      </c>
      <c r="AN463">
        <f t="shared" si="369"/>
        <v>746.8577244772805</v>
      </c>
      <c r="AO463">
        <f t="shared" si="370"/>
        <v>-120.70734065988395</v>
      </c>
      <c r="AQ463">
        <f t="shared" si="396"/>
        <v>1.6128769515206284E-3</v>
      </c>
      <c r="AR463">
        <f t="shared" si="397"/>
        <v>-4.0160636092863644</v>
      </c>
      <c r="AT463">
        <f t="shared" si="365"/>
        <v>-4168.386017075939</v>
      </c>
      <c r="AU463">
        <f t="shared" si="366"/>
        <v>-669.02163370177141</v>
      </c>
      <c r="AV463">
        <f t="shared" si="407"/>
        <v>-2.9824509207889127</v>
      </c>
      <c r="AW463">
        <f t="shared" si="408"/>
        <v>428.72062414560622</v>
      </c>
      <c r="AX463">
        <f t="shared" si="409"/>
        <v>-4655.3829777671563</v>
      </c>
      <c r="AY463">
        <f t="shared" si="417"/>
        <v>-1.4789639709043885</v>
      </c>
      <c r="BA463">
        <f t="shared" si="398"/>
        <v>0.90302870687118808</v>
      </c>
      <c r="BB463">
        <f t="shared" si="410"/>
        <v>-0.88596886886645732</v>
      </c>
      <c r="BC463">
        <f t="shared" si="411"/>
        <v>-1.5034869498845242</v>
      </c>
      <c r="BD463">
        <f t="shared" si="399"/>
        <v>-266.14345687981358</v>
      </c>
      <c r="BF463">
        <f t="shared" si="400"/>
        <v>-66.550611564121766</v>
      </c>
      <c r="BG463">
        <f t="shared" si="401"/>
        <v>-257.35810977235548</v>
      </c>
      <c r="BH463">
        <f t="shared" si="412"/>
        <v>-77.358109772355476</v>
      </c>
      <c r="BI463">
        <f t="shared" si="413"/>
        <v>-77.358109772355476</v>
      </c>
      <c r="BJ463">
        <f t="shared" si="402"/>
        <v>0</v>
      </c>
      <c r="BK463">
        <f t="shared" si="414"/>
        <v>0</v>
      </c>
      <c r="BM463">
        <f t="shared" si="415"/>
        <v>-65.66464269525531</v>
      </c>
      <c r="BN463">
        <f t="shared" si="403"/>
        <v>-171.21465289254186</v>
      </c>
      <c r="BQ463" s="56">
        <f t="shared" si="416"/>
        <v>16.015991931418679</v>
      </c>
    </row>
    <row r="464" spans="1:69" x14ac:dyDescent="0.2">
      <c r="A464">
        <f t="shared" si="372"/>
        <v>1250000</v>
      </c>
      <c r="B464">
        <f t="shared" si="404"/>
        <v>1250</v>
      </c>
      <c r="C464">
        <f t="shared" si="373"/>
        <v>1.0117790866156804</v>
      </c>
      <c r="D464">
        <f t="shared" si="374"/>
        <v>0.15273908862744934</v>
      </c>
      <c r="F464">
        <f t="shared" si="375"/>
        <v>3.4052547249511229E-5</v>
      </c>
      <c r="G464">
        <f t="shared" si="376"/>
        <v>1.1909151628971086E-3</v>
      </c>
      <c r="H464">
        <f t="shared" si="377"/>
        <v>-3.1404017348371029</v>
      </c>
      <c r="J464">
        <f t="shared" si="378"/>
        <v>15</v>
      </c>
      <c r="M464">
        <f t="shared" si="379"/>
        <v>1.0005969022617654E-3</v>
      </c>
      <c r="N464">
        <f t="shared" si="380"/>
        <v>-1.5707963250000001</v>
      </c>
      <c r="O464">
        <f t="shared" si="381"/>
        <v>245.47823253830134</v>
      </c>
      <c r="P464">
        <f t="shared" si="382"/>
        <v>1.5667226345758629</v>
      </c>
      <c r="Q464">
        <f t="shared" si="383"/>
        <v>213.37931604579416</v>
      </c>
      <c r="R464">
        <f t="shared" si="384"/>
        <v>1.5661098197842884</v>
      </c>
      <c r="S464">
        <f t="shared" si="385"/>
        <v>0.16355398355973891</v>
      </c>
      <c r="T464">
        <f t="shared" si="386"/>
        <v>-1.4065042478585854</v>
      </c>
      <c r="U464">
        <f t="shared" si="387"/>
        <v>0.16148008985355272</v>
      </c>
      <c r="V464">
        <f t="shared" si="388"/>
        <v>-1.4086060843431543</v>
      </c>
      <c r="X464">
        <f t="shared" si="405"/>
        <v>-62.909377384201946</v>
      </c>
      <c r="Y464">
        <f t="shared" si="389"/>
        <v>-242.97632375388437</v>
      </c>
      <c r="Z464">
        <f t="shared" si="406"/>
        <v>-62.976323753884373</v>
      </c>
      <c r="AC464">
        <v>1</v>
      </c>
      <c r="AD464">
        <f t="shared" si="390"/>
        <v>245.47619568937498</v>
      </c>
      <c r="AE464">
        <f t="shared" si="391"/>
        <v>-0.2313558636383107</v>
      </c>
      <c r="AF464">
        <f t="shared" si="392"/>
        <v>3.7856191432499998E-2</v>
      </c>
      <c r="AG464">
        <f t="shared" si="367"/>
        <v>164.87744524622261</v>
      </c>
      <c r="AH464">
        <f t="shared" si="368"/>
        <v>-1034.0544639630955</v>
      </c>
      <c r="AJ464">
        <f t="shared" si="393"/>
        <v>26400</v>
      </c>
      <c r="AK464">
        <f t="shared" si="394"/>
        <v>159241.0482432</v>
      </c>
      <c r="AL464">
        <v>1</v>
      </c>
      <c r="AM464">
        <f t="shared" si="395"/>
        <v>213.37697278800002</v>
      </c>
      <c r="AN464">
        <f t="shared" si="369"/>
        <v>746.85318988980885</v>
      </c>
      <c r="AO464">
        <f t="shared" si="370"/>
        <v>-120.22453254877595</v>
      </c>
      <c r="AQ464">
        <f t="shared" si="396"/>
        <v>1.599999744000041E-3</v>
      </c>
      <c r="AR464">
        <f t="shared" si="397"/>
        <v>-3.9999993600001025</v>
      </c>
      <c r="AT464">
        <f t="shared" si="365"/>
        <v>-4135.9533901874456</v>
      </c>
      <c r="AU464">
        <f t="shared" si="366"/>
        <v>-661.16416234096539</v>
      </c>
      <c r="AV464">
        <f t="shared" si="407"/>
        <v>-2.9830761033784179</v>
      </c>
      <c r="AW464">
        <f t="shared" si="408"/>
        <v>431.29037889917373</v>
      </c>
      <c r="AX464">
        <f t="shared" si="409"/>
        <v>-4636.9518802521907</v>
      </c>
      <c r="AY464">
        <f t="shared" si="417"/>
        <v>-1.4780515484550485</v>
      </c>
      <c r="BA464">
        <f t="shared" si="398"/>
        <v>0.89939800987368312</v>
      </c>
      <c r="BB464">
        <f t="shared" si="410"/>
        <v>-0.92096155488197262</v>
      </c>
      <c r="BC464">
        <f t="shared" si="411"/>
        <v>-1.5050245549233694</v>
      </c>
      <c r="BD464">
        <f t="shared" si="399"/>
        <v>-266.23155515919814</v>
      </c>
      <c r="BF464">
        <f t="shared" si="400"/>
        <v>-66.65443032286197</v>
      </c>
      <c r="BG464">
        <f t="shared" si="401"/>
        <v>-257.41201559150073</v>
      </c>
      <c r="BH464">
        <f t="shared" si="412"/>
        <v>-77.412015591500733</v>
      </c>
      <c r="BI464">
        <f t="shared" si="413"/>
        <v>-77.412015591500733</v>
      </c>
      <c r="BJ464">
        <f t="shared" si="402"/>
        <v>0</v>
      </c>
      <c r="BK464">
        <f t="shared" si="414"/>
        <v>0</v>
      </c>
      <c r="BM464">
        <f t="shared" si="415"/>
        <v>-65.73346876798</v>
      </c>
      <c r="BN464">
        <f t="shared" si="403"/>
        <v>-171.18046043230257</v>
      </c>
      <c r="BQ464" s="56">
        <f t="shared" si="416"/>
        <v>15.980999245403165</v>
      </c>
    </row>
    <row r="465" spans="1:69" x14ac:dyDescent="0.2">
      <c r="A465">
        <f t="shared" si="372"/>
        <v>1255000</v>
      </c>
      <c r="B465">
        <f t="shared" si="404"/>
        <v>1255</v>
      </c>
      <c r="C465">
        <f t="shared" si="373"/>
        <v>1.0118729537963178</v>
      </c>
      <c r="D465">
        <f t="shared" si="374"/>
        <v>0.15334053136278966</v>
      </c>
      <c r="F465">
        <f t="shared" si="375"/>
        <v>3.3781743757133532E-5</v>
      </c>
      <c r="G465">
        <f t="shared" si="376"/>
        <v>1.186170164042588E-3</v>
      </c>
      <c r="H465">
        <f t="shared" si="377"/>
        <v>-3.1404064798359577</v>
      </c>
      <c r="J465">
        <f t="shared" si="378"/>
        <v>15</v>
      </c>
      <c r="M465">
        <f t="shared" si="379"/>
        <v>9.9661046042008507E-4</v>
      </c>
      <c r="N465">
        <f t="shared" si="380"/>
        <v>-1.5707963250000001</v>
      </c>
      <c r="O465">
        <f t="shared" si="381"/>
        <v>246.46012920618983</v>
      </c>
      <c r="P465">
        <f t="shared" si="382"/>
        <v>1.5667388642468576</v>
      </c>
      <c r="Q465">
        <f t="shared" si="383"/>
        <v>214.23281460135962</v>
      </c>
      <c r="R465">
        <f t="shared" si="384"/>
        <v>1.5661284908552029</v>
      </c>
      <c r="S465">
        <f t="shared" si="385"/>
        <v>0.16291970329278405</v>
      </c>
      <c r="T465">
        <f t="shared" si="386"/>
        <v>-1.4071471514605958</v>
      </c>
      <c r="U465">
        <f t="shared" si="387"/>
        <v>0.16085342115470486</v>
      </c>
      <c r="V465">
        <f t="shared" si="388"/>
        <v>-1.4092410538900781</v>
      </c>
      <c r="X465">
        <f t="shared" si="405"/>
        <v>-63.010773406510609</v>
      </c>
      <c r="Y465">
        <f t="shared" si="389"/>
        <v>-243.01335256495477</v>
      </c>
      <c r="Z465">
        <f t="shared" si="406"/>
        <v>-63.013352564954772</v>
      </c>
      <c r="AC465">
        <v>1</v>
      </c>
      <c r="AD465">
        <f t="shared" si="390"/>
        <v>246.45810047213249</v>
      </c>
      <c r="AE465">
        <f t="shared" si="391"/>
        <v>-0.23321041224123534</v>
      </c>
      <c r="AF465">
        <f t="shared" si="392"/>
        <v>3.8007616198229996E-2</v>
      </c>
      <c r="AG465">
        <f t="shared" si="367"/>
        <v>163.60022220003296</v>
      </c>
      <c r="AH465">
        <f t="shared" si="368"/>
        <v>-1030.1428813062669</v>
      </c>
      <c r="AJ465">
        <f t="shared" si="393"/>
        <v>26400</v>
      </c>
      <c r="AK465">
        <f t="shared" si="394"/>
        <v>159878.01243617281</v>
      </c>
      <c r="AL465">
        <v>1</v>
      </c>
      <c r="AM465">
        <f t="shared" si="395"/>
        <v>214.23048067915204</v>
      </c>
      <c r="AN465">
        <f t="shared" si="369"/>
        <v>746.84870939098289</v>
      </c>
      <c r="AO465">
        <f t="shared" si="370"/>
        <v>-119.74557126177176</v>
      </c>
      <c r="AQ465">
        <f t="shared" si="396"/>
        <v>1.5872761404936207E-3</v>
      </c>
      <c r="AR465">
        <f t="shared" si="397"/>
        <v>-3.9840631126389878</v>
      </c>
      <c r="AT465">
        <f t="shared" si="365"/>
        <v>-4103.8945754306633</v>
      </c>
      <c r="AU465">
        <f t="shared" si="366"/>
        <v>-653.42873170349003</v>
      </c>
      <c r="AV465">
        <f t="shared" si="407"/>
        <v>-2.9836964368795913</v>
      </c>
      <c r="AW465">
        <f t="shared" si="408"/>
        <v>433.82895273889881</v>
      </c>
      <c r="AX465">
        <f t="shared" si="409"/>
        <v>-4618.6654678240011</v>
      </c>
      <c r="AY465">
        <f t="shared" si="417"/>
        <v>-1.4771416093475771</v>
      </c>
      <c r="BA465">
        <f t="shared" si="398"/>
        <v>0.8957950224088167</v>
      </c>
      <c r="BB465">
        <f t="shared" si="410"/>
        <v>-0.95582710186747777</v>
      </c>
      <c r="BC465">
        <f t="shared" si="411"/>
        <v>-1.5065548275320142</v>
      </c>
      <c r="BD465">
        <f t="shared" si="399"/>
        <v>-266.31923332127815</v>
      </c>
      <c r="BF465">
        <f t="shared" si="400"/>
        <v>-66.757840895970247</v>
      </c>
      <c r="BG465">
        <f t="shared" si="401"/>
        <v>-257.46550549159599</v>
      </c>
      <c r="BH465">
        <f t="shared" si="412"/>
        <v>-77.465505491595991</v>
      </c>
      <c r="BI465">
        <f t="shared" si="413"/>
        <v>-77.465505491595991</v>
      </c>
      <c r="BJ465">
        <f t="shared" si="402"/>
        <v>0</v>
      </c>
      <c r="BK465">
        <f t="shared" si="414"/>
        <v>0</v>
      </c>
      <c r="BM465">
        <f t="shared" si="415"/>
        <v>-65.802013794102763</v>
      </c>
      <c r="BN465">
        <f t="shared" si="403"/>
        <v>-171.1462721703179</v>
      </c>
      <c r="BQ465" s="56">
        <f t="shared" si="416"/>
        <v>15.946133698417659</v>
      </c>
    </row>
    <row r="466" spans="1:69" x14ac:dyDescent="0.2">
      <c r="A466">
        <f t="shared" si="372"/>
        <v>1260000</v>
      </c>
      <c r="B466">
        <f t="shared" si="404"/>
        <v>1260</v>
      </c>
      <c r="C466">
        <f t="shared" si="373"/>
        <v>1.0119671869371818</v>
      </c>
      <c r="D466">
        <f t="shared" si="374"/>
        <v>0.15394186230440096</v>
      </c>
      <c r="F466">
        <f t="shared" si="375"/>
        <v>3.3514157856211702E-5</v>
      </c>
      <c r="G466">
        <f t="shared" si="376"/>
        <v>1.1814628276598483E-3</v>
      </c>
      <c r="H466">
        <f t="shared" si="377"/>
        <v>-3.1404111871723406</v>
      </c>
      <c r="J466">
        <f t="shared" si="378"/>
        <v>15</v>
      </c>
      <c r="M466">
        <f t="shared" si="379"/>
        <v>9.9265565700571963E-4</v>
      </c>
      <c r="N466">
        <f t="shared" si="380"/>
        <v>-1.5707963250000001</v>
      </c>
      <c r="O466">
        <f t="shared" si="381"/>
        <v>247.44202593848121</v>
      </c>
      <c r="P466">
        <f t="shared" si="382"/>
        <v>1.5667549651130515</v>
      </c>
      <c r="Q466">
        <f t="shared" si="383"/>
        <v>215.08631323101585</v>
      </c>
      <c r="R466">
        <f t="shared" si="384"/>
        <v>1.5661470137462308</v>
      </c>
      <c r="S466">
        <f t="shared" si="385"/>
        <v>0.16229025733423863</v>
      </c>
      <c r="T466">
        <f t="shared" si="386"/>
        <v>-1.4077850875635867</v>
      </c>
      <c r="U466">
        <f t="shared" si="387"/>
        <v>0.16023153372381582</v>
      </c>
      <c r="V466">
        <f t="shared" si="388"/>
        <v>-1.409871113882976</v>
      </c>
      <c r="X466">
        <f t="shared" si="405"/>
        <v>-63.111774010339737</v>
      </c>
      <c r="Y466">
        <f t="shared" si="389"/>
        <v>-243.04983558003283</v>
      </c>
      <c r="Z466">
        <f t="shared" si="406"/>
        <v>-63.049835580032834</v>
      </c>
      <c r="AC466">
        <v>1</v>
      </c>
      <c r="AD466">
        <f t="shared" si="390"/>
        <v>247.44000525489</v>
      </c>
      <c r="AE466">
        <f t="shared" si="391"/>
        <v>-0.23507236423179648</v>
      </c>
      <c r="AF466">
        <f t="shared" si="392"/>
        <v>3.8159040963959993E-2</v>
      </c>
      <c r="AG466">
        <f t="shared" si="367"/>
        <v>162.3376534954607</v>
      </c>
      <c r="AH466">
        <f t="shared" si="368"/>
        <v>-1026.2599641329175</v>
      </c>
      <c r="AJ466">
        <f t="shared" si="393"/>
        <v>26400</v>
      </c>
      <c r="AK466">
        <f t="shared" si="394"/>
        <v>160514.97662914562</v>
      </c>
      <c r="AL466">
        <v>1</v>
      </c>
      <c r="AM466">
        <f t="shared" si="395"/>
        <v>215.08398857030403</v>
      </c>
      <c r="AN466">
        <f t="shared" si="369"/>
        <v>746.84428212398882</v>
      </c>
      <c r="AO466">
        <f t="shared" si="370"/>
        <v>-119.27041100732993</v>
      </c>
      <c r="AQ466">
        <f t="shared" si="396"/>
        <v>1.5747037076871209E-3</v>
      </c>
      <c r="AR466">
        <f t="shared" si="397"/>
        <v>-3.9682533433715448</v>
      </c>
      <c r="AT466">
        <f t="shared" si="365"/>
        <v>-4072.2039001339554</v>
      </c>
      <c r="AU466">
        <f t="shared" si="366"/>
        <v>-645.81299160902427</v>
      </c>
      <c r="AV466">
        <f t="shared" si="407"/>
        <v>-2.9843119769837214</v>
      </c>
      <c r="AW466">
        <f t="shared" si="408"/>
        <v>436.33684968694564</v>
      </c>
      <c r="AX466">
        <f t="shared" si="409"/>
        <v>-4600.5220507399981</v>
      </c>
      <c r="AY466">
        <f t="shared" si="417"/>
        <v>-1.4762341243462709</v>
      </c>
      <c r="BA466">
        <f t="shared" si="398"/>
        <v>0.89221942878958904</v>
      </c>
      <c r="BB466">
        <f t="shared" si="410"/>
        <v>-0.99056647765496031</v>
      </c>
      <c r="BC466">
        <f t="shared" si="411"/>
        <v>-1.5080778526374505</v>
      </c>
      <c r="BD466">
        <f t="shared" si="399"/>
        <v>-266.40649623201182</v>
      </c>
      <c r="BF466">
        <f t="shared" si="400"/>
        <v>-66.860846463806581</v>
      </c>
      <c r="BG466">
        <f t="shared" si="401"/>
        <v>-257.51858438775321</v>
      </c>
      <c r="BH466">
        <f t="shared" si="412"/>
        <v>-77.518584387753208</v>
      </c>
      <c r="BI466">
        <f t="shared" si="413"/>
        <v>-77.518584387753208</v>
      </c>
      <c r="BJ466">
        <f t="shared" si="402"/>
        <v>0</v>
      </c>
      <c r="BK466">
        <f t="shared" si="414"/>
        <v>0</v>
      </c>
      <c r="BM466">
        <f t="shared" si="415"/>
        <v>-65.870279986151616</v>
      </c>
      <c r="BN466">
        <f t="shared" si="403"/>
        <v>-171.11208815574136</v>
      </c>
      <c r="BQ466" s="56">
        <f t="shared" si="416"/>
        <v>15.911394322630176</v>
      </c>
    </row>
    <row r="467" spans="1:69" x14ac:dyDescent="0.2">
      <c r="A467">
        <f t="shared" si="372"/>
        <v>1265000</v>
      </c>
      <c r="B467">
        <f t="shared" si="404"/>
        <v>1265</v>
      </c>
      <c r="C467">
        <f t="shared" si="373"/>
        <v>1.012061785936049</v>
      </c>
      <c r="D467">
        <f t="shared" si="374"/>
        <v>0.15454308104869022</v>
      </c>
      <c r="F467">
        <f t="shared" si="375"/>
        <v>3.3249738773636219E-5</v>
      </c>
      <c r="G467">
        <f t="shared" si="376"/>
        <v>1.1767927070993637E-3</v>
      </c>
      <c r="H467">
        <f t="shared" si="377"/>
        <v>-3.1404158572929006</v>
      </c>
      <c r="J467">
        <f t="shared" si="378"/>
        <v>15</v>
      </c>
      <c r="M467">
        <f t="shared" si="379"/>
        <v>9.88732116859452E-4</v>
      </c>
      <c r="N467">
        <f t="shared" si="380"/>
        <v>-1.5707963250000001</v>
      </c>
      <c r="O467">
        <f t="shared" si="381"/>
        <v>248.42392273441189</v>
      </c>
      <c r="P467">
        <f t="shared" si="382"/>
        <v>1.5667709387017414</v>
      </c>
      <c r="Q467">
        <f t="shared" si="383"/>
        <v>215.93981193388433</v>
      </c>
      <c r="R467">
        <f t="shared" si="384"/>
        <v>1.5661653902143953</v>
      </c>
      <c r="S467">
        <f t="shared" si="385"/>
        <v>0.16166559139537767</v>
      </c>
      <c r="T467">
        <f t="shared" si="386"/>
        <v>-1.4084181130060027</v>
      </c>
      <c r="U467">
        <f t="shared" si="387"/>
        <v>0.1596143737915835</v>
      </c>
      <c r="V467">
        <f t="shared" si="388"/>
        <v>-1.4104963205487306</v>
      </c>
      <c r="X467">
        <f t="shared" si="405"/>
        <v>-63.212382145361673</v>
      </c>
      <c r="Y467">
        <f t="shared" si="389"/>
        <v>-243.0857791378221</v>
      </c>
      <c r="Z467">
        <f t="shared" si="406"/>
        <v>-63.085779137822101</v>
      </c>
      <c r="AC467">
        <v>1</v>
      </c>
      <c r="AD467">
        <f t="shared" si="390"/>
        <v>248.42191003764751</v>
      </c>
      <c r="AE467">
        <f t="shared" si="391"/>
        <v>-0.23694171960999405</v>
      </c>
      <c r="AF467">
        <f t="shared" si="392"/>
        <v>3.8310465729689998E-2</v>
      </c>
      <c r="AG467">
        <f t="shared" si="367"/>
        <v>161.08951779474754</v>
      </c>
      <c r="AH467">
        <f t="shared" si="368"/>
        <v>-1022.4054083236321</v>
      </c>
      <c r="AJ467">
        <f t="shared" si="393"/>
        <v>26400</v>
      </c>
      <c r="AK467">
        <f t="shared" si="394"/>
        <v>161151.94082211843</v>
      </c>
      <c r="AL467">
        <v>1</v>
      </c>
      <c r="AM467">
        <f t="shared" si="395"/>
        <v>215.93749646145602</v>
      </c>
      <c r="AN467">
        <f t="shared" si="369"/>
        <v>746.83990724891282</v>
      </c>
      <c r="AO467">
        <f t="shared" si="370"/>
        <v>-118.79900671780769</v>
      </c>
      <c r="AQ467">
        <f t="shared" si="396"/>
        <v>1.5622800602602665E-3</v>
      </c>
      <c r="AR467">
        <f t="shared" si="397"/>
        <v>-3.9525685524584744</v>
      </c>
      <c r="AT467">
        <f t="shared" si="365"/>
        <v>-4040.875797861886</v>
      </c>
      <c r="AU467">
        <f t="shared" si="366"/>
        <v>-638.31464574914514</v>
      </c>
      <c r="AV467">
        <f t="shared" si="407"/>
        <v>-2.9849227785403696</v>
      </c>
      <c r="AW467">
        <f t="shared" si="408"/>
        <v>438.81456359587679</v>
      </c>
      <c r="AX467">
        <f t="shared" si="409"/>
        <v>-4582.5199653675427</v>
      </c>
      <c r="AY467">
        <f t="shared" si="417"/>
        <v>-1.4753290647152253</v>
      </c>
      <c r="BA467">
        <f t="shared" si="398"/>
        <v>0.88867091804903786</v>
      </c>
      <c r="BB467">
        <f t="shared" si="410"/>
        <v>-1.0251806396296632</v>
      </c>
      <c r="BC467">
        <f t="shared" si="411"/>
        <v>-1.5095937138251443</v>
      </c>
      <c r="BD467">
        <f t="shared" si="399"/>
        <v>-266.49334868049363</v>
      </c>
      <c r="BF467">
        <f t="shared" si="400"/>
        <v>-66.963450170019598</v>
      </c>
      <c r="BG467">
        <f t="shared" si="401"/>
        <v>-257.57125711778184</v>
      </c>
      <c r="BH467">
        <f t="shared" si="412"/>
        <v>-77.57125711778184</v>
      </c>
      <c r="BI467">
        <f t="shared" si="413"/>
        <v>-77.57125711778184</v>
      </c>
      <c r="BJ467">
        <f t="shared" si="402"/>
        <v>0</v>
      </c>
      <c r="BK467">
        <f t="shared" si="414"/>
        <v>0</v>
      </c>
      <c r="BM467">
        <f t="shared" si="415"/>
        <v>-65.938269530389931</v>
      </c>
      <c r="BN467">
        <f t="shared" si="403"/>
        <v>-171.07790843728827</v>
      </c>
      <c r="BQ467" s="56">
        <f t="shared" si="416"/>
        <v>15.876780160655473</v>
      </c>
    </row>
    <row r="468" spans="1:69" x14ac:dyDescent="0.2">
      <c r="A468">
        <f t="shared" si="372"/>
        <v>1270000</v>
      </c>
      <c r="B468">
        <f t="shared" si="404"/>
        <v>1270</v>
      </c>
      <c r="C468">
        <f t="shared" si="373"/>
        <v>1.0121567506903368</v>
      </c>
      <c r="D468">
        <f t="shared" si="374"/>
        <v>0.15514418719253964</v>
      </c>
      <c r="F468">
        <f t="shared" si="375"/>
        <v>3.2988436733861698E-5</v>
      </c>
      <c r="G468">
        <f t="shared" si="376"/>
        <v>1.1721593627466124E-3</v>
      </c>
      <c r="H468">
        <f t="shared" si="377"/>
        <v>-3.1404204906372537</v>
      </c>
      <c r="J468">
        <f t="shared" si="378"/>
        <v>15</v>
      </c>
      <c r="M468">
        <f t="shared" si="379"/>
        <v>9.8483947073008398E-4</v>
      </c>
      <c r="N468">
        <f t="shared" si="380"/>
        <v>-1.5707963250000001</v>
      </c>
      <c r="O468">
        <f t="shared" si="381"/>
        <v>249.40581959323021</v>
      </c>
      <c r="P468">
        <f t="shared" si="382"/>
        <v>1.5667867865161726</v>
      </c>
      <c r="Q468">
        <f t="shared" si="383"/>
        <v>216.7933107091003</v>
      </c>
      <c r="R468">
        <f t="shared" si="384"/>
        <v>1.5661836219890508</v>
      </c>
      <c r="S468">
        <f t="shared" si="385"/>
        <v>0.16104565198535303</v>
      </c>
      <c r="T468">
        <f t="shared" si="386"/>
        <v>-1.4090462837703339</v>
      </c>
      <c r="U468">
        <f t="shared" si="387"/>
        <v>0.15900188838040508</v>
      </c>
      <c r="V468">
        <f t="shared" si="388"/>
        <v>-1.4111167292665012</v>
      </c>
      <c r="X468">
        <f t="shared" si="405"/>
        <v>-63.312600728766114</v>
      </c>
      <c r="Y468">
        <f t="shared" si="389"/>
        <v>-243.12118948194592</v>
      </c>
      <c r="Z468">
        <f t="shared" si="406"/>
        <v>-63.121189481945919</v>
      </c>
      <c r="AC468">
        <v>1</v>
      </c>
      <c r="AD468">
        <f t="shared" si="390"/>
        <v>249.40381482040499</v>
      </c>
      <c r="AE468">
        <f t="shared" si="391"/>
        <v>-0.23881847837582801</v>
      </c>
      <c r="AF468">
        <f t="shared" si="392"/>
        <v>3.8461890495419995E-2</v>
      </c>
      <c r="AG468">
        <f t="shared" si="367"/>
        <v>159.85559788497955</v>
      </c>
      <c r="AH468">
        <f t="shared" si="368"/>
        <v>-1018.5789138839688</v>
      </c>
      <c r="AJ468">
        <f t="shared" si="393"/>
        <v>26400</v>
      </c>
      <c r="AK468">
        <f t="shared" si="394"/>
        <v>161788.90501509121</v>
      </c>
      <c r="AL468">
        <v>1</v>
      </c>
      <c r="AM468">
        <f t="shared" si="395"/>
        <v>216.79100435260801</v>
      </c>
      <c r="AN468">
        <f t="shared" si="369"/>
        <v>746.83558394234035</v>
      </c>
      <c r="AO468">
        <f t="shared" si="370"/>
        <v>-118.33131403521287</v>
      </c>
      <c r="AQ468">
        <f t="shared" si="396"/>
        <v>1.5500028597552763E-3</v>
      </c>
      <c r="AR468">
        <f t="shared" si="397"/>
        <v>-3.9370072637784017</v>
      </c>
      <c r="AT468">
        <f t="shared" si="365"/>
        <v>-4009.9048060588302</v>
      </c>
      <c r="AU468">
        <f t="shared" si="366"/>
        <v>-630.93145025821036</v>
      </c>
      <c r="AV468">
        <f t="shared" si="407"/>
        <v>-2.9855288955730614</v>
      </c>
      <c r="AW468">
        <f t="shared" si="408"/>
        <v>441.26257839439052</v>
      </c>
      <c r="AX468">
        <f t="shared" si="409"/>
        <v>-4564.6575736832019</v>
      </c>
      <c r="AY468">
        <f t="shared" si="417"/>
        <v>-1.4744264022078089</v>
      </c>
      <c r="BA468">
        <f t="shared" si="398"/>
        <v>0.88514918385370545</v>
      </c>
      <c r="BB468">
        <f t="shared" si="410"/>
        <v>-1.0596705348731672</v>
      </c>
      <c r="BC468">
        <f t="shared" si="411"/>
        <v>-1.5111024933652526</v>
      </c>
      <c r="BD468">
        <f t="shared" si="399"/>
        <v>-266.57979538045629</v>
      </c>
      <c r="BF468">
        <f t="shared" si="400"/>
        <v>-67.065655122104275</v>
      </c>
      <c r="BG468">
        <f t="shared" si="401"/>
        <v>-257.62352844370002</v>
      </c>
      <c r="BH468">
        <f t="shared" si="412"/>
        <v>-77.623528443700025</v>
      </c>
      <c r="BI468">
        <f t="shared" si="413"/>
        <v>-77.623528443700025</v>
      </c>
      <c r="BJ468">
        <f t="shared" si="402"/>
        <v>0</v>
      </c>
      <c r="BK468">
        <f t="shared" si="414"/>
        <v>0</v>
      </c>
      <c r="BM468">
        <f t="shared" si="415"/>
        <v>-66.005984587231112</v>
      </c>
      <c r="BN468">
        <f t="shared" si="403"/>
        <v>-171.04373306324371</v>
      </c>
      <c r="BQ468" s="56">
        <f t="shared" si="416"/>
        <v>15.842290265411968</v>
      </c>
    </row>
    <row r="469" spans="1:69" x14ac:dyDescent="0.2">
      <c r="A469">
        <f t="shared" si="372"/>
        <v>1275000</v>
      </c>
      <c r="B469">
        <f t="shared" si="404"/>
        <v>1275</v>
      </c>
      <c r="C469">
        <f t="shared" si="373"/>
        <v>1.012252081097105</v>
      </c>
      <c r="D469">
        <f t="shared" si="374"/>
        <v>0.1557451803333077</v>
      </c>
      <c r="F469">
        <f t="shared" si="375"/>
        <v>3.2730202935479185E-5</v>
      </c>
      <c r="G469">
        <f t="shared" si="376"/>
        <v>1.1675623618841089E-3</v>
      </c>
      <c r="H469">
        <f t="shared" si="377"/>
        <v>-3.1404250876381159</v>
      </c>
      <c r="J469">
        <f t="shared" si="378"/>
        <v>15</v>
      </c>
      <c r="M469">
        <f t="shared" si="379"/>
        <v>9.8097735515859357E-4</v>
      </c>
      <c r="N469">
        <f t="shared" si="380"/>
        <v>-1.5707963250000001</v>
      </c>
      <c r="O469">
        <f t="shared" si="381"/>
        <v>250.38771651419628</v>
      </c>
      <c r="P469">
        <f t="shared" si="382"/>
        <v>1.5668025100360103</v>
      </c>
      <c r="Q469">
        <f t="shared" si="383"/>
        <v>217.64680955581269</v>
      </c>
      <c r="R469">
        <f t="shared" si="384"/>
        <v>1.566201710772426</v>
      </c>
      <c r="S469">
        <f t="shared" si="385"/>
        <v>0.16043038639682267</v>
      </c>
      <c r="T469">
        <f t="shared" si="386"/>
        <v>-1.4096696549990173</v>
      </c>
      <c r="U469">
        <f t="shared" si="387"/>
        <v>0.15839402529008414</v>
      </c>
      <c r="V469">
        <f t="shared" si="388"/>
        <v>-1.4117323945834923</v>
      </c>
      <c r="X469">
        <f t="shared" si="405"/>
        <v>-63.412432645726284</v>
      </c>
      <c r="Y469">
        <f t="shared" si="389"/>
        <v>-243.15607276271112</v>
      </c>
      <c r="Z469">
        <f t="shared" si="406"/>
        <v>-63.156072762711119</v>
      </c>
      <c r="AC469">
        <v>1</v>
      </c>
      <c r="AD469">
        <f t="shared" si="390"/>
        <v>250.3857196031625</v>
      </c>
      <c r="AE469">
        <f t="shared" si="391"/>
        <v>-0.24070264052929841</v>
      </c>
      <c r="AF469">
        <f t="shared" si="392"/>
        <v>3.861331526115E-2</v>
      </c>
      <c r="AG469">
        <f t="shared" si="367"/>
        <v>158.63568058706605</v>
      </c>
      <c r="AH469">
        <f t="shared" si="368"/>
        <v>-1014.7801848781778</v>
      </c>
      <c r="AJ469">
        <f t="shared" si="393"/>
        <v>26400</v>
      </c>
      <c r="AK469">
        <f t="shared" si="394"/>
        <v>162425.86920806402</v>
      </c>
      <c r="AL469">
        <v>1</v>
      </c>
      <c r="AM469">
        <f t="shared" si="395"/>
        <v>217.64451224376003</v>
      </c>
      <c r="AN469">
        <f t="shared" si="369"/>
        <v>746.8313113969707</v>
      </c>
      <c r="AO469">
        <f t="shared" si="370"/>
        <v>-117.86728929729088</v>
      </c>
      <c r="AQ469">
        <f t="shared" si="396"/>
        <v>1.537869813476384E-3</v>
      </c>
      <c r="AR469">
        <f t="shared" si="397"/>
        <v>-3.9215680243647792</v>
      </c>
      <c r="AT469">
        <f t="shared" si="365"/>
        <v>-3979.2855637527259</v>
      </c>
      <c r="AU469">
        <f t="shared" si="366"/>
        <v>-623.66121232722082</v>
      </c>
      <c r="AV469">
        <f t="shared" si="407"/>
        <v>-2.9861303812946329</v>
      </c>
      <c r="AW469">
        <f t="shared" si="408"/>
        <v>443.68136832615613</v>
      </c>
      <c r="AX469">
        <f t="shared" si="409"/>
        <v>-4546.9332627834874</v>
      </c>
      <c r="AY469">
        <f t="shared" si="417"/>
        <v>-1.4735261090563987</v>
      </c>
      <c r="BA469">
        <f t="shared" si="398"/>
        <v>0.88165392441895196</v>
      </c>
      <c r="BB469">
        <f t="shared" si="410"/>
        <v>-1.0940371003043345</v>
      </c>
      <c r="BC469">
        <f t="shared" si="411"/>
        <v>-1.5126042722382342</v>
      </c>
      <c r="BD469">
        <f t="shared" si="399"/>
        <v>-266.66584097173836</v>
      </c>
      <c r="BF469">
        <f t="shared" si="400"/>
        <v>-67.167464391949267</v>
      </c>
      <c r="BG469">
        <f t="shared" si="401"/>
        <v>-257.67540305320853</v>
      </c>
      <c r="BH469">
        <f t="shared" si="412"/>
        <v>-77.675403053208527</v>
      </c>
      <c r="BI469">
        <f t="shared" si="413"/>
        <v>-77.675403053208527</v>
      </c>
      <c r="BJ469">
        <f t="shared" si="402"/>
        <v>0</v>
      </c>
      <c r="BK469">
        <f t="shared" si="414"/>
        <v>0</v>
      </c>
      <c r="BM469">
        <f t="shared" si="415"/>
        <v>-66.073427291644933</v>
      </c>
      <c r="BN469">
        <f t="shared" si="403"/>
        <v>-171.00956208147019</v>
      </c>
      <c r="BQ469" s="56">
        <f t="shared" si="416"/>
        <v>15.807923699980801</v>
      </c>
    </row>
    <row r="470" spans="1:69" x14ac:dyDescent="0.2">
      <c r="A470">
        <f t="shared" si="372"/>
        <v>1280000</v>
      </c>
      <c r="B470">
        <f t="shared" si="404"/>
        <v>1280</v>
      </c>
      <c r="C470">
        <f t="shared" si="373"/>
        <v>1.0123477770530553</v>
      </c>
      <c r="D470">
        <f t="shared" si="374"/>
        <v>0.15634606006883092</v>
      </c>
      <c r="F470">
        <f t="shared" si="375"/>
        <v>3.247498952842784E-5</v>
      </c>
      <c r="G470">
        <f t="shared" si="376"/>
        <v>1.1630012785566696E-3</v>
      </c>
      <c r="H470">
        <f t="shared" si="377"/>
        <v>-3.1404296487214434</v>
      </c>
      <c r="J470">
        <f t="shared" si="378"/>
        <v>15</v>
      </c>
      <c r="M470">
        <f t="shared" si="379"/>
        <v>9.7714541236500522E-4</v>
      </c>
      <c r="N470">
        <f t="shared" si="380"/>
        <v>-1.5707963250000001</v>
      </c>
      <c r="O470">
        <f t="shared" si="381"/>
        <v>251.36961349658193</v>
      </c>
      <c r="P470">
        <f t="shared" si="382"/>
        <v>1.566818110717801</v>
      </c>
      <c r="Q470">
        <f t="shared" si="383"/>
        <v>218.50030847318368</v>
      </c>
      <c r="R470">
        <f t="shared" si="384"/>
        <v>1.5662196582401529</v>
      </c>
      <c r="S470">
        <f t="shared" si="385"/>
        <v>0.15981974269188359</v>
      </c>
      <c r="T470">
        <f t="shared" si="386"/>
        <v>-1.4102882810099879</v>
      </c>
      <c r="U470">
        <f t="shared" si="387"/>
        <v>0.15779073308384081</v>
      </c>
      <c r="V470">
        <f t="shared" si="388"/>
        <v>-1.4123433702303771</v>
      </c>
      <c r="X470">
        <f t="shared" si="405"/>
        <v>-63.511880749857013</v>
      </c>
      <c r="Y470">
        <f t="shared" si="389"/>
        <v>-243.19043503883427</v>
      </c>
      <c r="Z470">
        <f t="shared" si="406"/>
        <v>-63.190435038834266</v>
      </c>
      <c r="AC470">
        <v>1</v>
      </c>
      <c r="AD470">
        <f t="shared" si="390"/>
        <v>251.36762438592001</v>
      </c>
      <c r="AE470">
        <f t="shared" si="391"/>
        <v>-0.24259420607040524</v>
      </c>
      <c r="AF470">
        <f t="shared" si="392"/>
        <v>3.8764740026879997E-2</v>
      </c>
      <c r="AG470">
        <f t="shared" si="367"/>
        <v>157.42955666702929</v>
      </c>
      <c r="AH470">
        <f t="shared" si="368"/>
        <v>-1011.0089293641057</v>
      </c>
      <c r="AJ470">
        <f t="shared" si="393"/>
        <v>26400</v>
      </c>
      <c r="AK470">
        <f t="shared" si="394"/>
        <v>163062.83340103683</v>
      </c>
      <c r="AL470">
        <v>1</v>
      </c>
      <c r="AM470">
        <f t="shared" si="395"/>
        <v>218.49802013491205</v>
      </c>
      <c r="AN470">
        <f t="shared" si="369"/>
        <v>746.8270888212387</v>
      </c>
      <c r="AO470">
        <f t="shared" si="370"/>
        <v>-117.40688952393782</v>
      </c>
      <c r="AQ470">
        <f t="shared" si="396"/>
        <v>1.5258786734193919E-3</v>
      </c>
      <c r="AR470">
        <f t="shared" si="397"/>
        <v>-3.9062494039536433</v>
      </c>
      <c r="AT470">
        <f t="shared" ref="AT470:AT533" si="418">-AR470*AH470+AG470*AQ470</f>
        <v>-3949.0128093172652</v>
      </c>
      <c r="AU470">
        <f t="shared" ref="AU470:AU533" si="419">AQ470*AH470+AG470*AR470</f>
        <v>-616.50178885922264</v>
      </c>
      <c r="AV470">
        <f t="shared" si="407"/>
        <v>-2.9867272881222373</v>
      </c>
      <c r="AW470">
        <f t="shared" si="408"/>
        <v>446.07139818195481</v>
      </c>
      <c r="AX470">
        <f t="shared" si="409"/>
        <v>-4529.3454444067047</v>
      </c>
      <c r="AY470">
        <f t="shared" si="417"/>
        <v>-1.4726281579623772</v>
      </c>
      <c r="BA470">
        <f t="shared" si="398"/>
        <v>0.87818484242610018</v>
      </c>
      <c r="BB470">
        <f t="shared" si="410"/>
        <v>-1.1282812628178582</v>
      </c>
      <c r="BC470">
        <f t="shared" si="411"/>
        <v>-1.5140991301598601</v>
      </c>
      <c r="BD470">
        <f t="shared" si="399"/>
        <v>-266.75149002171713</v>
      </c>
      <c r="BF470">
        <f t="shared" si="400"/>
        <v>-67.268881016373967</v>
      </c>
      <c r="BG470">
        <f t="shared" si="401"/>
        <v>-257.72688556113252</v>
      </c>
      <c r="BH470">
        <f t="shared" si="412"/>
        <v>-77.726885561132519</v>
      </c>
      <c r="BI470">
        <f t="shared" si="413"/>
        <v>-77.726885561132519</v>
      </c>
      <c r="BJ470">
        <f t="shared" si="402"/>
        <v>0</v>
      </c>
      <c r="BK470">
        <f t="shared" si="414"/>
        <v>0</v>
      </c>
      <c r="BM470">
        <f t="shared" si="415"/>
        <v>-66.140599753556103</v>
      </c>
      <c r="BN470">
        <f t="shared" si="403"/>
        <v>-170.97539553941539</v>
      </c>
      <c r="BQ470" s="56">
        <f t="shared" si="416"/>
        <v>15.773679537467277</v>
      </c>
    </row>
    <row r="471" spans="1:69" x14ac:dyDescent="0.2">
      <c r="A471">
        <f t="shared" si="372"/>
        <v>1285000</v>
      </c>
      <c r="B471">
        <f t="shared" si="404"/>
        <v>1285</v>
      </c>
      <c r="C471">
        <f t="shared" si="373"/>
        <v>1.0124438384545331</v>
      </c>
      <c r="D471">
        <f t="shared" si="374"/>
        <v>0.15694682599742515</v>
      </c>
      <c r="F471">
        <f t="shared" si="375"/>
        <v>3.2222749591826169E-5</v>
      </c>
      <c r="G471">
        <f t="shared" si="376"/>
        <v>1.158475693439827E-3</v>
      </c>
      <c r="H471">
        <f t="shared" si="377"/>
        <v>-3.1404341743065602</v>
      </c>
      <c r="J471">
        <f t="shared" si="378"/>
        <v>15</v>
      </c>
      <c r="M471">
        <f t="shared" si="379"/>
        <v>9.7334329013790415E-4</v>
      </c>
      <c r="N471">
        <f t="shared" si="380"/>
        <v>-1.5707963250000001</v>
      </c>
      <c r="O471">
        <f t="shared" si="381"/>
        <v>252.35151053967013</v>
      </c>
      <c r="P471">
        <f t="shared" si="382"/>
        <v>1.5668335899954218</v>
      </c>
      <c r="Q471">
        <f t="shared" si="383"/>
        <v>219.3538074603884</v>
      </c>
      <c r="R471">
        <f t="shared" si="384"/>
        <v>1.5662374660417842</v>
      </c>
      <c r="S471">
        <f t="shared" si="385"/>
        <v>0.15921366968830189</v>
      </c>
      <c r="T471">
        <f t="shared" si="386"/>
        <v>-1.4109022153118893</v>
      </c>
      <c r="U471">
        <f t="shared" si="387"/>
        <v>0.15719196107461808</v>
      </c>
      <c r="V471">
        <f t="shared" si="388"/>
        <v>-1.4129497091363836</v>
      </c>
      <c r="X471">
        <f t="shared" si="405"/>
        <v>-63.610947863664855</v>
      </c>
      <c r="Y471">
        <f t="shared" si="389"/>
        <v>-243.2242822791288</v>
      </c>
      <c r="Z471">
        <f t="shared" si="406"/>
        <v>-63.224282279128801</v>
      </c>
      <c r="AC471">
        <v>1</v>
      </c>
      <c r="AD471">
        <f t="shared" si="390"/>
        <v>252.34952916867752</v>
      </c>
      <c r="AE471">
        <f t="shared" si="391"/>
        <v>-0.24449317499914852</v>
      </c>
      <c r="AF471">
        <f t="shared" si="392"/>
        <v>3.8916164792609995E-2</v>
      </c>
      <c r="AG471">
        <f t="shared" si="367"/>
        <v>156.23702074953925</v>
      </c>
      <c r="AH471">
        <f t="shared" si="368"/>
        <v>-1007.2648593292623</v>
      </c>
      <c r="AJ471">
        <f t="shared" si="393"/>
        <v>26400</v>
      </c>
      <c r="AK471">
        <f t="shared" si="394"/>
        <v>163699.79759400961</v>
      </c>
      <c r="AL471">
        <v>1</v>
      </c>
      <c r="AM471">
        <f t="shared" si="395"/>
        <v>219.35152802606402</v>
      </c>
      <c r="AN471">
        <f t="shared" si="369"/>
        <v>746.82291543894939</v>
      </c>
      <c r="AO471">
        <f t="shared" si="370"/>
        <v>-116.95007240393085</v>
      </c>
      <c r="AQ471">
        <f t="shared" si="396"/>
        <v>1.5140272352303238E-3</v>
      </c>
      <c r="AR471">
        <f t="shared" si="397"/>
        <v>-3.8910499945419317</v>
      </c>
      <c r="AT471">
        <f t="shared" si="418"/>
        <v>-3919.0813782908399</v>
      </c>
      <c r="AU471">
        <f t="shared" si="419"/>
        <v>-609.45108516485732</v>
      </c>
      <c r="AV471">
        <f t="shared" si="407"/>
        <v>-2.9873196676920264</v>
      </c>
      <c r="AW471">
        <f t="shared" si="408"/>
        <v>448.43312352534758</v>
      </c>
      <c r="AX471">
        <f t="shared" si="409"/>
        <v>-4511.8925544656859</v>
      </c>
      <c r="AY471">
        <f t="shared" si="417"/>
        <v>-1.4717325220863742</v>
      </c>
      <c r="BA471">
        <f t="shared" si="398"/>
        <v>0.8747416449413441</v>
      </c>
      <c r="BB471">
        <f t="shared" si="410"/>
        <v>-1.1624039394206773</v>
      </c>
      <c r="BC471">
        <f t="shared" si="411"/>
        <v>-1.5155871456056522</v>
      </c>
      <c r="BD471">
        <f t="shared" si="399"/>
        <v>-266.83674702670868</v>
      </c>
      <c r="BF471">
        <f t="shared" si="400"/>
        <v>-67.369907997655616</v>
      </c>
      <c r="BG471">
        <f t="shared" si="401"/>
        <v>-257.77798051082834</v>
      </c>
      <c r="BH471">
        <f t="shared" si="412"/>
        <v>-77.777980510828343</v>
      </c>
      <c r="BI471">
        <f t="shared" si="413"/>
        <v>-77.777980510828343</v>
      </c>
      <c r="BJ471">
        <f t="shared" si="402"/>
        <v>0</v>
      </c>
      <c r="BK471">
        <f t="shared" si="414"/>
        <v>0</v>
      </c>
      <c r="BM471">
        <f t="shared" si="415"/>
        <v>-66.207504058234946</v>
      </c>
      <c r="BN471">
        <f t="shared" si="403"/>
        <v>-170.94123348411969</v>
      </c>
      <c r="BQ471" s="56">
        <f t="shared" si="416"/>
        <v>15.739556860864459</v>
      </c>
    </row>
    <row r="472" spans="1:69" x14ac:dyDescent="0.2">
      <c r="A472">
        <f t="shared" si="372"/>
        <v>1290000</v>
      </c>
      <c r="B472">
        <f t="shared" si="404"/>
        <v>1290</v>
      </c>
      <c r="C472">
        <f t="shared" si="373"/>
        <v>1.0125402651975273</v>
      </c>
      <c r="D472">
        <f t="shared" si="374"/>
        <v>0.15754747771788685</v>
      </c>
      <c r="F472">
        <f t="shared" si="375"/>
        <v>3.1973437112403545E-5</v>
      </c>
      <c r="G472">
        <f t="shared" si="376"/>
        <v>1.1539851937113E-3</v>
      </c>
      <c r="H472">
        <f t="shared" si="377"/>
        <v>-3.1404386648062887</v>
      </c>
      <c r="J472">
        <f t="shared" si="378"/>
        <v>15</v>
      </c>
      <c r="M472">
        <f t="shared" si="379"/>
        <v>9.6957064172651698E-4</v>
      </c>
      <c r="N472">
        <f t="shared" si="380"/>
        <v>-1.5707963250000001</v>
      </c>
      <c r="O472">
        <f t="shared" si="381"/>
        <v>253.33340764275502</v>
      </c>
      <c r="P472">
        <f t="shared" si="382"/>
        <v>1.5668489492805193</v>
      </c>
      <c r="Q472">
        <f t="shared" si="383"/>
        <v>220.20730651661492</v>
      </c>
      <c r="R472">
        <f t="shared" si="384"/>
        <v>1.5662551358012995</v>
      </c>
      <c r="S472">
        <f t="shared" si="385"/>
        <v>0.15861211694603186</v>
      </c>
      <c r="T472">
        <f t="shared" si="386"/>
        <v>-1.4115115106189531</v>
      </c>
      <c r="U472">
        <f t="shared" si="387"/>
        <v>0.15659765931167685</v>
      </c>
      <c r="V472">
        <f t="shared" si="388"/>
        <v>-1.4135514634440471</v>
      </c>
      <c r="X472">
        <f t="shared" si="405"/>
        <v>-63.709636778990244</v>
      </c>
      <c r="Y472">
        <f t="shared" si="389"/>
        <v>-243.25762036415668</v>
      </c>
      <c r="Z472">
        <f t="shared" si="406"/>
        <v>-63.257620364156679</v>
      </c>
      <c r="AC472">
        <v>1</v>
      </c>
      <c r="AD472">
        <f t="shared" si="390"/>
        <v>253.33143395143503</v>
      </c>
      <c r="AE472">
        <f t="shared" si="391"/>
        <v>-0.24639954731552818</v>
      </c>
      <c r="AF472">
        <f t="shared" si="392"/>
        <v>3.9067589558339999E-2</v>
      </c>
      <c r="AG472">
        <f t="shared" si="367"/>
        <v>155.05787123362938</v>
      </c>
      <c r="AH472">
        <f t="shared" si="368"/>
        <v>-1003.5476906280272</v>
      </c>
      <c r="AJ472">
        <f t="shared" si="393"/>
        <v>26400</v>
      </c>
      <c r="AK472">
        <f t="shared" si="394"/>
        <v>164336.76178698242</v>
      </c>
      <c r="AL472">
        <v>1</v>
      </c>
      <c r="AM472">
        <f t="shared" si="395"/>
        <v>220.20503591721601</v>
      </c>
      <c r="AN472">
        <f t="shared" si="369"/>
        <v>746.81879048891972</v>
      </c>
      <c r="AO472">
        <f t="shared" si="370"/>
        <v>-116.49679628196674</v>
      </c>
      <c r="AQ472">
        <f t="shared" si="396"/>
        <v>1.5023133371922755E-3</v>
      </c>
      <c r="AR472">
        <f t="shared" si="397"/>
        <v>-3.8759684099560707</v>
      </c>
      <c r="AT472">
        <f t="shared" si="418"/>
        <v>-3889.4862012506105</v>
      </c>
      <c r="AU472">
        <f t="shared" si="419"/>
        <v>-602.50705369672266</v>
      </c>
      <c r="AV472">
        <f t="shared" si="407"/>
        <v>-2.9879075708735057</v>
      </c>
      <c r="AW472">
        <f t="shared" si="408"/>
        <v>450.76699091207183</v>
      </c>
      <c r="AX472">
        <f t="shared" si="409"/>
        <v>-4494.5730525910622</v>
      </c>
      <c r="AY472">
        <f t="shared" si="417"/>
        <v>-1.4708391750387539</v>
      </c>
      <c r="BA472">
        <f t="shared" si="398"/>
        <v>0.87132404333639235</v>
      </c>
      <c r="BB472">
        <f t="shared" si="410"/>
        <v>-1.1964060373661645</v>
      </c>
      <c r="BC472">
        <f t="shared" si="411"/>
        <v>-1.5170683958347517</v>
      </c>
      <c r="BD472">
        <f t="shared" si="399"/>
        <v>-266.92161641333587</v>
      </c>
      <c r="BF472">
        <f t="shared" si="400"/>
        <v>-67.470548304046631</v>
      </c>
      <c r="BG472">
        <f t="shared" si="401"/>
        <v>-257.82869237555911</v>
      </c>
      <c r="BH472">
        <f t="shared" si="412"/>
        <v>-77.828692375559115</v>
      </c>
      <c r="BI472">
        <f t="shared" si="413"/>
        <v>-77.828692375559115</v>
      </c>
      <c r="BJ472">
        <f t="shared" si="402"/>
        <v>0</v>
      </c>
      <c r="BK472">
        <f t="shared" si="414"/>
        <v>0</v>
      </c>
      <c r="BM472">
        <f t="shared" si="415"/>
        <v>-66.274142266680485</v>
      </c>
      <c r="BN472">
        <f t="shared" si="403"/>
        <v>-170.9070759622233</v>
      </c>
      <c r="BQ472" s="56">
        <f t="shared" si="416"/>
        <v>15.705554762918972</v>
      </c>
    </row>
    <row r="473" spans="1:69" x14ac:dyDescent="0.2">
      <c r="A473">
        <f>A472+5000</f>
        <v>1295000</v>
      </c>
      <c r="B473">
        <f t="shared" si="404"/>
        <v>1295</v>
      </c>
      <c r="C473">
        <f t="shared" si="373"/>
        <v>1.0126370571776704</v>
      </c>
      <c r="D473">
        <f t="shared" si="374"/>
        <v>0.15814801482949475</v>
      </c>
      <c r="F473">
        <f t="shared" si="375"/>
        <v>3.1727006963513719E-5</v>
      </c>
      <c r="G473">
        <f t="shared" si="376"/>
        <v>1.1495293729254479E-3</v>
      </c>
      <c r="H473">
        <f t="shared" si="377"/>
        <v>-3.1404431206270749</v>
      </c>
      <c r="J473">
        <f t="shared" si="378"/>
        <v>15</v>
      </c>
      <c r="M473">
        <f t="shared" si="379"/>
        <v>9.6582712573529473E-4</v>
      </c>
      <c r="N473">
        <f t="shared" si="380"/>
        <v>-1.5707963250000001</v>
      </c>
      <c r="O473">
        <f t="shared" si="381"/>
        <v>254.31530480514175</v>
      </c>
      <c r="P473">
        <f t="shared" si="382"/>
        <v>1.5668641899629396</v>
      </c>
      <c r="Q473">
        <f t="shared" si="383"/>
        <v>221.06080564106372</v>
      </c>
      <c r="R473">
        <f t="shared" si="384"/>
        <v>1.5662726691175983</v>
      </c>
      <c r="S473">
        <f t="shared" si="385"/>
        <v>0.15801503475401812</v>
      </c>
      <c r="T473">
        <f t="shared" si="386"/>
        <v>-1.4121162188655518</v>
      </c>
      <c r="U473">
        <f t="shared" si="387"/>
        <v>0.15600777856747255</v>
      </c>
      <c r="V473">
        <f t="shared" si="388"/>
        <v>-1.414148684523644</v>
      </c>
      <c r="X473">
        <f t="shared" si="405"/>
        <v>-63.807950257442187</v>
      </c>
      <c r="Y473">
        <f t="shared" si="389"/>
        <v>-243.29045508784301</v>
      </c>
      <c r="Z473">
        <f t="shared" si="406"/>
        <v>-63.290455087843014</v>
      </c>
      <c r="AC473">
        <v>1</v>
      </c>
      <c r="AD473">
        <f t="shared" si="390"/>
        <v>254.31333873419248</v>
      </c>
      <c r="AE473">
        <f t="shared" si="391"/>
        <v>-0.24831332301954429</v>
      </c>
      <c r="AF473">
        <f t="shared" si="392"/>
        <v>3.9219014324069996E-2</v>
      </c>
      <c r="AG473">
        <f t="shared" si="367"/>
        <v>153.89191021053111</v>
      </c>
      <c r="AH473">
        <f t="shared" si="368"/>
        <v>-999.85714291997806</v>
      </c>
      <c r="AJ473">
        <f t="shared" si="393"/>
        <v>26400</v>
      </c>
      <c r="AK473">
        <f t="shared" si="394"/>
        <v>164973.72597995523</v>
      </c>
      <c r="AL473">
        <v>1</v>
      </c>
      <c r="AM473">
        <f t="shared" si="395"/>
        <v>221.05854380836803</v>
      </c>
      <c r="AN473">
        <f t="shared" si="369"/>
        <v>746.81471322463244</v>
      </c>
      <c r="AO473">
        <f t="shared" si="370"/>
        <v>-116.04702014600116</v>
      </c>
      <c r="AQ473">
        <f t="shared" si="396"/>
        <v>1.4907348592395971E-3</v>
      </c>
      <c r="AR473">
        <f t="shared" si="397"/>
        <v>-3.8610032854305563</v>
      </c>
      <c r="AT473">
        <f t="shared" si="418"/>
        <v>-3860.2223017401388</v>
      </c>
      <c r="AU473">
        <f t="shared" si="419"/>
        <v>-595.66769282125529</v>
      </c>
      <c r="AV473">
        <f t="shared" si="407"/>
        <v>-2.9884910477835827</v>
      </c>
      <c r="AW473">
        <f t="shared" si="408"/>
        <v>453.07343810336835</v>
      </c>
      <c r="AX473">
        <f t="shared" si="409"/>
        <v>-4477.3854216848385</v>
      </c>
      <c r="AY473">
        <f t="shared" si="417"/>
        <v>-1.4699480908703362</v>
      </c>
      <c r="BA473">
        <f t="shared" si="398"/>
        <v>0.86793175321079763</v>
      </c>
      <c r="BB473">
        <f t="shared" si="410"/>
        <v>-1.2302884542861856</v>
      </c>
      <c r="BC473">
        <f t="shared" si="411"/>
        <v>-1.5185429569132465</v>
      </c>
      <c r="BD473">
        <f t="shared" si="399"/>
        <v>-267.0061025398644</v>
      </c>
      <c r="BF473">
        <f t="shared" si="400"/>
        <v>-67.570804870282359</v>
      </c>
      <c r="BG473">
        <f t="shared" si="401"/>
        <v>-257.87902555983783</v>
      </c>
      <c r="BH473">
        <f t="shared" si="412"/>
        <v>-77.879025559837828</v>
      </c>
      <c r="BI473">
        <f t="shared" si="413"/>
        <v>-77.879025559837828</v>
      </c>
      <c r="BJ473">
        <f t="shared" si="402"/>
        <v>0</v>
      </c>
      <c r="BK473">
        <f t="shared" si="414"/>
        <v>0</v>
      </c>
      <c r="BM473">
        <f t="shared" si="415"/>
        <v>-66.340516415996177</v>
      </c>
      <c r="BN473">
        <f t="shared" si="403"/>
        <v>-170.87292301997346</v>
      </c>
      <c r="BQ473" s="56">
        <f t="shared" si="416"/>
        <v>15.67167234599895</v>
      </c>
    </row>
    <row r="474" spans="1:69" x14ac:dyDescent="0.2">
      <c r="A474">
        <f t="shared" ref="A474:A537" si="420">A473+5000</f>
        <v>1300000</v>
      </c>
      <c r="B474">
        <f t="shared" si="404"/>
        <v>1300</v>
      </c>
      <c r="C474">
        <f t="shared" si="373"/>
        <v>1.0127342142902398</v>
      </c>
      <c r="D474">
        <f t="shared" si="374"/>
        <v>0.15874843693201116</v>
      </c>
      <c r="F474">
        <f t="shared" si="375"/>
        <v>3.1483414884712167E-5</v>
      </c>
      <c r="G474">
        <f t="shared" si="376"/>
        <v>1.1451078308906172E-3</v>
      </c>
      <c r="H474">
        <f t="shared" si="377"/>
        <v>-3.1404475421691096</v>
      </c>
      <c r="J474">
        <f t="shared" si="378"/>
        <v>15</v>
      </c>
      <c r="M474">
        <f t="shared" si="379"/>
        <v>9.6211240602092824E-4</v>
      </c>
      <c r="N474">
        <f t="shared" si="380"/>
        <v>-1.5707963250000001</v>
      </c>
      <c r="O474">
        <f t="shared" si="381"/>
        <v>255.29720202614601</v>
      </c>
      <c r="P474">
        <f t="shared" si="382"/>
        <v>1.5668793134111472</v>
      </c>
      <c r="Q474">
        <f t="shared" si="383"/>
        <v>221.91430483294772</v>
      </c>
      <c r="R474">
        <f t="shared" si="384"/>
        <v>1.5662900675649827</v>
      </c>
      <c r="S474">
        <f t="shared" si="385"/>
        <v>0.15742237411727339</v>
      </c>
      <c r="T474">
        <f t="shared" si="386"/>
        <v>-1.4127163912204392</v>
      </c>
      <c r="U474">
        <f t="shared" si="387"/>
        <v>0.15542227032480721</v>
      </c>
      <c r="V474">
        <f t="shared" si="388"/>
        <v>-1.414741422987311</v>
      </c>
      <c r="X474">
        <f t="shared" si="405"/>
        <v>-63.905891030825245</v>
      </c>
      <c r="Y474">
        <f t="shared" si="389"/>
        <v>-243.32279215905646</v>
      </c>
      <c r="Z474">
        <f t="shared" si="406"/>
        <v>-63.322792159056462</v>
      </c>
      <c r="AC474">
        <v>1</v>
      </c>
      <c r="AD474">
        <f t="shared" si="390"/>
        <v>255.29524351694999</v>
      </c>
      <c r="AE474">
        <f t="shared" si="391"/>
        <v>-0.2502345021111968</v>
      </c>
      <c r="AF474">
        <f t="shared" si="392"/>
        <v>3.9370439089799994E-2</v>
      </c>
      <c r="AG474">
        <f t="shared" si="367"/>
        <v>152.73894338356794</v>
      </c>
      <c r="AH474">
        <f t="shared" si="368"/>
        <v>-996.19293960931634</v>
      </c>
      <c r="AJ474">
        <f t="shared" si="393"/>
        <v>26400</v>
      </c>
      <c r="AK474">
        <f t="shared" si="394"/>
        <v>165610.69017292801</v>
      </c>
      <c r="AL474">
        <v>1</v>
      </c>
      <c r="AM474">
        <f t="shared" si="395"/>
        <v>221.91205169952005</v>
      </c>
      <c r="AN474">
        <f t="shared" si="369"/>
        <v>746.8106829138984</v>
      </c>
      <c r="AO474">
        <f t="shared" si="370"/>
        <v>-115.60070361487982</v>
      </c>
      <c r="AQ474">
        <f t="shared" si="396"/>
        <v>1.4792897219985618E-3</v>
      </c>
      <c r="AR474">
        <f t="shared" si="397"/>
        <v>-3.8461532771962608</v>
      </c>
      <c r="AT474">
        <f t="shared" si="418"/>
        <v>-3831.2847942490525</v>
      </c>
      <c r="AU474">
        <f t="shared" si="419"/>
        <v>-588.93104562689552</v>
      </c>
      <c r="AV474">
        <f t="shared" si="407"/>
        <v>-2.9890701478003066</v>
      </c>
      <c r="AW474">
        <f t="shared" si="408"/>
        <v>455.35289427342673</v>
      </c>
      <c r="AX474">
        <f t="shared" si="409"/>
        <v>-4460.3281674839845</v>
      </c>
      <c r="AY474">
        <f t="shared" si="417"/>
        <v>-1.4690592440633454</v>
      </c>
      <c r="BA474">
        <f t="shared" si="398"/>
        <v>0.86456449431593185</v>
      </c>
      <c r="BB474">
        <f t="shared" si="410"/>
        <v>-1.264052078321066</v>
      </c>
      <c r="BC474">
        <f t="shared" si="411"/>
        <v>-1.5200109037369611</v>
      </c>
      <c r="BD474">
        <f t="shared" si="399"/>
        <v>-267.09020969750901</v>
      </c>
      <c r="BF474">
        <f t="shared" si="400"/>
        <v>-67.670680598079514</v>
      </c>
      <c r="BG474">
        <f t="shared" si="401"/>
        <v>-257.92898440074038</v>
      </c>
      <c r="BH474">
        <f t="shared" si="412"/>
        <v>-77.928984400740376</v>
      </c>
      <c r="BI474">
        <f t="shared" si="413"/>
        <v>-77.928984400740376</v>
      </c>
      <c r="BJ474">
        <f t="shared" si="402"/>
        <v>0</v>
      </c>
      <c r="BK474">
        <f t="shared" si="414"/>
        <v>0</v>
      </c>
      <c r="BM474">
        <f t="shared" si="415"/>
        <v>-66.406628519758442</v>
      </c>
      <c r="BN474">
        <f t="shared" si="403"/>
        <v>-170.83877470323139</v>
      </c>
      <c r="BQ474" s="56">
        <f t="shared" si="416"/>
        <v>15.63790872196407</v>
      </c>
    </row>
    <row r="475" spans="1:69" x14ac:dyDescent="0.2">
      <c r="A475">
        <f t="shared" si="420"/>
        <v>1305000</v>
      </c>
      <c r="B475">
        <f t="shared" si="404"/>
        <v>1305</v>
      </c>
      <c r="C475">
        <f t="shared" si="373"/>
        <v>1.0128317364301587</v>
      </c>
      <c r="D475">
        <f t="shared" si="374"/>
        <v>0.15934874362568327</v>
      </c>
      <c r="F475">
        <f t="shared" si="375"/>
        <v>3.124261746188022E-5</v>
      </c>
      <c r="G475">
        <f t="shared" si="376"/>
        <v>1.140720173549314E-3</v>
      </c>
      <c r="H475">
        <f t="shared" si="377"/>
        <v>-3.140451929826451</v>
      </c>
      <c r="J475">
        <f t="shared" si="378"/>
        <v>15</v>
      </c>
      <c r="M475">
        <f t="shared" si="379"/>
        <v>9.5842615159172926E-4</v>
      </c>
      <c r="N475">
        <f t="shared" si="380"/>
        <v>-1.5707963250000001</v>
      </c>
      <c r="O475">
        <f t="shared" si="381"/>
        <v>256.27909930509412</v>
      </c>
      <c r="P475">
        <f t="shared" si="382"/>
        <v>1.5668943209726338</v>
      </c>
      <c r="Q475">
        <f t="shared" si="383"/>
        <v>222.76780409149174</v>
      </c>
      <c r="R475">
        <f t="shared" si="384"/>
        <v>1.5663073326936281</v>
      </c>
      <c r="S475">
        <f t="shared" si="385"/>
        <v>0.1568340867442255</v>
      </c>
      <c r="T475">
        <f t="shared" si="386"/>
        <v>-1.4133120781006798</v>
      </c>
      <c r="U475">
        <f t="shared" si="387"/>
        <v>0.15484108676424962</v>
      </c>
      <c r="V475">
        <f t="shared" si="388"/>
        <v>-1.4153297287028583</v>
      </c>
      <c r="X475">
        <f t="shared" si="405"/>
        <v>-64.00346180155934</v>
      </c>
      <c r="Y475">
        <f t="shared" si="389"/>
        <v>-243.35463720315488</v>
      </c>
      <c r="Z475">
        <f t="shared" si="406"/>
        <v>-63.35463720315488</v>
      </c>
      <c r="AC475">
        <v>1</v>
      </c>
      <c r="AD475">
        <f t="shared" si="390"/>
        <v>256.27714829970751</v>
      </c>
      <c r="AE475">
        <f t="shared" si="391"/>
        <v>-0.25216308459048581</v>
      </c>
      <c r="AF475">
        <f t="shared" si="392"/>
        <v>3.9521863855529998E-2</v>
      </c>
      <c r="AG475">
        <f t="shared" si="367"/>
        <v>151.59877999004931</v>
      </c>
      <c r="AH475">
        <f t="shared" si="368"/>
        <v>-992.55480778537276</v>
      </c>
      <c r="AJ475">
        <f t="shared" si="393"/>
        <v>26400</v>
      </c>
      <c r="AK475">
        <f t="shared" si="394"/>
        <v>166247.65436590082</v>
      </c>
      <c r="AL475">
        <v>1</v>
      </c>
      <c r="AM475">
        <f t="shared" si="395"/>
        <v>222.76555959067201</v>
      </c>
      <c r="AN475">
        <f t="shared" si="369"/>
        <v>746.8066988385275</v>
      </c>
      <c r="AO475">
        <f t="shared" si="370"/>
        <v>-115.1578069262537</v>
      </c>
      <c r="AQ475">
        <f t="shared" si="396"/>
        <v>1.4679758858537183E-3</v>
      </c>
      <c r="AR475">
        <f t="shared" si="397"/>
        <v>-3.8314170620782049</v>
      </c>
      <c r="AT475">
        <f t="shared" si="418"/>
        <v>-3802.6688822432798</v>
      </c>
      <c r="AU475">
        <f t="shared" si="419"/>
        <v>-582.29519876733195</v>
      </c>
      <c r="AV475">
        <f t="shared" si="407"/>
        <v>-2.9896449195763135</v>
      </c>
      <c r="AW475">
        <f t="shared" si="408"/>
        <v>457.60578021113724</v>
      </c>
      <c r="AX475">
        <f t="shared" si="409"/>
        <v>-4443.3998181337793</v>
      </c>
      <c r="AY475">
        <f t="shared" si="417"/>
        <v>-1.4681726095225833</v>
      </c>
      <c r="BA475">
        <f t="shared" si="398"/>
        <v>0.86122199048056991</v>
      </c>
      <c r="BB475">
        <f t="shared" si="410"/>
        <v>-1.2976977882474734</v>
      </c>
      <c r="BC475">
        <f t="shared" si="411"/>
        <v>-1.5214723100537302</v>
      </c>
      <c r="BD475">
        <f t="shared" si="399"/>
        <v>-267.17394211170927</v>
      </c>
      <c r="BF475">
        <f t="shared" si="400"/>
        <v>-67.770178356625422</v>
      </c>
      <c r="BG475">
        <f t="shared" si="401"/>
        <v>-257.97857316918845</v>
      </c>
      <c r="BH475">
        <f t="shared" si="412"/>
        <v>-77.978573169188451</v>
      </c>
      <c r="BI475">
        <f t="shared" si="413"/>
        <v>-77.978573169188451</v>
      </c>
      <c r="BJ475">
        <f t="shared" si="402"/>
        <v>0</v>
      </c>
      <c r="BK475">
        <f t="shared" si="414"/>
        <v>0</v>
      </c>
      <c r="BM475">
        <f t="shared" si="415"/>
        <v>-66.472480568377946</v>
      </c>
      <c r="BN475">
        <f t="shared" si="403"/>
        <v>-170.80463105747913</v>
      </c>
      <c r="BQ475" s="56">
        <f t="shared" si="416"/>
        <v>15.604263012037663</v>
      </c>
    </row>
    <row r="476" spans="1:69" x14ac:dyDescent="0.2">
      <c r="A476">
        <f t="shared" si="420"/>
        <v>1310000</v>
      </c>
      <c r="B476">
        <f t="shared" si="404"/>
        <v>1310</v>
      </c>
      <c r="C476">
        <f t="shared" si="373"/>
        <v>1.0129296234919949</v>
      </c>
      <c r="D476">
        <f t="shared" si="374"/>
        <v>0.15994893451124476</v>
      </c>
      <c r="F476">
        <f t="shared" si="375"/>
        <v>3.1004572107879283E-5</v>
      </c>
      <c r="G476">
        <f t="shared" si="376"/>
        <v>1.1363660128611156E-3</v>
      </c>
      <c r="H476">
        <f t="shared" si="377"/>
        <v>-3.1404562839871391</v>
      </c>
      <c r="J476">
        <f t="shared" si="378"/>
        <v>15</v>
      </c>
      <c r="M476">
        <f t="shared" si="379"/>
        <v>9.5476803650931807E-4</v>
      </c>
      <c r="N476">
        <f t="shared" si="380"/>
        <v>-1.5707963250000001</v>
      </c>
      <c r="O476">
        <f t="shared" si="381"/>
        <v>257.26099664132249</v>
      </c>
      <c r="P476">
        <f t="shared" si="382"/>
        <v>1.5669092139743201</v>
      </c>
      <c r="Q476">
        <f t="shared" si="383"/>
        <v>223.62130341593254</v>
      </c>
      <c r="R476">
        <f t="shared" si="384"/>
        <v>1.5663244660300442</v>
      </c>
      <c r="S476">
        <f t="shared" si="385"/>
        <v>0.1562501250343275</v>
      </c>
      <c r="T476">
        <f t="shared" si="386"/>
        <v>-1.4139033291852803</v>
      </c>
      <c r="U476">
        <f t="shared" si="387"/>
        <v>0.15426418075181811</v>
      </c>
      <c r="V476">
        <f t="shared" si="388"/>
        <v>-1.4159136508072847</v>
      </c>
      <c r="X476">
        <f t="shared" si="405"/>
        <v>-64.100665243092266</v>
      </c>
      <c r="Y476">
        <f t="shared" si="389"/>
        <v>-243.38599576349822</v>
      </c>
      <c r="Z476">
        <f t="shared" si="406"/>
        <v>-63.385995763498215</v>
      </c>
      <c r="AC476">
        <v>1</v>
      </c>
      <c r="AD476">
        <f t="shared" si="390"/>
        <v>257.25905308246502</v>
      </c>
      <c r="AE476">
        <f t="shared" si="391"/>
        <v>-0.25409907045741115</v>
      </c>
      <c r="AF476">
        <f t="shared" si="392"/>
        <v>3.9673288621259996E-2</v>
      </c>
      <c r="AG476">
        <f t="shared" si="367"/>
        <v>150.47123272511044</v>
      </c>
      <c r="AH476">
        <f t="shared" si="368"/>
        <v>-988.94247816417294</v>
      </c>
      <c r="AJ476">
        <f t="shared" si="393"/>
        <v>26400</v>
      </c>
      <c r="AK476">
        <f t="shared" si="394"/>
        <v>166884.6185588736</v>
      </c>
      <c r="AL476">
        <v>1</v>
      </c>
      <c r="AM476">
        <f t="shared" si="395"/>
        <v>223.619067481824</v>
      </c>
      <c r="AN476">
        <f t="shared" si="369"/>
        <v>746.80276029400864</v>
      </c>
      <c r="AO476">
        <f t="shared" si="370"/>
        <v>-114.71829092477148</v>
      </c>
      <c r="AQ476">
        <f t="shared" si="396"/>
        <v>1.4567913500391366E-3</v>
      </c>
      <c r="AR476">
        <f t="shared" si="397"/>
        <v>-3.816793337102538</v>
      </c>
      <c r="AT476">
        <f t="shared" si="418"/>
        <v>-3774.3698562444238</v>
      </c>
      <c r="AU476">
        <f t="shared" si="419"/>
        <v>-575.75828133868265</v>
      </c>
      <c r="AV476">
        <f t="shared" si="407"/>
        <v>-2.9902154110519792</v>
      </c>
      <c r="AW476">
        <f t="shared" si="408"/>
        <v>459.83250851632528</v>
      </c>
      <c r="AX476">
        <f t="shared" si="409"/>
        <v>-4426.5989237706672</v>
      </c>
      <c r="AY476">
        <f t="shared" si="417"/>
        <v>-1.4672881625668157</v>
      </c>
      <c r="BA476">
        <f t="shared" si="398"/>
        <v>0.85790396953804293</v>
      </c>
      <c r="BB476">
        <f t="shared" si="410"/>
        <v>-1.3312264536042571</v>
      </c>
      <c r="BC476">
        <f t="shared" si="411"/>
        <v>-1.5229272484851635</v>
      </c>
      <c r="BD476">
        <f t="shared" si="399"/>
        <v>-267.25730394337705</v>
      </c>
      <c r="BF476">
        <f t="shared" si="400"/>
        <v>-67.869300983058437</v>
      </c>
      <c r="BG476">
        <f t="shared" si="401"/>
        <v>-258.02779607120306</v>
      </c>
      <c r="BH476">
        <f t="shared" si="412"/>
        <v>-78.027796071203056</v>
      </c>
      <c r="BI476">
        <f t="shared" si="413"/>
        <v>-78.027796071203056</v>
      </c>
      <c r="BJ476">
        <f t="shared" si="402"/>
        <v>0</v>
      </c>
      <c r="BK476">
        <f t="shared" si="414"/>
        <v>0</v>
      </c>
      <c r="BM476">
        <f t="shared" si="415"/>
        <v>-66.538074529454178</v>
      </c>
      <c r="BN476">
        <f t="shared" si="403"/>
        <v>-170.77049212782595</v>
      </c>
      <c r="BQ476" s="56">
        <f t="shared" si="416"/>
        <v>15.570734346680879</v>
      </c>
    </row>
    <row r="477" spans="1:69" x14ac:dyDescent="0.2">
      <c r="A477">
        <f t="shared" si="420"/>
        <v>1315000</v>
      </c>
      <c r="B477">
        <f t="shared" si="404"/>
        <v>1315</v>
      </c>
      <c r="C477">
        <f t="shared" si="373"/>
        <v>1.0130278753699637</v>
      </c>
      <c r="D477">
        <f t="shared" si="374"/>
        <v>0.16054900918991705</v>
      </c>
      <c r="F477">
        <f t="shared" si="375"/>
        <v>3.0769237043718987E-5</v>
      </c>
      <c r="G477">
        <f t="shared" si="376"/>
        <v>1.1320449666882568E-3</v>
      </c>
      <c r="H477">
        <f t="shared" si="377"/>
        <v>-3.1404606050333119</v>
      </c>
      <c r="J477">
        <f t="shared" si="378"/>
        <v>15</v>
      </c>
      <c r="M477">
        <f t="shared" si="379"/>
        <v>9.5113773979255264E-4</v>
      </c>
      <c r="N477">
        <f t="shared" si="380"/>
        <v>-1.5707963250000001</v>
      </c>
      <c r="O477">
        <f t="shared" si="381"/>
        <v>258.24289403417788</v>
      </c>
      <c r="P477">
        <f t="shared" si="382"/>
        <v>1.5669239937229453</v>
      </c>
      <c r="Q477">
        <f t="shared" si="383"/>
        <v>224.47480280551846</v>
      </c>
      <c r="R477">
        <f t="shared" si="384"/>
        <v>1.5663414690775239</v>
      </c>
      <c r="S477">
        <f t="shared" si="385"/>
        <v>0.15567044206592431</v>
      </c>
      <c r="T477">
        <f t="shared" si="386"/>
        <v>-1.414490193428527</v>
      </c>
      <c r="U477">
        <f t="shared" si="387"/>
        <v>0.15369150582691851</v>
      </c>
      <c r="V477">
        <f t="shared" si="388"/>
        <v>-1.4164932377200019</v>
      </c>
      <c r="X477">
        <f t="shared" si="405"/>
        <v>-64.197504000305003</v>
      </c>
      <c r="Y477">
        <f t="shared" si="389"/>
        <v>-243.41687330292862</v>
      </c>
      <c r="Z477">
        <f t="shared" si="406"/>
        <v>-63.416873302928622</v>
      </c>
      <c r="AC477">
        <v>1</v>
      </c>
      <c r="AD477">
        <f t="shared" si="390"/>
        <v>258.24095786522253</v>
      </c>
      <c r="AE477">
        <f t="shared" si="391"/>
        <v>-0.25604245971197298</v>
      </c>
      <c r="AF477">
        <f t="shared" si="392"/>
        <v>3.9824713386989993E-2</v>
      </c>
      <c r="AG477">
        <f t="shared" si="367"/>
        <v>149.35611766744037</v>
      </c>
      <c r="AH477">
        <f t="shared" si="368"/>
        <v>-985.35568503103832</v>
      </c>
      <c r="AJ477">
        <f t="shared" si="393"/>
        <v>26400</v>
      </c>
      <c r="AK477">
        <f t="shared" si="394"/>
        <v>167521.58275184641</v>
      </c>
      <c r="AL477">
        <v>1</v>
      </c>
      <c r="AM477">
        <f t="shared" si="395"/>
        <v>224.47257537297602</v>
      </c>
      <c r="AN477">
        <f t="shared" si="369"/>
        <v>746.79886658919861</v>
      </c>
      <c r="AO477">
        <f t="shared" si="370"/>
        <v>-114.28211705054085</v>
      </c>
      <c r="AQ477">
        <f t="shared" si="396"/>
        <v>1.4457341517537985E-3</v>
      </c>
      <c r="AR477">
        <f t="shared" si="397"/>
        <v>-3.8022808191124899</v>
      </c>
      <c r="AT477">
        <f t="shared" si="418"/>
        <v>-3746.38309195688</v>
      </c>
      <c r="AU477">
        <f t="shared" si="419"/>
        <v>-569.31846378949069</v>
      </c>
      <c r="AV477">
        <f t="shared" si="407"/>
        <v>-2.9907816694682912</v>
      </c>
      <c r="AW477">
        <f t="shared" si="408"/>
        <v>462.03348379063959</v>
      </c>
      <c r="AX477">
        <f t="shared" si="409"/>
        <v>-4409.9240561143706</v>
      </c>
      <c r="AY477">
        <f t="shared" si="417"/>
        <v>-1.4664058789203693</v>
      </c>
      <c r="BA477">
        <f t="shared" si="398"/>
        <v>0.85461016325491879</v>
      </c>
      <c r="BB477">
        <f t="shared" si="410"/>
        <v>-1.3646389348163246</v>
      </c>
      <c r="BC477">
        <f t="shared" si="411"/>
        <v>-1.5243757905479218</v>
      </c>
      <c r="BD477">
        <f t="shared" si="399"/>
        <v>-267.34029929011513</v>
      </c>
      <c r="BF477">
        <f t="shared" si="400"/>
        <v>-67.968051282939456</v>
      </c>
      <c r="BG477">
        <f t="shared" si="401"/>
        <v>-258.07665724913028</v>
      </c>
      <c r="BH477">
        <f t="shared" si="412"/>
        <v>-78.076657249130278</v>
      </c>
      <c r="BI477">
        <f t="shared" si="413"/>
        <v>-78.076657249130278</v>
      </c>
      <c r="BJ477">
        <f t="shared" si="402"/>
        <v>0</v>
      </c>
      <c r="BK477">
        <f t="shared" si="414"/>
        <v>0</v>
      </c>
      <c r="BM477">
        <f t="shared" si="415"/>
        <v>-66.603412348123129</v>
      </c>
      <c r="BN477">
        <f t="shared" si="403"/>
        <v>-170.73635795901518</v>
      </c>
      <c r="BQ477" s="56">
        <f t="shared" si="416"/>
        <v>15.537321865468812</v>
      </c>
    </row>
    <row r="478" spans="1:69" x14ac:dyDescent="0.2">
      <c r="A478">
        <f t="shared" si="420"/>
        <v>1320000</v>
      </c>
      <c r="B478">
        <f t="shared" si="404"/>
        <v>1320</v>
      </c>
      <c r="C478">
        <f t="shared" si="373"/>
        <v>1.0131264919579266</v>
      </c>
      <c r="D478">
        <f t="shared" si="374"/>
        <v>0.1611489672634106</v>
      </c>
      <c r="F478">
        <f t="shared" si="375"/>
        <v>3.0536571280223777E-5</v>
      </c>
      <c r="G478">
        <f t="shared" si="376"/>
        <v>1.127756658683819E-3</v>
      </c>
      <c r="H478">
        <f t="shared" si="377"/>
        <v>-3.1404648933413162</v>
      </c>
      <c r="J478">
        <f t="shared" si="378"/>
        <v>15</v>
      </c>
      <c r="M478">
        <f t="shared" si="379"/>
        <v>9.4753494532364151E-4</v>
      </c>
      <c r="N478">
        <f t="shared" si="380"/>
        <v>-1.5707963250000001</v>
      </c>
      <c r="O478">
        <f t="shared" si="381"/>
        <v>259.22479148301676</v>
      </c>
      <c r="P478">
        <f t="shared" si="382"/>
        <v>1.5669386615054508</v>
      </c>
      <c r="Q478">
        <f t="shared" si="383"/>
        <v>225.32830225950923</v>
      </c>
      <c r="R478">
        <f t="shared" si="384"/>
        <v>1.5663583433165846</v>
      </c>
      <c r="S478">
        <f t="shared" si="385"/>
        <v>0.1550949915843699</v>
      </c>
      <c r="T478">
        <f t="shared" si="386"/>
        <v>-1.4150727190730381</v>
      </c>
      <c r="U478">
        <f t="shared" si="387"/>
        <v>0.15312301619053251</v>
      </c>
      <c r="V478">
        <f t="shared" si="388"/>
        <v>-1.4170685371557754</v>
      </c>
      <c r="X478">
        <f t="shared" si="405"/>
        <v>-64.29398068991047</v>
      </c>
      <c r="Y478">
        <f t="shared" si="389"/>
        <v>-243.44727520521892</v>
      </c>
      <c r="Z478">
        <f t="shared" si="406"/>
        <v>-63.447275205218915</v>
      </c>
      <c r="AC478">
        <v>1</v>
      </c>
      <c r="AD478">
        <f t="shared" si="390"/>
        <v>259.22286264798004</v>
      </c>
      <c r="AE478">
        <f t="shared" si="391"/>
        <v>-0.2579932523541712</v>
      </c>
      <c r="AF478">
        <f t="shared" si="392"/>
        <v>3.9976138152719998E-2</v>
      </c>
      <c r="AG478">
        <f t="shared" si="367"/>
        <v>148.25325420684879</v>
      </c>
      <c r="AH478">
        <f t="shared" si="368"/>
        <v>-981.79416618421283</v>
      </c>
      <c r="AJ478">
        <f t="shared" si="393"/>
        <v>26400</v>
      </c>
      <c r="AK478">
        <f t="shared" si="394"/>
        <v>168158.54694481922</v>
      </c>
      <c r="AL478">
        <v>1</v>
      </c>
      <c r="AM478">
        <f t="shared" si="395"/>
        <v>225.32608326412804</v>
      </c>
      <c r="AN478">
        <f t="shared" si="369"/>
        <v>746.79501704601853</v>
      </c>
      <c r="AO478">
        <f t="shared" si="370"/>
        <v>-113.84924732785242</v>
      </c>
      <c r="AQ478">
        <f t="shared" si="396"/>
        <v>1.4348023653003952E-3</v>
      </c>
      <c r="AR478">
        <f t="shared" si="397"/>
        <v>-3.7878782443930437</v>
      </c>
      <c r="AT478">
        <f t="shared" si="418"/>
        <v>-3718.7040484413887</v>
      </c>
      <c r="AU478">
        <f t="shared" si="419"/>
        <v>-562.9739568624733</v>
      </c>
      <c r="AV478">
        <f t="shared" si="407"/>
        <v>-2.9913437413794464</v>
      </c>
      <c r="AW478">
        <f t="shared" si="408"/>
        <v>464.20910282326332</v>
      </c>
      <c r="AX478">
        <f t="shared" si="409"/>
        <v>-4393.3738080690246</v>
      </c>
      <c r="AY478">
        <f t="shared" si="417"/>
        <v>-1.4655257347049326</v>
      </c>
      <c r="BA478">
        <f t="shared" si="398"/>
        <v>0.8513403072611806</v>
      </c>
      <c r="BB478">
        <f t="shared" si="410"/>
        <v>-1.3979360833165182</v>
      </c>
      <c r="BC478">
        <f t="shared" si="411"/>
        <v>-1.5258180066745137</v>
      </c>
      <c r="BD478">
        <f t="shared" si="399"/>
        <v>-267.42293218740895</v>
      </c>
      <c r="BF478">
        <f t="shared" si="400"/>
        <v>-68.066432030714964</v>
      </c>
      <c r="BG478">
        <f t="shared" si="401"/>
        <v>-258.12516078283903</v>
      </c>
      <c r="BH478">
        <f t="shared" si="412"/>
        <v>-78.125160782839032</v>
      </c>
      <c r="BI478">
        <f t="shared" si="413"/>
        <v>-78.125160782839032</v>
      </c>
      <c r="BJ478">
        <f t="shared" si="402"/>
        <v>0</v>
      </c>
      <c r="BK478">
        <f t="shared" si="414"/>
        <v>0</v>
      </c>
      <c r="BM478">
        <f t="shared" si="415"/>
        <v>-66.668495947398441</v>
      </c>
      <c r="BN478">
        <f t="shared" si="403"/>
        <v>-170.70222859543009</v>
      </c>
      <c r="BQ478" s="56">
        <f t="shared" si="416"/>
        <v>15.504024716968619</v>
      </c>
    </row>
    <row r="479" spans="1:69" x14ac:dyDescent="0.2">
      <c r="A479">
        <f t="shared" si="420"/>
        <v>1325000</v>
      </c>
      <c r="B479">
        <f t="shared" si="404"/>
        <v>1325</v>
      </c>
      <c r="C479">
        <f t="shared" si="373"/>
        <v>1.0132254731493922</v>
      </c>
      <c r="D479">
        <f t="shared" si="374"/>
        <v>0.16174880833392663</v>
      </c>
      <c r="F479">
        <f t="shared" si="375"/>
        <v>3.0306534600182859E-5</v>
      </c>
      <c r="G479">
        <f t="shared" si="376"/>
        <v>1.1235007181824464E-3</v>
      </c>
      <c r="H479">
        <f t="shared" si="377"/>
        <v>-3.140469149281818</v>
      </c>
      <c r="J479">
        <f t="shared" si="378"/>
        <v>15</v>
      </c>
      <c r="M479">
        <f t="shared" si="379"/>
        <v>9.4395934175638238E-4</v>
      </c>
      <c r="N479">
        <f t="shared" si="380"/>
        <v>-1.5707963250000001</v>
      </c>
      <c r="O479">
        <f t="shared" si="381"/>
        <v>260.20668898720533</v>
      </c>
      <c r="P479">
        <f t="shared" si="382"/>
        <v>1.566953218589352</v>
      </c>
      <c r="Q479">
        <f t="shared" si="383"/>
        <v>226.18180177717574</v>
      </c>
      <c r="R479">
        <f t="shared" si="384"/>
        <v>1.5663750902053968</v>
      </c>
      <c r="S479">
        <f t="shared" si="385"/>
        <v>0.15452372799038924</v>
      </c>
      <c r="T479">
        <f t="shared" si="386"/>
        <v>-1.4156509536625372</v>
      </c>
      <c r="U479">
        <f t="shared" si="387"/>
        <v>0.15255866669364956</v>
      </c>
      <c r="V479">
        <f t="shared" si="388"/>
        <v>-1.4176395961373887</v>
      </c>
      <c r="X479">
        <f t="shared" si="405"/>
        <v>-64.390097900845049</v>
      </c>
      <c r="Y479">
        <f t="shared" si="389"/>
        <v>-243.47720677649036</v>
      </c>
      <c r="Z479">
        <f t="shared" si="406"/>
        <v>-63.477206776490362</v>
      </c>
      <c r="AC479">
        <v>1</v>
      </c>
      <c r="AD479">
        <f t="shared" si="390"/>
        <v>260.20476743073749</v>
      </c>
      <c r="AE479">
        <f t="shared" si="391"/>
        <v>-0.25995144838400591</v>
      </c>
      <c r="AF479">
        <f t="shared" si="392"/>
        <v>4.0127562918449995E-2</v>
      </c>
      <c r="AG479">
        <f t="shared" si="367"/>
        <v>147.16246497361726</v>
      </c>
      <c r="AH479">
        <f t="shared" si="368"/>
        <v>-978.2576628794842</v>
      </c>
      <c r="AJ479">
        <f t="shared" si="393"/>
        <v>26400</v>
      </c>
      <c r="AK479">
        <f t="shared" si="394"/>
        <v>168795.511137792</v>
      </c>
      <c r="AL479">
        <v>1</v>
      </c>
      <c r="AM479">
        <f t="shared" si="395"/>
        <v>226.17959115528001</v>
      </c>
      <c r="AN479">
        <f t="shared" si="369"/>
        <v>746.79121099915869</v>
      </c>
      <c r="AO479">
        <f t="shared" si="370"/>
        <v>-113.41964435415854</v>
      </c>
      <c r="AQ479">
        <f t="shared" si="396"/>
        <v>1.423994101246835E-3</v>
      </c>
      <c r="AR479">
        <f t="shared" si="397"/>
        <v>-3.7735843683041126</v>
      </c>
      <c r="AT479">
        <f t="shared" si="418"/>
        <v>-3691.3282663336886</v>
      </c>
      <c r="AU479">
        <f t="shared" si="419"/>
        <v>-556.72301056698348</v>
      </c>
      <c r="AV479">
        <f t="shared" si="407"/>
        <v>-2.9919016726651759</v>
      </c>
      <c r="AW479">
        <f t="shared" si="408"/>
        <v>466.3597547716044</v>
      </c>
      <c r="AX479">
        <f t="shared" si="409"/>
        <v>-4376.9467933330961</v>
      </c>
      <c r="AY479">
        <f t="shared" si="417"/>
        <v>-1.464647706431554</v>
      </c>
      <c r="BA479">
        <f t="shared" si="398"/>
        <v>0.84809414098186198</v>
      </c>
      <c r="BB479">
        <f t="shared" si="410"/>
        <v>-1.4311187416655782</v>
      </c>
      <c r="BC479">
        <f t="shared" si="411"/>
        <v>-1.527253966233622</v>
      </c>
      <c r="BD479">
        <f t="shared" si="399"/>
        <v>-267.50520660979134</v>
      </c>
      <c r="BF479">
        <f t="shared" si="400"/>
        <v>-68.164445970171656</v>
      </c>
      <c r="BG479">
        <f t="shared" si="401"/>
        <v>-258.17331069089187</v>
      </c>
      <c r="BH479">
        <f t="shared" si="412"/>
        <v>-78.173310690891867</v>
      </c>
      <c r="BI479">
        <f t="shared" si="413"/>
        <v>-78.173310690891867</v>
      </c>
      <c r="BJ479">
        <f t="shared" si="402"/>
        <v>0</v>
      </c>
      <c r="BK479">
        <f t="shared" si="414"/>
        <v>0</v>
      </c>
      <c r="BM479">
        <f t="shared" si="415"/>
        <v>-66.73332722850607</v>
      </c>
      <c r="BN479">
        <f t="shared" si="403"/>
        <v>-170.66810408110052</v>
      </c>
      <c r="BQ479" s="56">
        <f t="shared" si="416"/>
        <v>15.470842058619558</v>
      </c>
    </row>
    <row r="480" spans="1:69" x14ac:dyDescent="0.2">
      <c r="A480">
        <f t="shared" si="420"/>
        <v>1330000</v>
      </c>
      <c r="B480">
        <f t="shared" si="404"/>
        <v>1330</v>
      </c>
      <c r="C480">
        <f t="shared" si="373"/>
        <v>1.0133248188375179</v>
      </c>
      <c r="D480">
        <f t="shared" si="374"/>
        <v>0.16234853200415816</v>
      </c>
      <c r="F480">
        <f t="shared" si="375"/>
        <v>3.0079087540969121E-5</v>
      </c>
      <c r="G480">
        <f t="shared" si="376"/>
        <v>1.1192767800935319E-3</v>
      </c>
      <c r="H480">
        <f t="shared" si="377"/>
        <v>-3.1404733732199066</v>
      </c>
      <c r="J480">
        <f t="shared" si="378"/>
        <v>15</v>
      </c>
      <c r="M480">
        <f t="shared" si="379"/>
        <v>9.4041062242647118E-4</v>
      </c>
      <c r="N480">
        <f t="shared" si="380"/>
        <v>-1.5707963250000001</v>
      </c>
      <c r="O480">
        <f t="shared" si="381"/>
        <v>261.18858654611938</v>
      </c>
      <c r="P480">
        <f t="shared" si="382"/>
        <v>1.5669676662231049</v>
      </c>
      <c r="Q480">
        <f t="shared" si="383"/>
        <v>227.03530135779991</v>
      </c>
      <c r="R480">
        <f t="shared" si="384"/>
        <v>1.5663917111802035</v>
      </c>
      <c r="S480">
        <f t="shared" si="385"/>
        <v>0.15395660632867905</v>
      </c>
      <c r="T480">
        <f t="shared" si="386"/>
        <v>-1.4162249440543555</v>
      </c>
      <c r="U480">
        <f t="shared" si="387"/>
        <v>0.1519984128259371</v>
      </c>
      <c r="V480">
        <f t="shared" si="388"/>
        <v>-1.4182064610080372</v>
      </c>
      <c r="X480">
        <f t="shared" si="405"/>
        <v>-64.485858194653829</v>
      </c>
      <c r="Y480">
        <f t="shared" si="389"/>
        <v>-243.50667324659986</v>
      </c>
      <c r="Z480">
        <f t="shared" si="406"/>
        <v>-63.50667324659986</v>
      </c>
      <c r="AC480">
        <v>1</v>
      </c>
      <c r="AD480">
        <f t="shared" si="390"/>
        <v>261.186672213495</v>
      </c>
      <c r="AE480">
        <f t="shared" si="391"/>
        <v>-0.26191704780147695</v>
      </c>
      <c r="AF480">
        <f t="shared" si="392"/>
        <v>4.0278987684179993E-2</v>
      </c>
      <c r="AG480">
        <f t="shared" si="367"/>
        <v>146.0835757695879</v>
      </c>
      <c r="AH480">
        <f t="shared" si="368"/>
        <v>-974.74591977579212</v>
      </c>
      <c r="AJ480">
        <f t="shared" si="393"/>
        <v>26400</v>
      </c>
      <c r="AK480">
        <f t="shared" si="394"/>
        <v>169432.47533076481</v>
      </c>
      <c r="AL480">
        <v>1</v>
      </c>
      <c r="AM480">
        <f t="shared" si="395"/>
        <v>227.03309904643203</v>
      </c>
      <c r="AN480">
        <f t="shared" si="369"/>
        <v>746.78744779579142</v>
      </c>
      <c r="AO480">
        <f t="shared" si="370"/>
        <v>-112.99327128930086</v>
      </c>
      <c r="AQ480">
        <f t="shared" si="396"/>
        <v>1.4133075056097708E-3</v>
      </c>
      <c r="AR480">
        <f t="shared" si="397"/>
        <v>-3.7593979649219902</v>
      </c>
      <c r="AT480">
        <f t="shared" si="418"/>
        <v>-3664.2513661070448</v>
      </c>
      <c r="AU480">
        <f t="shared" si="419"/>
        <v>-550.56391318119768</v>
      </c>
      <c r="AV480">
        <f t="shared" si="407"/>
        <v>-2.9924555085428119</v>
      </c>
      <c r="AW480">
        <f t="shared" si="408"/>
        <v>468.48582133712358</v>
      </c>
      <c r="AX480">
        <f t="shared" si="409"/>
        <v>-4360.6416460178807</v>
      </c>
      <c r="AY480">
        <f t="shared" si="417"/>
        <v>-1.4637717709928324</v>
      </c>
      <c r="BA480">
        <f t="shared" si="398"/>
        <v>0.84487140757010537</v>
      </c>
      <c r="BB480">
        <f t="shared" si="410"/>
        <v>-1.4641877436702182</v>
      </c>
      <c r="BC480">
        <f t="shared" si="411"/>
        <v>-1.5286837375499795</v>
      </c>
      <c r="BD480">
        <f t="shared" si="399"/>
        <v>-267.58712647198109</v>
      </c>
      <c r="BF480">
        <f t="shared" si="400"/>
        <v>-68.262095814882912</v>
      </c>
      <c r="BG480">
        <f t="shared" si="401"/>
        <v>-258.22111093168968</v>
      </c>
      <c r="BH480">
        <f t="shared" si="412"/>
        <v>-78.22111093168968</v>
      </c>
      <c r="BI480">
        <f t="shared" si="413"/>
        <v>-78.22111093168968</v>
      </c>
      <c r="BJ480">
        <f t="shared" si="402"/>
        <v>0</v>
      </c>
      <c r="BK480">
        <f t="shared" si="414"/>
        <v>0</v>
      </c>
      <c r="BM480">
        <f t="shared" si="415"/>
        <v>-66.797908071212689</v>
      </c>
      <c r="BN480">
        <f t="shared" si="403"/>
        <v>-170.63398445970856</v>
      </c>
      <c r="BQ480" s="56">
        <f t="shared" si="416"/>
        <v>15.437773056614919</v>
      </c>
    </row>
    <row r="481" spans="1:69" x14ac:dyDescent="0.2">
      <c r="A481">
        <f t="shared" si="420"/>
        <v>1335000</v>
      </c>
      <c r="B481">
        <f t="shared" si="404"/>
        <v>1335</v>
      </c>
      <c r="C481">
        <f t="shared" si="373"/>
        <v>1.0134245289151094</v>
      </c>
      <c r="D481">
        <f t="shared" si="374"/>
        <v>0.16294813787729154</v>
      </c>
      <c r="F481">
        <f t="shared" si="375"/>
        <v>2.9854191377612805E-5</v>
      </c>
      <c r="G481">
        <f t="shared" si="376"/>
        <v>1.115084484796802E-3</v>
      </c>
      <c r="H481">
        <f t="shared" si="377"/>
        <v>-3.1404775655152033</v>
      </c>
      <c r="J481">
        <f t="shared" si="378"/>
        <v>15</v>
      </c>
      <c r="M481">
        <f t="shared" si="379"/>
        <v>9.368884852638252E-4</v>
      </c>
      <c r="N481">
        <f t="shared" si="380"/>
        <v>-1.5707963250000001</v>
      </c>
      <c r="O481">
        <f t="shared" si="381"/>
        <v>262.170484159144</v>
      </c>
      <c r="P481">
        <f t="shared" si="382"/>
        <v>1.5669820056364627</v>
      </c>
      <c r="Q481">
        <f t="shared" si="383"/>
        <v>227.88880100067428</v>
      </c>
      <c r="R481">
        <f t="shared" si="384"/>
        <v>1.5664082076557329</v>
      </c>
      <c r="S481">
        <f t="shared" si="385"/>
        <v>0.15339358227674224</v>
      </c>
      <c r="T481">
        <f t="shared" si="386"/>
        <v>-1.4167947364316691</v>
      </c>
      <c r="U481">
        <f t="shared" si="387"/>
        <v>0.151442210704643</v>
      </c>
      <c r="V481">
        <f t="shared" si="388"/>
        <v>-1.4187691774434603</v>
      </c>
      <c r="X481">
        <f t="shared" si="405"/>
        <v>-64.58126410586911</v>
      </c>
      <c r="Y481">
        <f t="shared" si="389"/>
        <v>-243.53567977049863</v>
      </c>
      <c r="Z481">
        <f t="shared" si="406"/>
        <v>-63.535679770498632</v>
      </c>
      <c r="AC481">
        <v>1</v>
      </c>
      <c r="AD481">
        <f t="shared" si="390"/>
        <v>262.16857699625245</v>
      </c>
      <c r="AE481">
        <f t="shared" si="391"/>
        <v>-0.26389005060658449</v>
      </c>
      <c r="AF481">
        <f t="shared" si="392"/>
        <v>4.0430412449909997E-2</v>
      </c>
      <c r="AG481">
        <f t="shared" si="367"/>
        <v>145.01641550093868</v>
      </c>
      <c r="AH481">
        <f t="shared" si="368"/>
        <v>-971.2586848817964</v>
      </c>
      <c r="AJ481">
        <f t="shared" si="393"/>
        <v>26400</v>
      </c>
      <c r="AK481">
        <f t="shared" si="394"/>
        <v>170069.43952373762</v>
      </c>
      <c r="AL481">
        <v>1</v>
      </c>
      <c r="AM481">
        <f t="shared" si="395"/>
        <v>227.88660693758402</v>
      </c>
      <c r="AN481">
        <f t="shared" si="369"/>
        <v>746.78372679529093</v>
      </c>
      <c r="AO481">
        <f t="shared" si="370"/>
        <v>-112.5700918449801</v>
      </c>
      <c r="AQ481">
        <f t="shared" si="396"/>
        <v>1.402740759059496E-3</v>
      </c>
      <c r="AR481">
        <f t="shared" si="397"/>
        <v>-3.7453178266888543</v>
      </c>
      <c r="AT481">
        <f t="shared" si="418"/>
        <v>-3637.4690463774086</v>
      </c>
      <c r="AU481">
        <f t="shared" si="419"/>
        <v>-544.49499028305775</v>
      </c>
      <c r="AV481">
        <f t="shared" si="407"/>
        <v>-2.9930052935790972</v>
      </c>
      <c r="AW481">
        <f t="shared" si="408"/>
        <v>470.58767693644398</v>
      </c>
      <c r="AX481">
        <f t="shared" si="409"/>
        <v>-4344.4570202743325</v>
      </c>
      <c r="AY481">
        <f t="shared" si="417"/>
        <v>-1.4628979056552953</v>
      </c>
      <c r="BA481">
        <f t="shared" si="398"/>
        <v>0.84167185384161136</v>
      </c>
      <c r="BB481">
        <f t="shared" si="410"/>
        <v>-1.4971439144993286</v>
      </c>
      <c r="BC481">
        <f t="shared" si="411"/>
        <v>-1.5301073879238019</v>
      </c>
      <c r="BD481">
        <f t="shared" si="399"/>
        <v>-267.66869562999659</v>
      </c>
      <c r="BF481">
        <f t="shared" si="400"/>
        <v>-68.359384248647203</v>
      </c>
      <c r="BG481">
        <f t="shared" si="401"/>
        <v>-258.26856540459136</v>
      </c>
      <c r="BH481">
        <f t="shared" si="412"/>
        <v>-78.268565404591357</v>
      </c>
      <c r="BI481">
        <f t="shared" si="413"/>
        <v>-78.268565404591357</v>
      </c>
      <c r="BJ481">
        <f t="shared" si="402"/>
        <v>0</v>
      </c>
      <c r="BK481">
        <f t="shared" si="414"/>
        <v>0</v>
      </c>
      <c r="BM481">
        <f t="shared" si="415"/>
        <v>-66.862240334147884</v>
      </c>
      <c r="BN481">
        <f t="shared" si="403"/>
        <v>-170.59986977459477</v>
      </c>
      <c r="BQ481" s="56">
        <f t="shared" si="416"/>
        <v>15.404816885785808</v>
      </c>
    </row>
    <row r="482" spans="1:69" x14ac:dyDescent="0.2">
      <c r="A482">
        <f t="shared" si="420"/>
        <v>1340000</v>
      </c>
      <c r="B482">
        <f t="shared" si="404"/>
        <v>1340</v>
      </c>
      <c r="C482">
        <f t="shared" si="373"/>
        <v>1.0135246032746206</v>
      </c>
      <c r="D482">
        <f t="shared" si="374"/>
        <v>0.16354762555700778</v>
      </c>
      <c r="F482">
        <f t="shared" si="375"/>
        <v>2.9631808106316636E-5</v>
      </c>
      <c r="G482">
        <f t="shared" si="376"/>
        <v>1.1109234780402408E-3</v>
      </c>
      <c r="H482">
        <f t="shared" si="377"/>
        <v>-3.1404817265219598</v>
      </c>
      <c r="J482">
        <f t="shared" si="378"/>
        <v>15</v>
      </c>
      <c r="M482">
        <f t="shared" si="379"/>
        <v>9.3339263270687074E-4</v>
      </c>
      <c r="N482">
        <f t="shared" si="380"/>
        <v>-1.5707963250000001</v>
      </c>
      <c r="O482">
        <f t="shared" si="381"/>
        <v>263.15238182567356</v>
      </c>
      <c r="P482">
        <f t="shared" si="382"/>
        <v>1.566996238040824</v>
      </c>
      <c r="Q482">
        <f t="shared" si="383"/>
        <v>228.74230070510205</v>
      </c>
      <c r="R482">
        <f t="shared" si="384"/>
        <v>1.5664245810255975</v>
      </c>
      <c r="S482">
        <f t="shared" si="385"/>
        <v>0.15283461213394975</v>
      </c>
      <c r="T482">
        <f t="shared" si="386"/>
        <v>-1.4173603763154765</v>
      </c>
      <c r="U482">
        <f t="shared" si="387"/>
        <v>0.1508900170637256</v>
      </c>
      <c r="V482">
        <f t="shared" si="388"/>
        <v>-1.4193277904638157</v>
      </c>
      <c r="X482">
        <f t="shared" si="405"/>
        <v>-64.676318142382542</v>
      </c>
      <c r="Y482">
        <f t="shared" si="389"/>
        <v>-243.56423142956103</v>
      </c>
      <c r="Z482">
        <f t="shared" si="406"/>
        <v>-63.564231429561033</v>
      </c>
      <c r="AC482">
        <v>1</v>
      </c>
      <c r="AD482">
        <f t="shared" si="390"/>
        <v>263.15048177900997</v>
      </c>
      <c r="AE482">
        <f t="shared" si="391"/>
        <v>-0.26587045679932847</v>
      </c>
      <c r="AF482">
        <f t="shared" si="392"/>
        <v>4.0581837215639995E-2</v>
      </c>
      <c r="AG482">
        <f t="shared" si="367"/>
        <v>143.9608161126018</v>
      </c>
      <c r="AH482">
        <f t="shared" si="368"/>
        <v>-967.79570950339462</v>
      </c>
      <c r="AJ482">
        <f t="shared" si="393"/>
        <v>26400</v>
      </c>
      <c r="AK482">
        <f t="shared" si="394"/>
        <v>170706.40371671043</v>
      </c>
      <c r="AL482">
        <v>1</v>
      </c>
      <c r="AM482">
        <f t="shared" si="395"/>
        <v>228.74011482873604</v>
      </c>
      <c r="AN482">
        <f t="shared" si="369"/>
        <v>746.78004736896014</v>
      </c>
      <c r="AO482">
        <f t="shared" si="370"/>
        <v>-112.15007027446106</v>
      </c>
      <c r="AQ482">
        <f t="shared" si="396"/>
        <v>1.3922920761455676E-3</v>
      </c>
      <c r="AR482">
        <f t="shared" si="397"/>
        <v>-3.7313427640701207</v>
      </c>
      <c r="AT482">
        <f t="shared" si="418"/>
        <v>-3610.9770822500509</v>
      </c>
      <c r="AU482">
        <f t="shared" si="419"/>
        <v>-538.5146038090553</v>
      </c>
      <c r="AV482">
        <f t="shared" si="407"/>
        <v>-2.9935510717017437</v>
      </c>
      <c r="AW482">
        <f t="shared" si="408"/>
        <v>472.66568886789361</v>
      </c>
      <c r="AX482">
        <f t="shared" si="409"/>
        <v>-4328.3915899280364</v>
      </c>
      <c r="AY482">
        <f t="shared" si="417"/>
        <v>-1.4620260880519582</v>
      </c>
      <c r="BA482">
        <f t="shared" si="398"/>
        <v>0.83849523021044525</v>
      </c>
      <c r="BB482">
        <f t="shared" si="410"/>
        <v>-1.529988070798346</v>
      </c>
      <c r="BC482">
        <f t="shared" si="411"/>
        <v>-1.5315249836497855</v>
      </c>
      <c r="BD482">
        <f t="shared" si="399"/>
        <v>-267.74991788224401</v>
      </c>
      <c r="BF482">
        <f t="shared" si="400"/>
        <v>-68.456313925918664</v>
      </c>
      <c r="BG482">
        <f t="shared" si="401"/>
        <v>-258.31567795100767</v>
      </c>
      <c r="BH482">
        <f t="shared" si="412"/>
        <v>-78.315677951007672</v>
      </c>
      <c r="BI482">
        <f t="shared" si="413"/>
        <v>-78.315677951007672</v>
      </c>
      <c r="BJ482">
        <f t="shared" si="402"/>
        <v>0</v>
      </c>
      <c r="BK482">
        <f t="shared" si="414"/>
        <v>0</v>
      </c>
      <c r="BM482">
        <f t="shared" si="415"/>
        <v>-66.926325855120325</v>
      </c>
      <c r="BN482">
        <f t="shared" si="403"/>
        <v>-170.56576006876364</v>
      </c>
      <c r="BQ482" s="56">
        <f t="shared" si="416"/>
        <v>15.371972729486792</v>
      </c>
    </row>
    <row r="483" spans="1:69" x14ac:dyDescent="0.2">
      <c r="A483">
        <f t="shared" si="420"/>
        <v>1345000</v>
      </c>
      <c r="B483">
        <f t="shared" si="404"/>
        <v>1345</v>
      </c>
      <c r="C483">
        <f t="shared" si="373"/>
        <v>1.0136250418081565</v>
      </c>
      <c r="D483">
        <f t="shared" si="374"/>
        <v>0.16414699464748397</v>
      </c>
      <c r="F483">
        <f t="shared" si="375"/>
        <v>2.941190042839898E-5</v>
      </c>
      <c r="G483">
        <f t="shared" si="376"/>
        <v>1.10679341084029E-3</v>
      </c>
      <c r="H483">
        <f t="shared" si="377"/>
        <v>-3.14048585658916</v>
      </c>
      <c r="J483">
        <f t="shared" si="378"/>
        <v>15</v>
      </c>
      <c r="M483">
        <f t="shared" si="379"/>
        <v>9.2992277161874114E-4</v>
      </c>
      <c r="N483">
        <f t="shared" si="380"/>
        <v>-1.5707963250000001</v>
      </c>
      <c r="O483">
        <f t="shared" si="381"/>
        <v>264.13427954511127</v>
      </c>
      <c r="P483">
        <f t="shared" si="382"/>
        <v>1.5670103646295752</v>
      </c>
      <c r="Q483">
        <f t="shared" si="383"/>
        <v>229.59580047039682</v>
      </c>
      <c r="R483">
        <f t="shared" si="384"/>
        <v>1.5664408326626882</v>
      </c>
      <c r="S483">
        <f t="shared" si="385"/>
        <v>0.15227965281082526</v>
      </c>
      <c r="T483">
        <f t="shared" si="386"/>
        <v>-1.4179219085763264</v>
      </c>
      <c r="U483">
        <f t="shared" si="387"/>
        <v>0.15034178924320485</v>
      </c>
      <c r="V483">
        <f t="shared" si="388"/>
        <v>-1.4198823444453033</v>
      </c>
      <c r="X483">
        <f t="shared" si="405"/>
        <v>-64.771022785811184</v>
      </c>
      <c r="Y483">
        <f t="shared" si="389"/>
        <v>-243.59233323288669</v>
      </c>
      <c r="Z483">
        <f t="shared" si="406"/>
        <v>-63.592333232886688</v>
      </c>
      <c r="AC483">
        <v>1</v>
      </c>
      <c r="AD483">
        <f t="shared" si="390"/>
        <v>264.13238656176748</v>
      </c>
      <c r="AE483">
        <f t="shared" si="391"/>
        <v>-0.26785826637970883</v>
      </c>
      <c r="AF483">
        <f t="shared" si="392"/>
        <v>4.0733261981369999E-2</v>
      </c>
      <c r="AG483">
        <f t="shared" si="367"/>
        <v>142.91661252427704</v>
      </c>
      <c r="AH483">
        <f t="shared" si="368"/>
        <v>-964.35674819216285</v>
      </c>
      <c r="AJ483">
        <f t="shared" si="393"/>
        <v>26400</v>
      </c>
      <c r="AK483">
        <f t="shared" si="394"/>
        <v>171343.36790968321</v>
      </c>
      <c r="AL483">
        <v>1</v>
      </c>
      <c r="AM483">
        <f t="shared" si="395"/>
        <v>229.59362271988806</v>
      </c>
      <c r="AN483">
        <f t="shared" si="369"/>
        <v>746.77640889976601</v>
      </c>
      <c r="AO483">
        <f t="shared" si="370"/>
        <v>-111.73317136250789</v>
      </c>
      <c r="AQ483">
        <f t="shared" si="396"/>
        <v>1.3819597045425431E-3</v>
      </c>
      <c r="AR483">
        <f t="shared" si="397"/>
        <v>-3.7174716052194405</v>
      </c>
      <c r="AT483">
        <f t="shared" si="418"/>
        <v>-3584.7713237065013</v>
      </c>
      <c r="AU483">
        <f t="shared" si="419"/>
        <v>-532.62115113995424</v>
      </c>
      <c r="AV483">
        <f t="shared" si="407"/>
        <v>-2.9940928862107499</v>
      </c>
      <c r="AW483">
        <f t="shared" si="408"/>
        <v>474.72021747361265</v>
      </c>
      <c r="AX483">
        <f t="shared" si="409"/>
        <v>-4312.4440481221045</v>
      </c>
      <c r="AY483">
        <f t="shared" si="417"/>
        <v>-1.4611562961750606</v>
      </c>
      <c r="BA483">
        <f t="shared" si="398"/>
        <v>0.83534129062616691</v>
      </c>
      <c r="BB483">
        <f t="shared" si="410"/>
        <v>-1.5627210208018429</v>
      </c>
      <c r="BC483">
        <f t="shared" si="411"/>
        <v>-1.5329365900356893</v>
      </c>
      <c r="BD483">
        <f t="shared" si="399"/>
        <v>-267.83079697058247</v>
      </c>
      <c r="BF483">
        <f t="shared" si="400"/>
        <v>-68.552887472229955</v>
      </c>
      <c r="BG483">
        <f t="shared" si="401"/>
        <v>-258.36245235547187</v>
      </c>
      <c r="BH483">
        <f t="shared" si="412"/>
        <v>-78.362452355471873</v>
      </c>
      <c r="BI483">
        <f t="shared" si="413"/>
        <v>-78.362452355471873</v>
      </c>
      <c r="BJ483">
        <f t="shared" si="402"/>
        <v>0</v>
      </c>
      <c r="BK483">
        <f t="shared" si="414"/>
        <v>0</v>
      </c>
      <c r="BM483">
        <f t="shared" si="415"/>
        <v>-66.990166451428109</v>
      </c>
      <c r="BN483">
        <f t="shared" si="403"/>
        <v>-170.53165538488946</v>
      </c>
      <c r="BQ483" s="56">
        <f t="shared" si="416"/>
        <v>15.339239779483293</v>
      </c>
    </row>
    <row r="484" spans="1:69" x14ac:dyDescent="0.2">
      <c r="A484">
        <f t="shared" si="420"/>
        <v>1350000</v>
      </c>
      <c r="B484">
        <f t="shared" si="404"/>
        <v>1350</v>
      </c>
      <c r="C484">
        <f t="shared" si="373"/>
        <v>1.013725844407471</v>
      </c>
      <c r="D484">
        <f t="shared" si="374"/>
        <v>0.16474624475339461</v>
      </c>
      <c r="F484">
        <f t="shared" si="375"/>
        <v>2.9194431734652733E-5</v>
      </c>
      <c r="G484">
        <f t="shared" si="376"/>
        <v>1.1026939393842688E-3</v>
      </c>
      <c r="H484">
        <f t="shared" si="377"/>
        <v>-3.1404899560606161</v>
      </c>
      <c r="J484">
        <f t="shared" si="378"/>
        <v>15</v>
      </c>
      <c r="M484">
        <f t="shared" si="379"/>
        <v>9.264786132053384E-4</v>
      </c>
      <c r="N484">
        <f t="shared" si="380"/>
        <v>-1.5707963250000001</v>
      </c>
      <c r="O484">
        <f t="shared" si="381"/>
        <v>265.11617731686931</v>
      </c>
      <c r="P484">
        <f t="shared" si="382"/>
        <v>1.5670243865784224</v>
      </c>
      <c r="Q484">
        <f t="shared" si="383"/>
        <v>230.4493002958823</v>
      </c>
      <c r="R484">
        <f t="shared" si="384"/>
        <v>1.5664569639195571</v>
      </c>
      <c r="S484">
        <f t="shared" si="385"/>
        <v>0.15172866181854727</v>
      </c>
      <c r="T484">
        <f t="shared" si="386"/>
        <v>-1.4184793774457958</v>
      </c>
      <c r="U484">
        <f t="shared" si="387"/>
        <v>0.14979748517873079</v>
      </c>
      <c r="V484">
        <f t="shared" si="388"/>
        <v>-1.4204328831315449</v>
      </c>
      <c r="X484">
        <f t="shared" si="405"/>
        <v>-64.865380491857152</v>
      </c>
      <c r="Y484">
        <f t="shared" si="389"/>
        <v>-243.61999011857401</v>
      </c>
      <c r="Z484">
        <f t="shared" si="406"/>
        <v>-63.619990118574009</v>
      </c>
      <c r="AC484">
        <v>1</v>
      </c>
      <c r="AD484">
        <f t="shared" si="390"/>
        <v>265.11429134452499</v>
      </c>
      <c r="AE484">
        <f t="shared" si="391"/>
        <v>-0.26985347934772563</v>
      </c>
      <c r="AF484">
        <f t="shared" si="392"/>
        <v>4.0884686747099996E-2</v>
      </c>
      <c r="AG484">
        <f t="shared" si="367"/>
        <v>141.88364256799798</v>
      </c>
      <c r="AH484">
        <f t="shared" si="368"/>
        <v>-960.94155869471263</v>
      </c>
      <c r="AJ484">
        <f t="shared" si="393"/>
        <v>26400</v>
      </c>
      <c r="AK484">
        <f t="shared" si="394"/>
        <v>171980.33210265602</v>
      </c>
      <c r="AL484">
        <v>1</v>
      </c>
      <c r="AM484">
        <f t="shared" si="395"/>
        <v>230.44713061104002</v>
      </c>
      <c r="AN484">
        <f t="shared" si="369"/>
        <v>746.77281078208046</v>
      </c>
      <c r="AO484">
        <f t="shared" si="370"/>
        <v>-111.31936041554232</v>
      </c>
      <c r="AQ484">
        <f t="shared" si="396"/>
        <v>1.3717419243152367E-3</v>
      </c>
      <c r="AR484">
        <f t="shared" si="397"/>
        <v>-3.7037031956511393</v>
      </c>
      <c r="AT484">
        <f t="shared" si="418"/>
        <v>-3558.8476940307087</v>
      </c>
      <c r="AU484">
        <f t="shared" si="419"/>
        <v>-526.81306421259649</v>
      </c>
      <c r="AV484">
        <f t="shared" si="407"/>
        <v>-2.9946307797894804</v>
      </c>
      <c r="AW484">
        <f t="shared" si="408"/>
        <v>476.75161629736579</v>
      </c>
      <c r="AX484">
        <f t="shared" si="409"/>
        <v>-4296.6131069678131</v>
      </c>
      <c r="AY484">
        <f t="shared" si="417"/>
        <v>-1.4602885083689743</v>
      </c>
      <c r="BA484">
        <f t="shared" si="398"/>
        <v>0.83220979251225635</v>
      </c>
      <c r="BB484">
        <f t="shared" si="410"/>
        <v>-1.5953435644443306</v>
      </c>
      <c r="BC484">
        <f t="shared" si="411"/>
        <v>-1.5343422714205062</v>
      </c>
      <c r="BD484">
        <f t="shared" si="399"/>
        <v>-267.91133658136459</v>
      </c>
      <c r="BF484">
        <f t="shared" si="400"/>
        <v>-68.649107484607597</v>
      </c>
      <c r="BG484">
        <f t="shared" si="401"/>
        <v>-258.40889234668629</v>
      </c>
      <c r="BH484">
        <f t="shared" si="412"/>
        <v>-78.408892346686287</v>
      </c>
      <c r="BI484">
        <f t="shared" si="413"/>
        <v>-78.408892346686287</v>
      </c>
      <c r="BJ484">
        <f t="shared" si="402"/>
        <v>0</v>
      </c>
      <c r="BK484">
        <f t="shared" si="414"/>
        <v>0</v>
      </c>
      <c r="BM484">
        <f t="shared" si="415"/>
        <v>-67.053763920163263</v>
      </c>
      <c r="BN484">
        <f t="shared" si="403"/>
        <v>-170.49755576532172</v>
      </c>
      <c r="BQ484" s="56">
        <f t="shared" si="416"/>
        <v>15.306617235840807</v>
      </c>
    </row>
    <row r="485" spans="1:69" x14ac:dyDescent="0.2">
      <c r="A485">
        <f t="shared" si="420"/>
        <v>1355000</v>
      </c>
      <c r="B485">
        <f t="shared" si="404"/>
        <v>1355</v>
      </c>
      <c r="C485">
        <f t="shared" si="373"/>
        <v>1.0138270109639695</v>
      </c>
      <c r="D485">
        <f t="shared" si="374"/>
        <v>0.1653453754799129</v>
      </c>
      <c r="F485">
        <f t="shared" si="375"/>
        <v>2.8979366090107368E-5</v>
      </c>
      <c r="G485">
        <f t="shared" si="376"/>
        <v>1.098624724934952E-3</v>
      </c>
      <c r="H485">
        <f t="shared" si="377"/>
        <v>-3.140494025275065</v>
      </c>
      <c r="J485">
        <f t="shared" si="378"/>
        <v>15</v>
      </c>
      <c r="M485">
        <f t="shared" si="379"/>
        <v>9.2305987293520779E-4</v>
      </c>
      <c r="N485">
        <f t="shared" si="380"/>
        <v>-1.5707963250000001</v>
      </c>
      <c r="O485">
        <f t="shared" si="381"/>
        <v>266.09807514036851</v>
      </c>
      <c r="P485">
        <f t="shared" si="382"/>
        <v>1.5670383050457191</v>
      </c>
      <c r="Q485">
        <f t="shared" si="383"/>
        <v>231.30280018089212</v>
      </c>
      <c r="R485">
        <f t="shared" si="384"/>
        <v>1.5664729761287932</v>
      </c>
      <c r="S485">
        <f t="shared" si="385"/>
        <v>0.15118159725866337</v>
      </c>
      <c r="T485">
        <f t="shared" si="386"/>
        <v>-1.4190328265277314</v>
      </c>
      <c r="U485">
        <f t="shared" si="387"/>
        <v>0.14925706339136288</v>
      </c>
      <c r="V485">
        <f t="shared" si="388"/>
        <v>-1.4209794496447263</v>
      </c>
      <c r="X485">
        <f t="shared" si="405"/>
        <v>-64.959393690661443</v>
      </c>
      <c r="Y485">
        <f t="shared" si="389"/>
        <v>-243.6472069549684</v>
      </c>
      <c r="Z485">
        <f t="shared" si="406"/>
        <v>-63.647206954968397</v>
      </c>
      <c r="AC485">
        <v>1</v>
      </c>
      <c r="AD485">
        <f t="shared" si="390"/>
        <v>266.0961961272825</v>
      </c>
      <c r="AE485">
        <f t="shared" si="391"/>
        <v>-0.27185609570337882</v>
      </c>
      <c r="AF485">
        <f t="shared" si="392"/>
        <v>4.1036111512829994E-2</v>
      </c>
      <c r="AG485">
        <f t="shared" si="367"/>
        <v>140.8617469272084</v>
      </c>
      <c r="AH485">
        <f t="shared" si="368"/>
        <v>-957.54990190293574</v>
      </c>
      <c r="AJ485">
        <f t="shared" si="393"/>
        <v>26400</v>
      </c>
      <c r="AK485">
        <f t="shared" si="394"/>
        <v>172617.29629562882</v>
      </c>
      <c r="AL485">
        <v>1</v>
      </c>
      <c r="AM485">
        <f t="shared" si="395"/>
        <v>231.30063850219202</v>
      </c>
      <c r="AN485">
        <f t="shared" si="369"/>
        <v>746.76925242142772</v>
      </c>
      <c r="AO485">
        <f t="shared" si="370"/>
        <v>-110.90860325202026</v>
      </c>
      <c r="AQ485">
        <f t="shared" si="396"/>
        <v>1.3616370472029184E-3</v>
      </c>
      <c r="AR485">
        <f t="shared" si="397"/>
        <v>-3.6900363979199087</v>
      </c>
      <c r="AT485">
        <f t="shared" si="418"/>
        <v>-3533.2021882733211</v>
      </c>
      <c r="AU485">
        <f t="shared" si="419"/>
        <v>-521.08880865695846</v>
      </c>
      <c r="AV485">
        <f t="shared" si="407"/>
        <v>-2.995164794515512</v>
      </c>
      <c r="AW485">
        <f t="shared" si="408"/>
        <v>478.7602322381847</v>
      </c>
      <c r="AX485">
        <f t="shared" si="409"/>
        <v>-4280.8974972027572</v>
      </c>
      <c r="AY485">
        <f t="shared" si="417"/>
        <v>-1.4594227033232787</v>
      </c>
      <c r="BA485">
        <f t="shared" si="398"/>
        <v>0.8291004967058021</v>
      </c>
      <c r="BB485">
        <f t="shared" si="410"/>
        <v>-1.6278564934693309</v>
      </c>
      <c r="BC485">
        <f t="shared" si="411"/>
        <v>-1.5357420911922333</v>
      </c>
      <c r="BD485">
        <f t="shared" si="399"/>
        <v>-267.99154034645517</v>
      </c>
      <c r="BF485">
        <f t="shared" si="400"/>
        <v>-68.744976531980029</v>
      </c>
      <c r="BG485">
        <f t="shared" si="401"/>
        <v>-258.45500159854561</v>
      </c>
      <c r="BH485">
        <f t="shared" si="412"/>
        <v>-78.455001598545607</v>
      </c>
      <c r="BI485">
        <f t="shared" si="413"/>
        <v>-78.455001598545607</v>
      </c>
      <c r="BJ485">
        <f t="shared" si="402"/>
        <v>0</v>
      </c>
      <c r="BK485">
        <f t="shared" si="414"/>
        <v>0</v>
      </c>
      <c r="BM485">
        <f t="shared" si="415"/>
        <v>-67.117120038510691</v>
      </c>
      <c r="BN485">
        <f t="shared" si="403"/>
        <v>-170.4634612520905</v>
      </c>
      <c r="BQ485" s="56">
        <f t="shared" si="416"/>
        <v>15.274104306815806</v>
      </c>
    </row>
    <row r="486" spans="1:69" x14ac:dyDescent="0.2">
      <c r="A486">
        <f t="shared" si="420"/>
        <v>1360000</v>
      </c>
      <c r="B486">
        <f t="shared" si="404"/>
        <v>1360</v>
      </c>
      <c r="C486">
        <f t="shared" si="373"/>
        <v>1.0139285413687089</v>
      </c>
      <c r="D486">
        <f t="shared" si="374"/>
        <v>0.16594438643271223</v>
      </c>
      <c r="F486">
        <f t="shared" si="375"/>
        <v>2.876666821918251E-5</v>
      </c>
      <c r="G486">
        <f t="shared" si="376"/>
        <v>1.0945854337372578E-3</v>
      </c>
      <c r="H486">
        <f t="shared" si="377"/>
        <v>-3.140498064566263</v>
      </c>
      <c r="J486">
        <f t="shared" si="378"/>
        <v>15</v>
      </c>
      <c r="M486">
        <f t="shared" si="379"/>
        <v>9.1966627046118142E-4</v>
      </c>
      <c r="N486">
        <f t="shared" si="380"/>
        <v>-1.5707963250000001</v>
      </c>
      <c r="O486">
        <f t="shared" si="381"/>
        <v>267.07997301503821</v>
      </c>
      <c r="P486">
        <f t="shared" si="382"/>
        <v>1.5670521211727846</v>
      </c>
      <c r="Q486">
        <f t="shared" si="383"/>
        <v>232.15630012476981</v>
      </c>
      <c r="R486">
        <f t="shared" si="384"/>
        <v>1.5664888706033895</v>
      </c>
      <c r="S486">
        <f t="shared" si="385"/>
        <v>0.15063841781301229</v>
      </c>
      <c r="T486">
        <f t="shared" si="386"/>
        <v>-1.4195822988092548</v>
      </c>
      <c r="U486">
        <f t="shared" si="387"/>
        <v>0.14872048297755655</v>
      </c>
      <c r="V486">
        <f t="shared" si="388"/>
        <v>-1.4215220864965046</v>
      </c>
      <c r="X486">
        <f t="shared" si="405"/>
        <v>-65.053064787151769</v>
      </c>
      <c r="Y486">
        <f t="shared" si="389"/>
        <v>-243.6739885418832</v>
      </c>
      <c r="Z486">
        <f t="shared" si="406"/>
        <v>-63.673988541883205</v>
      </c>
      <c r="AC486">
        <v>1</v>
      </c>
      <c r="AD486">
        <f t="shared" si="390"/>
        <v>267.07810091004001</v>
      </c>
      <c r="AE486">
        <f t="shared" si="391"/>
        <v>-0.2738661154466685</v>
      </c>
      <c r="AF486">
        <f t="shared" si="392"/>
        <v>4.1187536278559998E-2</v>
      </c>
      <c r="AG486">
        <f t="shared" si="367"/>
        <v>139.85076907730689</v>
      </c>
      <c r="AH486">
        <f t="shared" si="368"/>
        <v>-954.18154180513</v>
      </c>
      <c r="AJ486">
        <f t="shared" si="393"/>
        <v>26400</v>
      </c>
      <c r="AK486">
        <f t="shared" si="394"/>
        <v>173254.26048860161</v>
      </c>
      <c r="AL486">
        <v>1</v>
      </c>
      <c r="AM486">
        <f t="shared" si="395"/>
        <v>232.15414639334404</v>
      </c>
      <c r="AN486">
        <f t="shared" si="369"/>
        <v>746.76573323423986</v>
      </c>
      <c r="AO486">
        <f t="shared" si="370"/>
        <v>-110.50086619302031</v>
      </c>
      <c r="AQ486">
        <f t="shared" si="396"/>
        <v>1.3516434159218998E-3</v>
      </c>
      <c r="AR486">
        <f t="shared" si="397"/>
        <v>-3.6764700913075679</v>
      </c>
      <c r="AT486">
        <f t="shared" si="418"/>
        <v>-3507.8308717530672</v>
      </c>
      <c r="AU486">
        <f t="shared" si="419"/>
        <v>-515.44688295765513</v>
      </c>
      <c r="AV486">
        <f t="shared" si="407"/>
        <v>-2.995694971871254</v>
      </c>
      <c r="AW486">
        <f t="shared" si="408"/>
        <v>480.74640569997075</v>
      </c>
      <c r="AX486">
        <f t="shared" si="409"/>
        <v>-4265.295967856373</v>
      </c>
      <c r="AY486">
        <f t="shared" si="417"/>
        <v>-1.4585588600659993</v>
      </c>
      <c r="BA486">
        <f t="shared" si="398"/>
        <v>0.82601316739842146</v>
      </c>
      <c r="BB486">
        <f t="shared" si="410"/>
        <v>-1.6602605915367636</v>
      </c>
      <c r="BC486">
        <f t="shared" si="411"/>
        <v>-1.5371361118052547</v>
      </c>
      <c r="BD486">
        <f t="shared" si="399"/>
        <v>-268.07141184422676</v>
      </c>
      <c r="BF486">
        <f t="shared" si="400"/>
        <v>-68.840497155578277</v>
      </c>
      <c r="BG486">
        <f t="shared" si="401"/>
        <v>-258.50078373113871</v>
      </c>
      <c r="BH486">
        <f t="shared" si="412"/>
        <v>-78.500783731138711</v>
      </c>
      <c r="BI486">
        <f t="shared" si="413"/>
        <v>-78.500783731138711</v>
      </c>
      <c r="BJ486">
        <f t="shared" si="402"/>
        <v>0</v>
      </c>
      <c r="BK486">
        <f t="shared" si="414"/>
        <v>0</v>
      </c>
      <c r="BM486">
        <f t="shared" si="415"/>
        <v>-67.180236564041522</v>
      </c>
      <c r="BN486">
        <f t="shared" si="403"/>
        <v>-170.42937188691192</v>
      </c>
      <c r="BQ486" s="56">
        <f t="shared" si="416"/>
        <v>15.241700208748373</v>
      </c>
    </row>
    <row r="487" spans="1:69" x14ac:dyDescent="0.2">
      <c r="A487">
        <f t="shared" si="420"/>
        <v>1365000</v>
      </c>
      <c r="B487">
        <f t="shared" si="404"/>
        <v>1365</v>
      </c>
      <c r="C487">
        <f t="shared" si="373"/>
        <v>1.014030435512397</v>
      </c>
      <c r="D487">
        <f t="shared" si="374"/>
        <v>0.16654327721796738</v>
      </c>
      <c r="F487">
        <f t="shared" si="375"/>
        <v>2.8556303491221482E-5</v>
      </c>
      <c r="G487">
        <f t="shared" si="376"/>
        <v>1.0905757369269816E-3</v>
      </c>
      <c r="H487">
        <f t="shared" si="377"/>
        <v>-3.1405020742630732</v>
      </c>
      <c r="J487">
        <f t="shared" si="378"/>
        <v>15</v>
      </c>
      <c r="M487">
        <f t="shared" si="379"/>
        <v>9.1629752954374116E-4</v>
      </c>
      <c r="N487">
        <f t="shared" si="380"/>
        <v>-1.5707963250000001</v>
      </c>
      <c r="O487">
        <f t="shared" si="381"/>
        <v>268.061870940316</v>
      </c>
      <c r="P487">
        <f t="shared" si="382"/>
        <v>1.5670658360842158</v>
      </c>
      <c r="Q487">
        <f t="shared" si="383"/>
        <v>233.00980012686853</v>
      </c>
      <c r="R487">
        <f t="shared" si="384"/>
        <v>1.5665046486371008</v>
      </c>
      <c r="S487">
        <f t="shared" si="385"/>
        <v>0.15009908273384817</v>
      </c>
      <c r="T487">
        <f t="shared" si="386"/>
        <v>-1.4201278366715382</v>
      </c>
      <c r="U487">
        <f t="shared" si="387"/>
        <v>0.14818770359935127</v>
      </c>
      <c r="V487">
        <f t="shared" si="388"/>
        <v>-1.422060835598691</v>
      </c>
      <c r="X487">
        <f t="shared" si="405"/>
        <v>-65.146396161384658</v>
      </c>
      <c r="Y487">
        <f t="shared" si="389"/>
        <v>-243.70033961179635</v>
      </c>
      <c r="Z487">
        <f t="shared" si="406"/>
        <v>-63.700339611796352</v>
      </c>
      <c r="AC487">
        <v>1</v>
      </c>
      <c r="AD487">
        <f t="shared" si="390"/>
        <v>268.06000569279752</v>
      </c>
      <c r="AE487">
        <f t="shared" si="391"/>
        <v>-0.27588353857759451</v>
      </c>
      <c r="AF487">
        <f t="shared" si="392"/>
        <v>4.1338961044289996E-2</v>
      </c>
      <c r="AG487">
        <f t="shared" si="367"/>
        <v>138.85055522762076</v>
      </c>
      <c r="AH487">
        <f t="shared" si="368"/>
        <v>-950.83624543798294</v>
      </c>
      <c r="AJ487">
        <f t="shared" si="393"/>
        <v>26400</v>
      </c>
      <c r="AK487">
        <f t="shared" si="394"/>
        <v>173891.22468157441</v>
      </c>
      <c r="AL487">
        <v>1</v>
      </c>
      <c r="AM487">
        <f t="shared" si="395"/>
        <v>233.00765428449606</v>
      </c>
      <c r="AN487">
        <f t="shared" si="369"/>
        <v>746.76225264761706</v>
      </c>
      <c r="AO487">
        <f t="shared" si="370"/>
        <v>-110.09611605303949</v>
      </c>
      <c r="AQ487">
        <f t="shared" si="396"/>
        <v>1.3417594034859715E-3</v>
      </c>
      <c r="AR487">
        <f t="shared" si="397"/>
        <v>-3.663003171516702</v>
      </c>
      <c r="AT487">
        <f t="shared" si="418"/>
        <v>-3482.7298785942089</v>
      </c>
      <c r="AU487">
        <f t="shared" si="419"/>
        <v>-509.88581763912151</v>
      </c>
      <c r="AV487">
        <f t="shared" si="407"/>
        <v>-2.9962213527543509</v>
      </c>
      <c r="AW487">
        <f t="shared" si="408"/>
        <v>482.71047073717534</v>
      </c>
      <c r="AX487">
        <f t="shared" si="409"/>
        <v>-4249.8072859226013</v>
      </c>
      <c r="AY487">
        <f t="shared" si="417"/>
        <v>-1.4576969579570018</v>
      </c>
      <c r="BA487">
        <f t="shared" si="398"/>
        <v>0.82294757207838942</v>
      </c>
      <c r="BB487">
        <f t="shared" si="410"/>
        <v>-1.6925566343286158</v>
      </c>
      <c r="BC487">
        <f t="shared" si="411"/>
        <v>-1.538524394797349</v>
      </c>
      <c r="BD487">
        <f t="shared" si="399"/>
        <v>-268.15095460053448</v>
      </c>
      <c r="BF487">
        <f t="shared" si="400"/>
        <v>-68.935671869329809</v>
      </c>
      <c r="BG487">
        <f t="shared" si="401"/>
        <v>-258.54624231172738</v>
      </c>
      <c r="BH487">
        <f t="shared" si="412"/>
        <v>-78.546242311727383</v>
      </c>
      <c r="BI487">
        <f t="shared" si="413"/>
        <v>-78.546242311727383</v>
      </c>
      <c r="BJ487">
        <f t="shared" si="402"/>
        <v>0</v>
      </c>
      <c r="BK487">
        <f t="shared" si="414"/>
        <v>0</v>
      </c>
      <c r="BM487">
        <f t="shared" si="415"/>
        <v>-67.243115235001184</v>
      </c>
      <c r="BN487">
        <f t="shared" si="403"/>
        <v>-170.39528771119291</v>
      </c>
      <c r="BQ487" s="56">
        <f t="shared" si="416"/>
        <v>15.209404165956521</v>
      </c>
    </row>
    <row r="488" spans="1:69" x14ac:dyDescent="0.2">
      <c r="A488">
        <f t="shared" si="420"/>
        <v>1370000</v>
      </c>
      <c r="B488">
        <f t="shared" si="404"/>
        <v>1370</v>
      </c>
      <c r="C488">
        <f t="shared" si="373"/>
        <v>1.0141326932853951</v>
      </c>
      <c r="D488">
        <f t="shared" si="374"/>
        <v>0.16714204744235597</v>
      </c>
      <c r="F488">
        <f t="shared" si="375"/>
        <v>2.8348237906393848E-5</v>
      </c>
      <c r="G488">
        <f t="shared" si="376"/>
        <v>1.0865953104415333E-3</v>
      </c>
      <c r="H488">
        <f t="shared" si="377"/>
        <v>-3.1405060546895585</v>
      </c>
      <c r="J488">
        <f t="shared" si="378"/>
        <v>15</v>
      </c>
      <c r="M488">
        <f t="shared" si="379"/>
        <v>9.129533779760633E-4</v>
      </c>
      <c r="N488">
        <f t="shared" si="380"/>
        <v>-1.5707963250000001</v>
      </c>
      <c r="O488">
        <f t="shared" si="381"/>
        <v>269.04376891564795</v>
      </c>
      <c r="P488">
        <f t="shared" si="382"/>
        <v>1.5670794508881924</v>
      </c>
      <c r="Q488">
        <f t="shared" si="383"/>
        <v>233.86330018655076</v>
      </c>
      <c r="R488">
        <f t="shared" si="384"/>
        <v>1.5665203115047965</v>
      </c>
      <c r="S488">
        <f t="shared" si="385"/>
        <v>0.14956355183416314</v>
      </c>
      <c r="T488">
        <f t="shared" si="386"/>
        <v>-1.4206694819003596</v>
      </c>
      <c r="U488">
        <f t="shared" si="387"/>
        <v>0.14765868547475591</v>
      </c>
      <c r="V488">
        <f t="shared" si="388"/>
        <v>-1.4225957382737098</v>
      </c>
      <c r="X488">
        <f t="shared" si="405"/>
        <v>-65.239390168881854</v>
      </c>
      <c r="Y488">
        <f t="shared" si="389"/>
        <v>-243.72626483102161</v>
      </c>
      <c r="Z488">
        <f t="shared" si="406"/>
        <v>-63.726264831021609</v>
      </c>
      <c r="AC488">
        <v>1</v>
      </c>
      <c r="AD488">
        <f t="shared" si="390"/>
        <v>269.04191047555503</v>
      </c>
      <c r="AE488">
        <f t="shared" si="391"/>
        <v>-0.27790836509615702</v>
      </c>
      <c r="AF488">
        <f t="shared" si="392"/>
        <v>4.149038581002E-2</v>
      </c>
      <c r="AG488">
        <f t="shared" ref="AG488:AG551" si="421">AC488*AE488/(AE488^2+AF488^2)+AD488*AF488/(AE488^2+AF488^2)</f>
        <v>137.86095426476939</v>
      </c>
      <c r="AH488">
        <f t="shared" ref="AH488:AH551" si="422">AD488*AE488/(AE488^2+AF488^2)-AC488*AF488/(AE488^2+AF488^2)</f>
        <v>-947.513782839398</v>
      </c>
      <c r="AJ488">
        <f t="shared" si="393"/>
        <v>26400</v>
      </c>
      <c r="AK488">
        <f t="shared" si="394"/>
        <v>174528.18887454722</v>
      </c>
      <c r="AL488">
        <v>1</v>
      </c>
      <c r="AM488">
        <f t="shared" si="395"/>
        <v>233.86116217564802</v>
      </c>
      <c r="AN488">
        <f t="shared" ref="AN488:AN551" si="423">AJ488*AL488/(AL488^2+AM488^2)+AK488*AM488/(AL488^2+AM488^2)</f>
        <v>746.75881009909426</v>
      </c>
      <c r="AO488">
        <f t="shared" ref="AO488:AO551" si="424">AK488*AL488/(AL488^2+AM488^2)-AJ488*AM488/(AL488^2+AM488^2)</f>
        <v>-109.69432013099001</v>
      </c>
      <c r="AQ488">
        <f t="shared" si="396"/>
        <v>1.3319834125441669E-3</v>
      </c>
      <c r="AR488">
        <f t="shared" si="397"/>
        <v>-3.6496345503710175</v>
      </c>
      <c r="AT488">
        <f t="shared" si="418"/>
        <v>-3457.8954102990901</v>
      </c>
      <c r="AU488">
        <f t="shared" si="419"/>
        <v>-504.4041744737201</v>
      </c>
      <c r="AV488">
        <f t="shared" si="407"/>
        <v>-2.9967439774878648</v>
      </c>
      <c r="AW488">
        <f t="shared" si="408"/>
        <v>484.65275519667586</v>
      </c>
      <c r="AX488">
        <f t="shared" si="409"/>
        <v>-4234.4302360395595</v>
      </c>
      <c r="AY488">
        <f t="shared" si="417"/>
        <v>-1.4568369766815448</v>
      </c>
      <c r="BA488">
        <f t="shared" si="398"/>
        <v>0.81990348147393899</v>
      </c>
      <c r="BB488">
        <f t="shared" si="410"/>
        <v>-1.7247453896530254</v>
      </c>
      <c r="BC488">
        <f t="shared" si="411"/>
        <v>-1.53990700080632</v>
      </c>
      <c r="BD488">
        <f t="shared" si="399"/>
        <v>-268.23017208966849</v>
      </c>
      <c r="BF488">
        <f t="shared" si="400"/>
        <v>-69.030503160245203</v>
      </c>
      <c r="BG488">
        <f t="shared" si="401"/>
        <v>-258.59138085570515</v>
      </c>
      <c r="BH488">
        <f t="shared" si="412"/>
        <v>-78.591380855705154</v>
      </c>
      <c r="BI488">
        <f t="shared" si="413"/>
        <v>-78.591380855705154</v>
      </c>
      <c r="BJ488">
        <f t="shared" si="402"/>
        <v>0</v>
      </c>
      <c r="BK488">
        <f t="shared" si="414"/>
        <v>0</v>
      </c>
      <c r="BM488">
        <f t="shared" si="415"/>
        <v>-67.30575777059218</v>
      </c>
      <c r="BN488">
        <f t="shared" si="403"/>
        <v>-170.36120876603667</v>
      </c>
      <c r="BQ488" s="56">
        <f t="shared" si="416"/>
        <v>15.177215410632112</v>
      </c>
    </row>
    <row r="489" spans="1:69" x14ac:dyDescent="0.2">
      <c r="A489">
        <f t="shared" si="420"/>
        <v>1375000</v>
      </c>
      <c r="B489">
        <f t="shared" si="404"/>
        <v>1375</v>
      </c>
      <c r="C489">
        <f t="shared" si="373"/>
        <v>1.0142353145777172</v>
      </c>
      <c r="D489">
        <f t="shared" si="374"/>
        <v>0.16774069671305977</v>
      </c>
      <c r="F489">
        <f t="shared" si="375"/>
        <v>2.814243808195608E-5</v>
      </c>
      <c r="G489">
        <f t="shared" si="376"/>
        <v>1.0826438349326184E-3</v>
      </c>
      <c r="H489">
        <f t="shared" si="377"/>
        <v>-3.1405100061650675</v>
      </c>
      <c r="J489">
        <f t="shared" si="378"/>
        <v>15</v>
      </c>
      <c r="M489">
        <f t="shared" si="379"/>
        <v>9.0963354751069582E-4</v>
      </c>
      <c r="N489">
        <f t="shared" si="380"/>
        <v>-1.5707963250000001</v>
      </c>
      <c r="O489">
        <f t="shared" si="381"/>
        <v>270.02566694048789</v>
      </c>
      <c r="P489">
        <f t="shared" si="382"/>
        <v>1.5670929666767759</v>
      </c>
      <c r="Q489">
        <f t="shared" si="383"/>
        <v>234.71680030318831</v>
      </c>
      <c r="R489">
        <f t="shared" si="384"/>
        <v>1.5665358604628024</v>
      </c>
      <c r="S489">
        <f t="shared" si="385"/>
        <v>0.14903178547820342</v>
      </c>
      <c r="T489">
        <f t="shared" si="386"/>
        <v>-1.421207275696436</v>
      </c>
      <c r="U489">
        <f t="shared" si="387"/>
        <v>0.14713338936832704</v>
      </c>
      <c r="V489">
        <f t="shared" si="388"/>
        <v>-1.4231268352648425</v>
      </c>
      <c r="X489">
        <f t="shared" si="405"/>
        <v>-65.33204914096109</v>
      </c>
      <c r="Y489">
        <f t="shared" si="389"/>
        <v>-243.75176880085561</v>
      </c>
      <c r="Z489">
        <f t="shared" si="406"/>
        <v>-63.751768800855615</v>
      </c>
      <c r="AC489">
        <v>1</v>
      </c>
      <c r="AD489">
        <f t="shared" si="390"/>
        <v>270.02381525831254</v>
      </c>
      <c r="AE489">
        <f t="shared" si="391"/>
        <v>-0.27994059500235602</v>
      </c>
      <c r="AF489">
        <f t="shared" si="392"/>
        <v>4.1641810575749998E-2</v>
      </c>
      <c r="AG489">
        <f t="shared" si="421"/>
        <v>136.8818176973804</v>
      </c>
      <c r="AH489">
        <f t="shared" si="422"/>
        <v>-944.21392700215313</v>
      </c>
      <c r="AJ489">
        <f t="shared" si="393"/>
        <v>26400</v>
      </c>
      <c r="AK489">
        <f t="shared" si="394"/>
        <v>175165.15306752003</v>
      </c>
      <c r="AL489">
        <v>1</v>
      </c>
      <c r="AM489">
        <f t="shared" si="395"/>
        <v>234.71467006680004</v>
      </c>
      <c r="AN489">
        <f t="shared" si="423"/>
        <v>746.75540503641355</v>
      </c>
      <c r="AO489">
        <f t="shared" si="424"/>
        <v>-109.29544620139272</v>
      </c>
      <c r="AQ489">
        <f t="shared" si="396"/>
        <v>1.3223138747353554E-3</v>
      </c>
      <c r="AR489">
        <f t="shared" si="397"/>
        <v>-3.6363631555222273</v>
      </c>
      <c r="AT489">
        <f t="shared" si="418"/>
        <v>-3433.3237343548431</v>
      </c>
      <c r="AU489">
        <f t="shared" si="419"/>
        <v>-499.00054571205771</v>
      </c>
      <c r="AV489">
        <f t="shared" si="407"/>
        <v>-2.9972628858302515</v>
      </c>
      <c r="AW489">
        <f t="shared" si="408"/>
        <v>486.57358085596229</v>
      </c>
      <c r="AX489">
        <f t="shared" si="409"/>
        <v>-4219.1636201760002</v>
      </c>
      <c r="AY489">
        <f t="shared" si="417"/>
        <v>-1.4559788962439768</v>
      </c>
      <c r="BA489">
        <f t="shared" si="398"/>
        <v>0.81688066949771831</v>
      </c>
      <c r="BB489">
        <f t="shared" si="410"/>
        <v>-1.7568276175466671</v>
      </c>
      <c r="BC489">
        <f t="shared" si="411"/>
        <v>-1.5412839895862747</v>
      </c>
      <c r="BD489">
        <f t="shared" si="399"/>
        <v>-268.30906773528687</v>
      </c>
      <c r="BF489">
        <f t="shared" si="400"/>
        <v>-69.124993488798225</v>
      </c>
      <c r="BG489">
        <f t="shared" si="401"/>
        <v>-258.63620282753425</v>
      </c>
      <c r="BH489">
        <f t="shared" si="412"/>
        <v>-78.636202827534248</v>
      </c>
      <c r="BI489">
        <f t="shared" si="413"/>
        <v>-78.636202827534248</v>
      </c>
      <c r="BJ489">
        <f t="shared" si="402"/>
        <v>0</v>
      </c>
      <c r="BK489">
        <f t="shared" si="414"/>
        <v>0</v>
      </c>
      <c r="BM489">
        <f t="shared" si="415"/>
        <v>-67.368165871251563</v>
      </c>
      <c r="BN489">
        <f t="shared" si="403"/>
        <v>-170.32713509224735</v>
      </c>
      <c r="BQ489" s="56">
        <f t="shared" si="416"/>
        <v>15.145133182738471</v>
      </c>
    </row>
    <row r="490" spans="1:69" x14ac:dyDescent="0.2">
      <c r="A490">
        <f t="shared" si="420"/>
        <v>1380000</v>
      </c>
      <c r="B490">
        <f t="shared" si="404"/>
        <v>1380</v>
      </c>
      <c r="C490">
        <f t="shared" si="373"/>
        <v>1.0143382992790304</v>
      </c>
      <c r="D490">
        <f t="shared" si="374"/>
        <v>0.16833922463776593</v>
      </c>
      <c r="F490">
        <f t="shared" si="375"/>
        <v>2.7938871238860152E-5</v>
      </c>
      <c r="G490">
        <f t="shared" si="376"/>
        <v>1.0787209956808217E-3</v>
      </c>
      <c r="H490">
        <f t="shared" si="377"/>
        <v>-3.1405139290043196</v>
      </c>
      <c r="J490">
        <f t="shared" si="378"/>
        <v>15</v>
      </c>
      <c r="M490">
        <f t="shared" si="379"/>
        <v>9.0633777378783102E-4</v>
      </c>
      <c r="N490">
        <f t="shared" si="380"/>
        <v>-1.5707963250000001</v>
      </c>
      <c r="O490">
        <f t="shared" si="381"/>
        <v>271.00756501429777</v>
      </c>
      <c r="P490">
        <f t="shared" si="382"/>
        <v>1.5671063845262008</v>
      </c>
      <c r="Q490">
        <f t="shared" si="383"/>
        <v>235.5703004761622</v>
      </c>
      <c r="R490">
        <f t="shared" si="384"/>
        <v>1.5665512967492372</v>
      </c>
      <c r="S490">
        <f t="shared" si="385"/>
        <v>0.14850374457217411</v>
      </c>
      <c r="T490">
        <f t="shared" si="386"/>
        <v>-1.4217412586855485</v>
      </c>
      <c r="U490">
        <f t="shared" si="387"/>
        <v>0.146611776581935</v>
      </c>
      <c r="V490">
        <f t="shared" si="388"/>
        <v>-1.4236541667462601</v>
      </c>
      <c r="X490">
        <f t="shared" si="405"/>
        <v>-65.424375385061595</v>
      </c>
      <c r="Y490">
        <f t="shared" si="389"/>
        <v>-243.77685605870207</v>
      </c>
      <c r="Z490">
        <f t="shared" si="406"/>
        <v>-63.776856058702066</v>
      </c>
      <c r="AC490">
        <v>1</v>
      </c>
      <c r="AD490">
        <f t="shared" si="390"/>
        <v>271.00572004106999</v>
      </c>
      <c r="AE490">
        <f t="shared" si="391"/>
        <v>-0.28198022829619124</v>
      </c>
      <c r="AF490">
        <f t="shared" si="392"/>
        <v>4.1793235341480002E-2</v>
      </c>
      <c r="AG490">
        <f t="shared" si="421"/>
        <v>135.91299960212251</v>
      </c>
      <c r="AH490">
        <f t="shared" si="422"/>
        <v>-940.93645382836871</v>
      </c>
      <c r="AJ490">
        <f t="shared" si="393"/>
        <v>26400</v>
      </c>
      <c r="AK490">
        <f t="shared" si="394"/>
        <v>175802.11726049281</v>
      </c>
      <c r="AL490">
        <v>1</v>
      </c>
      <c r="AM490">
        <f t="shared" si="395"/>
        <v>235.56817795795203</v>
      </c>
      <c r="AN490">
        <f t="shared" si="423"/>
        <v>746.75203691730383</v>
      </c>
      <c r="AO490">
        <f t="shared" si="424"/>
        <v>-108.89946250576212</v>
      </c>
      <c r="AQ490">
        <f t="shared" si="396"/>
        <v>1.3127492500591721E-3</v>
      </c>
      <c r="AR490">
        <f t="shared" si="397"/>
        <v>-3.6231879301633154</v>
      </c>
      <c r="AT490">
        <f t="shared" si="418"/>
        <v>-3409.0111828733166</v>
      </c>
      <c r="AU490">
        <f t="shared" si="419"/>
        <v>-493.67355333481828</v>
      </c>
      <c r="AV490">
        <f t="shared" si="407"/>
        <v>-2.9977781169851272</v>
      </c>
      <c r="AW490">
        <f t="shared" si="408"/>
        <v>488.47326355774391</v>
      </c>
      <c r="AX490">
        <f t="shared" si="409"/>
        <v>-4204.0062573244477</v>
      </c>
      <c r="AY490">
        <f t="shared" si="417"/>
        <v>-1.4551226969615829</v>
      </c>
      <c r="BA490">
        <f t="shared" si="398"/>
        <v>0.81387891319236372</v>
      </c>
      <c r="BB490">
        <f t="shared" si="410"/>
        <v>-1.7888040703756225</v>
      </c>
      <c r="BC490">
        <f t="shared" si="411"/>
        <v>-1.5426554200235443</v>
      </c>
      <c r="BD490">
        <f t="shared" si="399"/>
        <v>-268.38764491132804</v>
      </c>
      <c r="BF490">
        <f t="shared" si="400"/>
        <v>-69.219145289299277</v>
      </c>
      <c r="BG490">
        <f t="shared" si="401"/>
        <v>-258.68071164166287</v>
      </c>
      <c r="BH490">
        <f t="shared" si="412"/>
        <v>-78.680711641662867</v>
      </c>
      <c r="BI490">
        <f t="shared" si="413"/>
        <v>-78.680711641662867</v>
      </c>
      <c r="BJ490">
        <f t="shared" si="402"/>
        <v>0</v>
      </c>
      <c r="BK490">
        <f t="shared" si="414"/>
        <v>0</v>
      </c>
      <c r="BM490">
        <f t="shared" si="415"/>
        <v>-67.430341218923658</v>
      </c>
      <c r="BN490">
        <f t="shared" si="403"/>
        <v>-170.29306673033491</v>
      </c>
      <c r="BQ490" s="56">
        <f t="shared" si="416"/>
        <v>15.113156729909514</v>
      </c>
    </row>
    <row r="491" spans="1:69" x14ac:dyDescent="0.2">
      <c r="A491">
        <f t="shared" si="420"/>
        <v>1385000</v>
      </c>
      <c r="B491">
        <f t="shared" si="404"/>
        <v>1385</v>
      </c>
      <c r="C491">
        <f t="shared" si="373"/>
        <v>1.0144416472786566</v>
      </c>
      <c r="D491">
        <f t="shared" si="374"/>
        <v>0.16893763082466851</v>
      </c>
      <c r="F491">
        <f t="shared" si="375"/>
        <v>2.7737505188699913E-5</v>
      </c>
      <c r="G491">
        <f t="shared" si="376"/>
        <v>1.0748264825120402E-3</v>
      </c>
      <c r="H491">
        <f t="shared" si="377"/>
        <v>-3.140517823517488</v>
      </c>
      <c r="J491">
        <f t="shared" si="378"/>
        <v>15</v>
      </c>
      <c r="M491">
        <f t="shared" si="379"/>
        <v>9.0306579626513118E-4</v>
      </c>
      <c r="N491">
        <f t="shared" si="380"/>
        <v>-1.5707963250000001</v>
      </c>
      <c r="O491">
        <f t="shared" si="381"/>
        <v>271.98946313654722</v>
      </c>
      <c r="P491">
        <f t="shared" si="382"/>
        <v>1.5671197054971606</v>
      </c>
      <c r="Q491">
        <f t="shared" si="383"/>
        <v>236.42380070486226</v>
      </c>
      <c r="R491">
        <f t="shared" si="384"/>
        <v>1.5665666215843417</v>
      </c>
      <c r="S491">
        <f t="shared" si="385"/>
        <v>0.14797939055512913</v>
      </c>
      <c r="T491">
        <f t="shared" si="386"/>
        <v>-1.4222714709284554</v>
      </c>
      <c r="U491">
        <f t="shared" si="387"/>
        <v>0.14609380894571444</v>
      </c>
      <c r="V491">
        <f t="shared" si="388"/>
        <v>-1.4241777723328488</v>
      </c>
      <c r="X491">
        <f t="shared" si="405"/>
        <v>-65.516371185063974</v>
      </c>
      <c r="Y491">
        <f t="shared" si="389"/>
        <v>-243.8015310791715</v>
      </c>
      <c r="Z491">
        <f t="shared" si="406"/>
        <v>-63.801531079171497</v>
      </c>
      <c r="AC491">
        <v>1</v>
      </c>
      <c r="AD491">
        <f t="shared" si="390"/>
        <v>271.9876248238275</v>
      </c>
      <c r="AE491">
        <f t="shared" si="391"/>
        <v>-0.28402726497766301</v>
      </c>
      <c r="AF491">
        <f t="shared" si="392"/>
        <v>4.1944660107209999E-2</v>
      </c>
      <c r="AG491">
        <f t="shared" si="421"/>
        <v>134.95435657101686</v>
      </c>
      <c r="AH491">
        <f t="shared" si="422"/>
        <v>-937.68114208477118</v>
      </c>
      <c r="AJ491">
        <f t="shared" si="393"/>
        <v>26400</v>
      </c>
      <c r="AK491">
        <f t="shared" si="394"/>
        <v>176439.08145346562</v>
      </c>
      <c r="AL491">
        <v>1</v>
      </c>
      <c r="AM491">
        <f t="shared" si="395"/>
        <v>236.42168584910405</v>
      </c>
      <c r="AN491">
        <f t="shared" si="423"/>
        <v>746.74870520926402</v>
      </c>
      <c r="AO491">
        <f t="shared" si="424"/>
        <v>-108.50633774417759</v>
      </c>
      <c r="AQ491">
        <f t="shared" si="396"/>
        <v>1.3032880262628178E-3</v>
      </c>
      <c r="AR491">
        <f t="shared" si="397"/>
        <v>-3.610107832748005</v>
      </c>
      <c r="AT491">
        <f t="shared" si="418"/>
        <v>-3384.9541512633164</v>
      </c>
      <c r="AU491">
        <f t="shared" si="419"/>
        <v>-488.42184832542665</v>
      </c>
      <c r="AV491">
        <f t="shared" si="407"/>
        <v>-2.9982897096108396</v>
      </c>
      <c r="AW491">
        <f t="shared" si="408"/>
        <v>490.35211334107629</v>
      </c>
      <c r="AX491">
        <f t="shared" si="409"/>
        <v>-4188.9569832007801</v>
      </c>
      <c r="AY491">
        <f t="shared" si="417"/>
        <v>-1.4542683594585715</v>
      </c>
      <c r="BA491">
        <f t="shared" si="398"/>
        <v>0.81089799267717222</v>
      </c>
      <c r="BB491">
        <f t="shared" si="410"/>
        <v>-1.8206754929346602</v>
      </c>
      <c r="BC491">
        <f t="shared" si="411"/>
        <v>-1.5440213501522682</v>
      </c>
      <c r="BD491">
        <f t="shared" si="399"/>
        <v>-268.46590694290308</v>
      </c>
      <c r="BF491">
        <f t="shared" si="400"/>
        <v>-69.312960970262253</v>
      </c>
      <c r="BG491">
        <f t="shared" si="401"/>
        <v>-258.72491066342275</v>
      </c>
      <c r="BH491">
        <f t="shared" si="412"/>
        <v>-78.724910663422747</v>
      </c>
      <c r="BI491">
        <f t="shared" si="413"/>
        <v>-78.724910663422747</v>
      </c>
      <c r="BJ491">
        <f t="shared" si="402"/>
        <v>0</v>
      </c>
      <c r="BK491">
        <f t="shared" si="414"/>
        <v>0</v>
      </c>
      <c r="BM491">
        <f t="shared" si="415"/>
        <v>-67.492285477327584</v>
      </c>
      <c r="BN491">
        <f t="shared" si="403"/>
        <v>-170.25900372051973</v>
      </c>
      <c r="BQ491" s="56">
        <f t="shared" si="416"/>
        <v>15.081285307350477</v>
      </c>
    </row>
    <row r="492" spans="1:69" x14ac:dyDescent="0.2">
      <c r="A492">
        <f t="shared" si="420"/>
        <v>1390000</v>
      </c>
      <c r="B492">
        <f t="shared" si="404"/>
        <v>1390</v>
      </c>
      <c r="C492">
        <f t="shared" si="373"/>
        <v>1.0145453584655724</v>
      </c>
      <c r="D492">
        <f t="shared" si="374"/>
        <v>0.16953591488246952</v>
      </c>
      <c r="F492">
        <f t="shared" si="375"/>
        <v>2.7538308320985601E-5</v>
      </c>
      <c r="G492">
        <f t="shared" si="376"/>
        <v>1.0709599897157163E-3</v>
      </c>
      <c r="H492">
        <f t="shared" si="377"/>
        <v>-3.1405216900102846</v>
      </c>
      <c r="J492">
        <f t="shared" si="378"/>
        <v>15</v>
      </c>
      <c r="M492">
        <f t="shared" si="379"/>
        <v>8.9981735814906956E-4</v>
      </c>
      <c r="N492">
        <f t="shared" si="380"/>
        <v>-1.5707963250000001</v>
      </c>
      <c r="O492">
        <f t="shared" si="381"/>
        <v>272.97136130671345</v>
      </c>
      <c r="P492">
        <f t="shared" si="382"/>
        <v>1.5671329306350881</v>
      </c>
      <c r="Q492">
        <f t="shared" si="383"/>
        <v>237.27730098868713</v>
      </c>
      <c r="R492">
        <f t="shared" si="384"/>
        <v>1.566581836170799</v>
      </c>
      <c r="S492">
        <f t="shared" si="385"/>
        <v>0.14745868539004139</v>
      </c>
      <c r="T492">
        <f t="shared" si="386"/>
        <v>-1.4227979519306053</v>
      </c>
      <c r="U492">
        <f t="shared" si="387"/>
        <v>0.1455794488091943</v>
      </c>
      <c r="V492">
        <f t="shared" si="388"/>
        <v>-1.4246976910898359</v>
      </c>
      <c r="X492">
        <f t="shared" si="405"/>
        <v>-65.608038801605119</v>
      </c>
      <c r="Y492">
        <f t="shared" si="389"/>
        <v>-243.82579827516031</v>
      </c>
      <c r="Z492">
        <f t="shared" si="406"/>
        <v>-63.825798275160309</v>
      </c>
      <c r="AC492">
        <v>1</v>
      </c>
      <c r="AD492">
        <f t="shared" si="390"/>
        <v>272.96952960658501</v>
      </c>
      <c r="AE492">
        <f t="shared" si="391"/>
        <v>-0.28608170504677122</v>
      </c>
      <c r="AF492">
        <f t="shared" si="392"/>
        <v>4.2096084872940004E-2</v>
      </c>
      <c r="AG492">
        <f t="shared" si="421"/>
        <v>134.00574765999744</v>
      </c>
      <c r="AH492">
        <f t="shared" si="422"/>
        <v>-934.44777335874278</v>
      </c>
      <c r="AJ492">
        <f t="shared" si="393"/>
        <v>26400</v>
      </c>
      <c r="AK492">
        <f t="shared" si="394"/>
        <v>177076.0456464384</v>
      </c>
      <c r="AL492">
        <v>1</v>
      </c>
      <c r="AM492">
        <f t="shared" si="395"/>
        <v>237.27519374025601</v>
      </c>
      <c r="AN492">
        <f t="shared" si="423"/>
        <v>746.74540938935274</v>
      </c>
      <c r="AO492">
        <f t="shared" si="424"/>
        <v>-108.11604106703686</v>
      </c>
      <c r="AQ492">
        <f t="shared" si="396"/>
        <v>1.2939287182432693E-3</v>
      </c>
      <c r="AR492">
        <f t="shared" si="397"/>
        <v>-3.5971218367162883</v>
      </c>
      <c r="AT492">
        <f t="shared" si="418"/>
        <v>-3361.1490969343399</v>
      </c>
      <c r="AU492">
        <f t="shared" si="419"/>
        <v>-483.24410996291681</v>
      </c>
      <c r="AV492">
        <f t="shared" si="407"/>
        <v>-2.9987977018298397</v>
      </c>
      <c r="AW492">
        <f t="shared" si="408"/>
        <v>492.21043456911963</v>
      </c>
      <c r="AX492">
        <f t="shared" si="409"/>
        <v>-4174.0146499501607</v>
      </c>
      <c r="AY492">
        <f t="shared" si="417"/>
        <v>-1.4534158646601991</v>
      </c>
      <c r="BA492">
        <f t="shared" si="398"/>
        <v>0.80793769109584834</v>
      </c>
      <c r="BB492">
        <f t="shared" si="410"/>
        <v>-1.8524426225449542</v>
      </c>
      <c r="BC492">
        <f t="shared" si="411"/>
        <v>-1.5453818371696406</v>
      </c>
      <c r="BD492">
        <f t="shared" si="399"/>
        <v>-268.54385710716991</v>
      </c>
      <c r="BF492">
        <f t="shared" si="400"/>
        <v>-69.40644291476508</v>
      </c>
      <c r="BG492">
        <f t="shared" si="401"/>
        <v>-258.76880320990756</v>
      </c>
      <c r="BH492">
        <f t="shared" si="412"/>
        <v>-78.76880320990756</v>
      </c>
      <c r="BI492">
        <f t="shared" si="413"/>
        <v>-78.76880320990756</v>
      </c>
      <c r="BJ492">
        <f t="shared" si="402"/>
        <v>0</v>
      </c>
      <c r="BK492">
        <f t="shared" si="414"/>
        <v>0</v>
      </c>
      <c r="BM492">
        <f t="shared" si="415"/>
        <v>-67.554000292220138</v>
      </c>
      <c r="BN492">
        <f t="shared" si="403"/>
        <v>-170.22494610273762</v>
      </c>
      <c r="BQ492" s="56">
        <f t="shared" si="416"/>
        <v>15.049518177740183</v>
      </c>
    </row>
    <row r="493" spans="1:69" x14ac:dyDescent="0.2">
      <c r="A493">
        <f t="shared" si="420"/>
        <v>1395000</v>
      </c>
      <c r="B493">
        <f t="shared" si="404"/>
        <v>1395</v>
      </c>
      <c r="C493">
        <f t="shared" si="373"/>
        <v>1.0146494327284092</v>
      </c>
      <c r="D493">
        <f t="shared" si="374"/>
        <v>0.17013407642038059</v>
      </c>
      <c r="F493">
        <f t="shared" si="375"/>
        <v>2.7341249590737094E-5</v>
      </c>
      <c r="G493">
        <f t="shared" si="376"/>
        <v>1.0671212159648362E-3</v>
      </c>
      <c r="H493">
        <f t="shared" si="377"/>
        <v>-3.1405255287840355</v>
      </c>
      <c r="J493">
        <f t="shared" si="378"/>
        <v>15</v>
      </c>
      <c r="M493">
        <f t="shared" si="379"/>
        <v>8.9659220632774676E-4</v>
      </c>
      <c r="N493">
        <f t="shared" si="380"/>
        <v>-1.5707963250000001</v>
      </c>
      <c r="O493">
        <f t="shared" si="381"/>
        <v>273.95325952428135</v>
      </c>
      <c r="P493">
        <f t="shared" si="382"/>
        <v>1.5671460609704269</v>
      </c>
      <c r="Q493">
        <f t="shared" si="383"/>
        <v>238.13080132704408</v>
      </c>
      <c r="R493">
        <f t="shared" si="384"/>
        <v>1.5665969416940508</v>
      </c>
      <c r="S493">
        <f t="shared" si="385"/>
        <v>0.14694159155504957</v>
      </c>
      <c r="T493">
        <f t="shared" si="386"/>
        <v>-1.4233207406516513</v>
      </c>
      <c r="U493">
        <f t="shared" si="387"/>
        <v>0.14506865903260352</v>
      </c>
      <c r="V493">
        <f t="shared" si="388"/>
        <v>-1.425213961542217</v>
      </c>
      <c r="X493">
        <f t="shared" si="405"/>
        <v>-65.699380472387787</v>
      </c>
      <c r="Y493">
        <f t="shared" si="389"/>
        <v>-243.84966199890619</v>
      </c>
      <c r="Z493">
        <f t="shared" si="406"/>
        <v>-63.849661998906186</v>
      </c>
      <c r="AC493">
        <v>1</v>
      </c>
      <c r="AD493">
        <f t="shared" si="390"/>
        <v>273.95143438934252</v>
      </c>
      <c r="AE493">
        <f t="shared" si="391"/>
        <v>-0.28814354850351581</v>
      </c>
      <c r="AF493">
        <f t="shared" si="392"/>
        <v>4.2247509638670001E-2</v>
      </c>
      <c r="AG493">
        <f t="shared" si="421"/>
        <v>133.06703433868273</v>
      </c>
      <c r="AH493">
        <f t="shared" si="422"/>
        <v>-931.23613201513592</v>
      </c>
      <c r="AJ493">
        <f t="shared" si="393"/>
        <v>26400</v>
      </c>
      <c r="AK493">
        <f t="shared" si="394"/>
        <v>177713.00983941121</v>
      </c>
      <c r="AL493">
        <v>1</v>
      </c>
      <c r="AM493">
        <f t="shared" si="395"/>
        <v>238.12870163140803</v>
      </c>
      <c r="AN493">
        <f t="shared" si="423"/>
        <v>746.74214894398301</v>
      </c>
      <c r="AO493">
        <f t="shared" si="424"/>
        <v>-107.72854206698651</v>
      </c>
      <c r="AQ493">
        <f t="shared" si="396"/>
        <v>1.2846698674644638E-3</v>
      </c>
      <c r="AR493">
        <f t="shared" si="397"/>
        <v>-3.5842289302258541</v>
      </c>
      <c r="AT493">
        <f t="shared" si="418"/>
        <v>-3337.5925380309054</v>
      </c>
      <c r="AU493">
        <f t="shared" si="419"/>
        <v>-478.13904513435779</v>
      </c>
      <c r="AV493">
        <f t="shared" si="407"/>
        <v>-2.9993021312378634</v>
      </c>
      <c r="AW493">
        <f t="shared" si="408"/>
        <v>494.04852605362152</v>
      </c>
      <c r="AX493">
        <f t="shared" si="409"/>
        <v>-4159.1781258591227</v>
      </c>
      <c r="AY493">
        <f t="shared" si="417"/>
        <v>-1.4525651937870292</v>
      </c>
      <c r="BA493">
        <f t="shared" si="398"/>
        <v>0.8049977945652933</v>
      </c>
      <c r="BB493">
        <f t="shared" si="410"/>
        <v>-1.8841061891503406</v>
      </c>
      <c r="BC493">
        <f t="shared" si="411"/>
        <v>-1.5467369374508342</v>
      </c>
      <c r="BD493">
        <f t="shared" si="399"/>
        <v>-268.62149863418801</v>
      </c>
      <c r="BF493">
        <f t="shared" si="400"/>
        <v>-69.499593480804137</v>
      </c>
      <c r="BG493">
        <f t="shared" si="401"/>
        <v>-258.81239255083176</v>
      </c>
      <c r="BH493">
        <f t="shared" si="412"/>
        <v>-78.81239255083176</v>
      </c>
      <c r="BI493">
        <f t="shared" si="413"/>
        <v>-78.81239255083176</v>
      </c>
      <c r="BJ493">
        <f t="shared" si="402"/>
        <v>0</v>
      </c>
      <c r="BK493">
        <f t="shared" si="414"/>
        <v>0</v>
      </c>
      <c r="BM493">
        <f t="shared" si="415"/>
        <v>-67.615487291653793</v>
      </c>
      <c r="BN493">
        <f t="shared" si="403"/>
        <v>-170.19089391664377</v>
      </c>
      <c r="BQ493" s="56">
        <f t="shared" si="416"/>
        <v>15.017854611134796</v>
      </c>
    </row>
    <row r="494" spans="1:69" x14ac:dyDescent="0.2">
      <c r="A494">
        <f t="shared" si="420"/>
        <v>1400000</v>
      </c>
      <c r="B494">
        <f t="shared" si="404"/>
        <v>1400</v>
      </c>
      <c r="C494">
        <f t="shared" si="373"/>
        <v>1.0147538699554546</v>
      </c>
      <c r="D494">
        <f t="shared" si="374"/>
        <v>0.17073211504812399</v>
      </c>
      <c r="F494">
        <f t="shared" si="375"/>
        <v>2.7146298506386778E-5</v>
      </c>
      <c r="G494">
        <f t="shared" si="376"/>
        <v>1.0633098642376377E-3</v>
      </c>
      <c r="H494">
        <f t="shared" si="377"/>
        <v>-3.1405293401357626</v>
      </c>
      <c r="J494">
        <f t="shared" si="378"/>
        <v>15</v>
      </c>
      <c r="M494">
        <f t="shared" si="379"/>
        <v>8.9339009130514767E-4</v>
      </c>
      <c r="N494">
        <f t="shared" si="380"/>
        <v>-1.5707963250000001</v>
      </c>
      <c r="O494">
        <f t="shared" si="381"/>
        <v>274.93515778874297</v>
      </c>
      <c r="P494">
        <f t="shared" si="382"/>
        <v>1.5671590975189016</v>
      </c>
      <c r="Q494">
        <f t="shared" si="383"/>
        <v>238.98430171934888</v>
      </c>
      <c r="R494">
        <f t="shared" si="384"/>
        <v>1.5666119393226039</v>
      </c>
      <c r="S494">
        <f t="shared" si="385"/>
        <v>0.14642807203487726</v>
      </c>
      <c r="T494">
        <f t="shared" si="386"/>
        <v>-1.4238398755147708</v>
      </c>
      <c r="U494">
        <f t="shared" si="387"/>
        <v>0.14456140297834863</v>
      </c>
      <c r="V494">
        <f t="shared" si="388"/>
        <v>-1.4257266216839934</v>
      </c>
      <c r="X494">
        <f t="shared" si="405"/>
        <v>-65.790398412485189</v>
      </c>
      <c r="Y494">
        <f t="shared" si="389"/>
        <v>-243.87312654302318</v>
      </c>
      <c r="Z494">
        <f t="shared" si="406"/>
        <v>-63.873126543023176</v>
      </c>
      <c r="AC494">
        <v>1</v>
      </c>
      <c r="AD494">
        <f t="shared" si="390"/>
        <v>274.93333917209998</v>
      </c>
      <c r="AE494">
        <f t="shared" si="391"/>
        <v>-0.29021279534789685</v>
      </c>
      <c r="AF494">
        <f t="shared" si="392"/>
        <v>4.2398934404399999E-2</v>
      </c>
      <c r="AG494">
        <f t="shared" si="421"/>
        <v>132.13808044132833</v>
      </c>
      <c r="AH494">
        <f t="shared" si="422"/>
        <v>-928.04600515384072</v>
      </c>
      <c r="AJ494">
        <f t="shared" si="393"/>
        <v>26400</v>
      </c>
      <c r="AK494">
        <f t="shared" si="394"/>
        <v>178349.97403238399</v>
      </c>
      <c r="AL494">
        <v>1</v>
      </c>
      <c r="AM494">
        <f t="shared" si="395"/>
        <v>238.98220952256003</v>
      </c>
      <c r="AN494">
        <f t="shared" si="423"/>
        <v>746.73892336872291</v>
      </c>
      <c r="AO494">
        <f t="shared" si="424"/>
        <v>-107.34381077102562</v>
      </c>
      <c r="AQ494">
        <f t="shared" si="396"/>
        <v>1.2755100413890253E-3</v>
      </c>
      <c r="AR494">
        <f t="shared" si="397"/>
        <v>-3.5714281158892711</v>
      </c>
      <c r="AT494">
        <f t="shared" si="418"/>
        <v>-3314.2810521966931</v>
      </c>
      <c r="AU494">
        <f t="shared" si="419"/>
        <v>-473.10538766624285</v>
      </c>
      <c r="AV494">
        <f t="shared" si="407"/>
        <v>-2.9998030349129268</v>
      </c>
      <c r="AW494">
        <f t="shared" si="408"/>
        <v>495.86668117622003</v>
      </c>
      <c r="AX494">
        <f t="shared" si="409"/>
        <v>-4144.4462950736788</v>
      </c>
      <c r="AY494">
        <f t="shared" si="417"/>
        <v>-1.4517163283493228</v>
      </c>
      <c r="BA494">
        <f t="shared" si="398"/>
        <v>0.80207809212542025</v>
      </c>
      <c r="BB494">
        <f t="shared" si="410"/>
        <v>-1.9156669154120607</v>
      </c>
      <c r="BC494">
        <f t="shared" si="411"/>
        <v>-1.5480867065636039</v>
      </c>
      <c r="BD494">
        <f t="shared" si="399"/>
        <v>-268.69883470775522</v>
      </c>
      <c r="BF494">
        <f t="shared" si="400"/>
        <v>-69.592415001642337</v>
      </c>
      <c r="BG494">
        <f t="shared" si="401"/>
        <v>-258.85568190937283</v>
      </c>
      <c r="BH494">
        <f t="shared" si="412"/>
        <v>-78.855681909372834</v>
      </c>
      <c r="BI494">
        <f t="shared" si="413"/>
        <v>-78.855681909372834</v>
      </c>
      <c r="BJ494">
        <f t="shared" si="402"/>
        <v>0</v>
      </c>
      <c r="BK494">
        <f t="shared" si="414"/>
        <v>0</v>
      </c>
      <c r="BM494">
        <f t="shared" si="415"/>
        <v>-67.676748086230276</v>
      </c>
      <c r="BN494">
        <f t="shared" si="403"/>
        <v>-170.15684720161761</v>
      </c>
      <c r="BQ494" s="56">
        <f t="shared" si="416"/>
        <v>14.986293884873076</v>
      </c>
    </row>
    <row r="495" spans="1:69" x14ac:dyDescent="0.2">
      <c r="A495">
        <f t="shared" si="420"/>
        <v>1405000</v>
      </c>
      <c r="B495">
        <f t="shared" si="404"/>
        <v>1405</v>
      </c>
      <c r="C495">
        <f t="shared" si="373"/>
        <v>1.0148586700346531</v>
      </c>
      <c r="D495">
        <f t="shared" si="374"/>
        <v>0.17133003037593397</v>
      </c>
      <c r="F495">
        <f t="shared" si="375"/>
        <v>2.6953425117983233E-5</v>
      </c>
      <c r="G495">
        <f t="shared" si="376"/>
        <v>1.0595256417409934E-3</v>
      </c>
      <c r="H495">
        <f t="shared" si="377"/>
        <v>-3.1405331243582593</v>
      </c>
      <c r="J495">
        <f t="shared" si="378"/>
        <v>15</v>
      </c>
      <c r="M495">
        <f t="shared" si="379"/>
        <v>8.90210767136802E-4</v>
      </c>
      <c r="N495">
        <f t="shared" si="380"/>
        <v>-1.5707963250000001</v>
      </c>
      <c r="O495">
        <f t="shared" si="381"/>
        <v>275.91705609959774</v>
      </c>
      <c r="P495">
        <f t="shared" si="382"/>
        <v>1.5671720412817773</v>
      </c>
      <c r="Q495">
        <f t="shared" si="383"/>
        <v>239.83780216502552</v>
      </c>
      <c r="R495">
        <f t="shared" si="384"/>
        <v>1.5666268302083322</v>
      </c>
      <c r="S495">
        <f t="shared" si="385"/>
        <v>0.14591809031242065</v>
      </c>
      <c r="T495">
        <f t="shared" si="386"/>
        <v>-1.4243553944157987</v>
      </c>
      <c r="U495">
        <f t="shared" si="387"/>
        <v>0.14405764450265876</v>
      </c>
      <c r="V495">
        <f t="shared" si="388"/>
        <v>-1.4262357089872213</v>
      </c>
      <c r="X495">
        <f t="shared" si="405"/>
        <v>-65.881094814640662</v>
      </c>
      <c r="Y495">
        <f t="shared" si="389"/>
        <v>-243.89619614151511</v>
      </c>
      <c r="Z495">
        <f t="shared" si="406"/>
        <v>-63.896196141515105</v>
      </c>
      <c r="AC495">
        <v>1</v>
      </c>
      <c r="AD495">
        <f t="shared" si="390"/>
        <v>275.91524395485749</v>
      </c>
      <c r="AE495">
        <f t="shared" si="391"/>
        <v>-0.29228944557991438</v>
      </c>
      <c r="AF495">
        <f t="shared" si="392"/>
        <v>4.2550359170130003E-2</v>
      </c>
      <c r="AG495">
        <f t="shared" si="421"/>
        <v>131.21875211892979</v>
      </c>
      <c r="AH495">
        <f t="shared" si="422"/>
        <v>-924.87718256809183</v>
      </c>
      <c r="AJ495">
        <f t="shared" si="393"/>
        <v>26400</v>
      </c>
      <c r="AK495">
        <f t="shared" si="394"/>
        <v>178986.9382253568</v>
      </c>
      <c r="AL495">
        <v>1</v>
      </c>
      <c r="AM495">
        <f t="shared" si="395"/>
        <v>239.83571741371205</v>
      </c>
      <c r="AN495">
        <f t="shared" si="423"/>
        <v>746.73573216809905</v>
      </c>
      <c r="AO495">
        <f t="shared" si="424"/>
        <v>-106.96181763277781</v>
      </c>
      <c r="AQ495">
        <f t="shared" si="396"/>
        <v>1.2664478329241229E-3</v>
      </c>
      <c r="AR495">
        <f t="shared" si="397"/>
        <v>-3.5587184105167853</v>
      </c>
      <c r="AT495">
        <f t="shared" si="418"/>
        <v>-3291.2112753677025</v>
      </c>
      <c r="AU495">
        <f t="shared" si="419"/>
        <v>-468.14189767425819</v>
      </c>
      <c r="AV495">
        <f t="shared" si="407"/>
        <v>-3.000300449424139</v>
      </c>
      <c r="AW495">
        <f t="shared" si="408"/>
        <v>497.66518800666222</v>
      </c>
      <c r="AX495">
        <f t="shared" si="409"/>
        <v>-4129.8180573232985</v>
      </c>
      <c r="AY495">
        <f t="shared" si="417"/>
        <v>-1.4508692501415554</v>
      </c>
      <c r="BA495">
        <f t="shared" si="398"/>
        <v>0.79917837568996875</v>
      </c>
      <c r="BB495">
        <f t="shared" si="410"/>
        <v>-1.947125516802052</v>
      </c>
      <c r="BC495">
        <f t="shared" si="411"/>
        <v>-1.5494311992825835</v>
      </c>
      <c r="BD495">
        <f t="shared" si="399"/>
        <v>-268.77586846622683</v>
      </c>
      <c r="BF495">
        <f t="shared" si="400"/>
        <v>-69.684909786151508</v>
      </c>
      <c r="BG495">
        <f t="shared" si="401"/>
        <v>-258.89867446299365</v>
      </c>
      <c r="BH495">
        <f t="shared" si="412"/>
        <v>-78.898674462993654</v>
      </c>
      <c r="BI495">
        <f t="shared" si="413"/>
        <v>-78.898674462993654</v>
      </c>
      <c r="BJ495">
        <f t="shared" si="402"/>
        <v>0</v>
      </c>
      <c r="BK495">
        <f t="shared" si="414"/>
        <v>0</v>
      </c>
      <c r="BM495">
        <f t="shared" si="415"/>
        <v>-67.737784269349447</v>
      </c>
      <c r="BN495">
        <f t="shared" si="403"/>
        <v>-170.1228059967668</v>
      </c>
      <c r="BQ495" s="56">
        <f t="shared" si="416"/>
        <v>14.954835283483085</v>
      </c>
    </row>
    <row r="496" spans="1:69" x14ac:dyDescent="0.2">
      <c r="A496">
        <f t="shared" si="420"/>
        <v>1410000</v>
      </c>
      <c r="B496">
        <f t="shared" si="404"/>
        <v>1410</v>
      </c>
      <c r="C496">
        <f t="shared" si="373"/>
        <v>1.0149638328536055</v>
      </c>
      <c r="D496">
        <f t="shared" si="374"/>
        <v>0.17192782201455822</v>
      </c>
      <c r="F496">
        <f t="shared" si="375"/>
        <v>2.6762600005687278E-5</v>
      </c>
      <c r="G496">
        <f t="shared" si="376"/>
        <v>1.0557682598354213E-3</v>
      </c>
      <c r="H496">
        <f t="shared" si="377"/>
        <v>-3.1405368817401649</v>
      </c>
      <c r="J496">
        <f t="shared" si="378"/>
        <v>15</v>
      </c>
      <c r="M496">
        <f t="shared" si="379"/>
        <v>8.8705399136681314E-4</v>
      </c>
      <c r="N496">
        <f t="shared" si="380"/>
        <v>-1.5707963250000001</v>
      </c>
      <c r="O496">
        <f t="shared" si="381"/>
        <v>276.89895445635204</v>
      </c>
      <c r="P496">
        <f t="shared" si="382"/>
        <v>1.5671848932461181</v>
      </c>
      <c r="Q496">
        <f t="shared" si="383"/>
        <v>240.69130266350629</v>
      </c>
      <c r="R496">
        <f t="shared" si="384"/>
        <v>1.5666416154867713</v>
      </c>
      <c r="S496">
        <f t="shared" si="385"/>
        <v>0.1454116103605011</v>
      </c>
      <c r="T496">
        <f t="shared" si="386"/>
        <v>-1.4248673347321745</v>
      </c>
      <c r="U496">
        <f t="shared" si="387"/>
        <v>0.14355734794739528</v>
      </c>
      <c r="V496">
        <f t="shared" si="388"/>
        <v>-1.4267412604108771</v>
      </c>
      <c r="X496">
        <f t="shared" si="405"/>
        <v>-65.971471849562406</v>
      </c>
      <c r="Y496">
        <f t="shared" si="389"/>
        <v>-243.91887497076945</v>
      </c>
      <c r="Z496">
        <f t="shared" si="406"/>
        <v>-63.918874970769451</v>
      </c>
      <c r="AC496">
        <v>1</v>
      </c>
      <c r="AD496">
        <f t="shared" si="390"/>
        <v>276.897148737615</v>
      </c>
      <c r="AE496">
        <f t="shared" si="391"/>
        <v>-0.29437349919956829</v>
      </c>
      <c r="AF496">
        <f t="shared" si="392"/>
        <v>4.2701783935860001E-2</v>
      </c>
      <c r="AG496">
        <f t="shared" si="421"/>
        <v>130.30891779244357</v>
      </c>
      <c r="AH496">
        <f t="shared" si="422"/>
        <v>-921.7294567035002</v>
      </c>
      <c r="AJ496">
        <f t="shared" si="393"/>
        <v>26400</v>
      </c>
      <c r="AK496">
        <f t="shared" si="394"/>
        <v>179623.90241832961</v>
      </c>
      <c r="AL496">
        <v>1</v>
      </c>
      <c r="AM496">
        <f t="shared" si="395"/>
        <v>240.68922530486401</v>
      </c>
      <c r="AN496">
        <f t="shared" si="423"/>
        <v>746.73257485540807</v>
      </c>
      <c r="AO496">
        <f t="shared" si="424"/>
        <v>-106.5825335249279</v>
      </c>
      <c r="AQ496">
        <f t="shared" si="396"/>
        <v>1.2574818598810598E-3</v>
      </c>
      <c r="AR496">
        <f t="shared" si="397"/>
        <v>-3.5460988448645887</v>
      </c>
      <c r="AT496">
        <f t="shared" si="418"/>
        <v>-3268.3799005936426</v>
      </c>
      <c r="AU496">
        <f t="shared" si="419"/>
        <v>-463.24736093086148</v>
      </c>
      <c r="AV496">
        <f t="shared" si="407"/>
        <v>-3.0007944108403382</v>
      </c>
      <c r="AW496">
        <f t="shared" si="408"/>
        <v>499.44432941802557</v>
      </c>
      <c r="AX496">
        <f t="shared" si="409"/>
        <v>-4115.2923276506208</v>
      </c>
      <c r="AY496">
        <f t="shared" si="417"/>
        <v>-1.4500239412370584</v>
      </c>
      <c r="BA496">
        <f t="shared" si="398"/>
        <v>0.79629843999829442</v>
      </c>
      <c r="BB496">
        <f t="shared" si="410"/>
        <v>-1.9784827016948234</v>
      </c>
      <c r="BC496">
        <f t="shared" si="411"/>
        <v>-1.5507704696032798</v>
      </c>
      <c r="BD496">
        <f t="shared" si="399"/>
        <v>-268.85260300331754</v>
      </c>
      <c r="BF496">
        <f t="shared" si="400"/>
        <v>-69.777080119148692</v>
      </c>
      <c r="BG496">
        <f t="shared" si="401"/>
        <v>-258.94137334424926</v>
      </c>
      <c r="BH496">
        <f t="shared" si="412"/>
        <v>-78.941373344249257</v>
      </c>
      <c r="BI496">
        <f t="shared" si="413"/>
        <v>-78.941373344249257</v>
      </c>
      <c r="BJ496">
        <f t="shared" si="402"/>
        <v>0</v>
      </c>
      <c r="BK496">
        <f t="shared" si="414"/>
        <v>0</v>
      </c>
      <c r="BM496">
        <f t="shared" si="415"/>
        <v>-67.798597417453863</v>
      </c>
      <c r="BN496">
        <f t="shared" si="403"/>
        <v>-170.08877034093175</v>
      </c>
      <c r="BQ496" s="56">
        <f t="shared" si="416"/>
        <v>14.923478098590316</v>
      </c>
    </row>
    <row r="497" spans="1:69" x14ac:dyDescent="0.2">
      <c r="A497">
        <f t="shared" si="420"/>
        <v>1415000</v>
      </c>
      <c r="B497">
        <f t="shared" si="404"/>
        <v>1415</v>
      </c>
      <c r="C497">
        <f t="shared" si="373"/>
        <v>1.0150693582995705</v>
      </c>
      <c r="D497">
        <f t="shared" si="374"/>
        <v>0.17252548957525907</v>
      </c>
      <c r="F497">
        <f t="shared" si="375"/>
        <v>2.657379426855205E-5</v>
      </c>
      <c r="G497">
        <f t="shared" si="376"/>
        <v>1.052037433961688E-3</v>
      </c>
      <c r="H497">
        <f t="shared" si="377"/>
        <v>-3.1405406125660384</v>
      </c>
      <c r="J497">
        <f t="shared" si="378"/>
        <v>15</v>
      </c>
      <c r="M497">
        <f t="shared" si="379"/>
        <v>8.8391952496622375E-4</v>
      </c>
      <c r="N497">
        <f t="shared" si="380"/>
        <v>-1.5707963250000001</v>
      </c>
      <c r="O497">
        <f t="shared" si="381"/>
        <v>277.88085285851935</v>
      </c>
      <c r="P497">
        <f t="shared" si="382"/>
        <v>1.5671976543850361</v>
      </c>
      <c r="Q497">
        <f t="shared" si="383"/>
        <v>241.54480321423139</v>
      </c>
      <c r="R497">
        <f t="shared" si="384"/>
        <v>1.5666562962774075</v>
      </c>
      <c r="S497">
        <f t="shared" si="385"/>
        <v>0.14490859663377859</v>
      </c>
      <c r="T497">
        <f t="shared" si="386"/>
        <v>-1.425375733331709</v>
      </c>
      <c r="U497">
        <f t="shared" si="387"/>
        <v>0.143060478132021</v>
      </c>
      <c r="V497">
        <f t="shared" si="388"/>
        <v>-1.4272433124095456</v>
      </c>
      <c r="X497">
        <f t="shared" si="405"/>
        <v>-66.061531666213568</v>
      </c>
      <c r="Y497">
        <f t="shared" si="389"/>
        <v>-243.94116715052991</v>
      </c>
      <c r="Z497">
        <f t="shared" si="406"/>
        <v>-63.941167150529907</v>
      </c>
      <c r="AC497">
        <v>1</v>
      </c>
      <c r="AD497">
        <f t="shared" si="390"/>
        <v>277.87905352037251</v>
      </c>
      <c r="AE497">
        <f t="shared" si="391"/>
        <v>-0.29646495620685859</v>
      </c>
      <c r="AF497">
        <f t="shared" si="392"/>
        <v>4.2853208701589998E-2</v>
      </c>
      <c r="AG497">
        <f t="shared" si="421"/>
        <v>129.40844810709788</v>
      </c>
      <c r="AH497">
        <f t="shared" si="422"/>
        <v>-918.60262261779553</v>
      </c>
      <c r="AJ497">
        <f t="shared" si="393"/>
        <v>26400</v>
      </c>
      <c r="AK497">
        <f t="shared" si="394"/>
        <v>180260.86661130242</v>
      </c>
      <c r="AL497">
        <v>1</v>
      </c>
      <c r="AM497">
        <f t="shared" si="395"/>
        <v>241.54273319601603</v>
      </c>
      <c r="AN497">
        <f t="shared" si="423"/>
        <v>746.72945095252896</v>
      </c>
      <c r="AO497">
        <f t="shared" si="424"/>
        <v>-106.20592973181854</v>
      </c>
      <c r="AQ497">
        <f t="shared" si="396"/>
        <v>1.2486107644482057E-3</v>
      </c>
      <c r="AR497">
        <f t="shared" si="397"/>
        <v>-3.5335684633884226</v>
      </c>
      <c r="AT497">
        <f t="shared" si="418"/>
        <v>-3245.7836768868219</v>
      </c>
      <c r="AU497">
        <f t="shared" si="419"/>
        <v>-458.42058825012924</v>
      </c>
      <c r="AV497">
        <f t="shared" si="407"/>
        <v>-3.0012849547385501</v>
      </c>
      <c r="AW497">
        <f t="shared" si="408"/>
        <v>501.20438319902973</v>
      </c>
      <c r="AX497">
        <f t="shared" si="409"/>
        <v>-4100.8680361467495</v>
      </c>
      <c r="AY497">
        <f t="shared" si="417"/>
        <v>-1.4491803839827795</v>
      </c>
      <c r="BA497">
        <f t="shared" si="398"/>
        <v>0.79343808256811588</v>
      </c>
      <c r="BB497">
        <f t="shared" si="410"/>
        <v>-2.0097391714578965</v>
      </c>
      <c r="BC497">
        <f t="shared" si="411"/>
        <v>-1.5521045707557706</v>
      </c>
      <c r="BD497">
        <f t="shared" si="399"/>
        <v>-268.92904136888615</v>
      </c>
      <c r="BF497">
        <f t="shared" si="400"/>
        <v>-69.868928261726865</v>
      </c>
      <c r="BG497">
        <f t="shared" si="401"/>
        <v>-258.9837816415756</v>
      </c>
      <c r="BH497">
        <f t="shared" si="412"/>
        <v>-78.983781641575604</v>
      </c>
      <c r="BI497">
        <f t="shared" si="413"/>
        <v>-78.983781641575604</v>
      </c>
      <c r="BJ497">
        <f t="shared" si="402"/>
        <v>0</v>
      </c>
      <c r="BK497">
        <f t="shared" si="414"/>
        <v>0</v>
      </c>
      <c r="BM497">
        <f t="shared" si="415"/>
        <v>-67.859189090268956</v>
      </c>
      <c r="BN497">
        <f t="shared" si="403"/>
        <v>-170.05474027268946</v>
      </c>
      <c r="BQ497" s="56">
        <f t="shared" si="416"/>
        <v>14.89222162882724</v>
      </c>
    </row>
    <row r="498" spans="1:69" x14ac:dyDescent="0.2">
      <c r="A498">
        <f t="shared" si="420"/>
        <v>1420000</v>
      </c>
      <c r="B498">
        <f t="shared" si="404"/>
        <v>1420</v>
      </c>
      <c r="C498">
        <f t="shared" si="373"/>
        <v>1.0151752462594652</v>
      </c>
      <c r="D498">
        <f t="shared" si="374"/>
        <v>0.17312303266981466</v>
      </c>
      <c r="F498">
        <f t="shared" si="375"/>
        <v>2.6386979513579179E-5</v>
      </c>
      <c r="G498">
        <f t="shared" si="376"/>
        <v>1.0483328835689623E-3</v>
      </c>
      <c r="H498">
        <f t="shared" si="377"/>
        <v>-3.1405443171164311</v>
      </c>
      <c r="J498">
        <f t="shared" si="378"/>
        <v>15</v>
      </c>
      <c r="M498">
        <f t="shared" si="379"/>
        <v>8.8080713227268071E-4</v>
      </c>
      <c r="N498">
        <f t="shared" si="380"/>
        <v>-1.5707963250000001</v>
      </c>
      <c r="O498">
        <f t="shared" si="381"/>
        <v>278.86275130561989</v>
      </c>
      <c r="P498">
        <f t="shared" si="382"/>
        <v>1.5672103256579384</v>
      </c>
      <c r="Q498">
        <f t="shared" si="383"/>
        <v>242.39830381664902</v>
      </c>
      <c r="R498">
        <f t="shared" si="384"/>
        <v>1.5666708736839599</v>
      </c>
      <c r="S498">
        <f t="shared" si="385"/>
        <v>0.14440901406082302</v>
      </c>
      <c r="T498">
        <f t="shared" si="386"/>
        <v>-1.4258806265811765</v>
      </c>
      <c r="U498">
        <f t="shared" si="387"/>
        <v>0.14256700034572678</v>
      </c>
      <c r="V498">
        <f t="shared" si="388"/>
        <v>-1.4277419009419321</v>
      </c>
      <c r="X498">
        <f t="shared" si="405"/>
        <v>-66.151276392097486</v>
      </c>
      <c r="Y498">
        <f t="shared" si="389"/>
        <v>-243.96307674485064</v>
      </c>
      <c r="Z498">
        <f t="shared" si="406"/>
        <v>-63.963076744850639</v>
      </c>
      <c r="AC498">
        <v>1</v>
      </c>
      <c r="AD498">
        <f t="shared" si="390"/>
        <v>278.86095830312996</v>
      </c>
      <c r="AE498">
        <f t="shared" si="391"/>
        <v>-0.29856381660178533</v>
      </c>
      <c r="AF498">
        <f t="shared" si="392"/>
        <v>4.3004633467320003E-2</v>
      </c>
      <c r="AG498">
        <f t="shared" si="421"/>
        <v>128.51721588776431</v>
      </c>
      <c r="AH498">
        <f t="shared" si="422"/>
        <v>-915.49647794126486</v>
      </c>
      <c r="AJ498">
        <f t="shared" si="393"/>
        <v>26400</v>
      </c>
      <c r="AK498">
        <f t="shared" si="394"/>
        <v>180897.8308042752</v>
      </c>
      <c r="AL498">
        <v>1</v>
      </c>
      <c r="AM498">
        <f t="shared" si="395"/>
        <v>242.39624108716802</v>
      </c>
      <c r="AN498">
        <f t="shared" si="423"/>
        <v>746.72635998974386</v>
      </c>
      <c r="AO498">
        <f t="shared" si="424"/>
        <v>-105.83197794220369</v>
      </c>
      <c r="AQ498">
        <f t="shared" si="396"/>
        <v>1.2398332126768979E-3</v>
      </c>
      <c r="AR498">
        <f t="shared" si="397"/>
        <v>-3.52112632400239</v>
      </c>
      <c r="AT498">
        <f t="shared" si="418"/>
        <v>-3223.4194080978027</v>
      </c>
      <c r="AU498">
        <f t="shared" si="419"/>
        <v>-453.66041488934542</v>
      </c>
      <c r="AV498">
        <f t="shared" si="407"/>
        <v>-3.0017721162122823</v>
      </c>
      <c r="AW498">
        <f t="shared" si="408"/>
        <v>502.94562216352176</v>
      </c>
      <c r="AX498">
        <f t="shared" si="409"/>
        <v>-4086.5441276920183</v>
      </c>
      <c r="AY498">
        <f t="shared" si="417"/>
        <v>-1.4483385609941637</v>
      </c>
      <c r="BA498">
        <f t="shared" si="398"/>
        <v>0.79059710364919089</v>
      </c>
      <c r="BB498">
        <f t="shared" si="410"/>
        <v>-2.0408956205409066</v>
      </c>
      <c r="BC498">
        <f t="shared" si="411"/>
        <v>-1.5534335552181187</v>
      </c>
      <c r="BD498">
        <f t="shared" si="399"/>
        <v>-269.00518656970416</v>
      </c>
      <c r="BF498">
        <f t="shared" si="400"/>
        <v>-69.96045645157993</v>
      </c>
      <c r="BG498">
        <f t="shared" si="401"/>
        <v>-259.02590240006202</v>
      </c>
      <c r="BH498">
        <f t="shared" si="412"/>
        <v>-79.025902400062023</v>
      </c>
      <c r="BI498">
        <f t="shared" si="413"/>
        <v>-79.025902400062023</v>
      </c>
      <c r="BJ498">
        <f t="shared" si="402"/>
        <v>0</v>
      </c>
      <c r="BK498">
        <f t="shared" si="414"/>
        <v>0</v>
      </c>
      <c r="BM498">
        <f t="shared" si="415"/>
        <v>-67.919560831039036</v>
      </c>
      <c r="BN498">
        <f t="shared" si="403"/>
        <v>-170.02071583035786</v>
      </c>
      <c r="BQ498" s="56">
        <f t="shared" si="416"/>
        <v>14.86106517974423</v>
      </c>
    </row>
    <row r="499" spans="1:69" x14ac:dyDescent="0.2">
      <c r="A499">
        <f t="shared" si="420"/>
        <v>1425000</v>
      </c>
      <c r="B499">
        <f t="shared" si="404"/>
        <v>1425</v>
      </c>
      <c r="C499">
        <f t="shared" si="373"/>
        <v>1.0152814966198651</v>
      </c>
      <c r="D499">
        <f t="shared" si="374"/>
        <v>0.17372045091052046</v>
      </c>
      <c r="F499">
        <f t="shared" si="375"/>
        <v>2.6202127845043296E-5</v>
      </c>
      <c r="G499">
        <f t="shared" si="376"/>
        <v>1.0446543320444814E-3</v>
      </c>
      <c r="H499">
        <f t="shared" si="377"/>
        <v>-3.1405479956679558</v>
      </c>
      <c r="J499">
        <f t="shared" si="378"/>
        <v>15</v>
      </c>
      <c r="M499">
        <f t="shared" si="379"/>
        <v>8.7771658093137317E-4</v>
      </c>
      <c r="N499">
        <f t="shared" si="380"/>
        <v>-1.5707963250000001</v>
      </c>
      <c r="O499">
        <f t="shared" si="381"/>
        <v>279.84464979718086</v>
      </c>
      <c r="P499">
        <f t="shared" si="382"/>
        <v>1.5672229080107669</v>
      </c>
      <c r="Q499">
        <f t="shared" si="383"/>
        <v>243.25180447021498</v>
      </c>
      <c r="R499">
        <f t="shared" si="384"/>
        <v>1.5666853487946573</v>
      </c>
      <c r="S499">
        <f t="shared" si="385"/>
        <v>0.14391282803633887</v>
      </c>
      <c r="T499">
        <f t="shared" si="386"/>
        <v>-1.4263820503547342</v>
      </c>
      <c r="U499">
        <f t="shared" si="387"/>
        <v>0.14207688033971105</v>
      </c>
      <c r="V499">
        <f t="shared" si="388"/>
        <v>-1.4282370614792053</v>
      </c>
      <c r="X499">
        <f t="shared" si="405"/>
        <v>-66.240708133538561</v>
      </c>
      <c r="Y499">
        <f t="shared" si="389"/>
        <v>-243.98460776303097</v>
      </c>
      <c r="Z499">
        <f t="shared" si="406"/>
        <v>-63.984607763030965</v>
      </c>
      <c r="AC499">
        <v>1</v>
      </c>
      <c r="AD499">
        <f t="shared" si="390"/>
        <v>279.84286308588747</v>
      </c>
      <c r="AE499">
        <f t="shared" si="391"/>
        <v>-0.30067008038434856</v>
      </c>
      <c r="AF499">
        <f t="shared" si="392"/>
        <v>4.315605823305E-2</v>
      </c>
      <c r="AG499">
        <f t="shared" si="421"/>
        <v>127.6350960953623</v>
      </c>
      <c r="AH499">
        <f t="shared" si="422"/>
        <v>-912.41082283788046</v>
      </c>
      <c r="AJ499">
        <f t="shared" si="393"/>
        <v>26400</v>
      </c>
      <c r="AK499">
        <f t="shared" si="394"/>
        <v>181534.79499724801</v>
      </c>
      <c r="AL499">
        <v>1</v>
      </c>
      <c r="AM499">
        <f t="shared" si="395"/>
        <v>243.24974897832004</v>
      </c>
      <c r="AN499">
        <f t="shared" si="423"/>
        <v>746.72330150556127</v>
      </c>
      <c r="AO499">
        <f t="shared" si="424"/>
        <v>-105.46065024215429</v>
      </c>
      <c r="AQ499">
        <f t="shared" si="396"/>
        <v>1.2311478939799453E-3</v>
      </c>
      <c r="AR499">
        <f t="shared" si="397"/>
        <v>-3.5087714978428441</v>
      </c>
      <c r="AT499">
        <f t="shared" si="418"/>
        <v>-3201.2839518171363</v>
      </c>
      <c r="AU499">
        <f t="shared" si="419"/>
        <v>-448.96569996682109</v>
      </c>
      <c r="AV499">
        <f t="shared" si="407"/>
        <v>-3.0022559298796483</v>
      </c>
      <c r="AW499">
        <f t="shared" si="408"/>
        <v>504.66831425721801</v>
      </c>
      <c r="AX499">
        <f t="shared" si="409"/>
        <v>-4072.3195617020783</v>
      </c>
      <c r="AY499">
        <f t="shared" si="417"/>
        <v>-1.4474984551501457</v>
      </c>
      <c r="BA499">
        <f t="shared" si="398"/>
        <v>0.78777530617790925</v>
      </c>
      <c r="BB499">
        <f t="shared" si="410"/>
        <v>-2.0719527365632882</v>
      </c>
      <c r="BC499">
        <f t="shared" si="411"/>
        <v>-1.5547574747295025</v>
      </c>
      <c r="BD499">
        <f t="shared" si="399"/>
        <v>-269.08104157020819</v>
      </c>
      <c r="BF499">
        <f t="shared" si="400"/>
        <v>-70.051666903322314</v>
      </c>
      <c r="BG499">
        <f t="shared" si="401"/>
        <v>-259.06773862220768</v>
      </c>
      <c r="BH499">
        <f t="shared" si="412"/>
        <v>-79.067738622207685</v>
      </c>
      <c r="BI499">
        <f t="shared" si="413"/>
        <v>-79.067738622207685</v>
      </c>
      <c r="BJ499">
        <f t="shared" si="402"/>
        <v>0</v>
      </c>
      <c r="BK499">
        <f t="shared" si="414"/>
        <v>0</v>
      </c>
      <c r="BM499">
        <f t="shared" si="415"/>
        <v>-67.979714166759024</v>
      </c>
      <c r="BN499">
        <f t="shared" si="403"/>
        <v>-169.98669705199953</v>
      </c>
      <c r="BQ499" s="56">
        <f t="shared" si="416"/>
        <v>14.830008063721847</v>
      </c>
    </row>
    <row r="500" spans="1:69" x14ac:dyDescent="0.2">
      <c r="A500">
        <f t="shared" si="420"/>
        <v>1430000</v>
      </c>
      <c r="B500">
        <f t="shared" si="404"/>
        <v>1430</v>
      </c>
      <c r="C500">
        <f t="shared" si="373"/>
        <v>1.0153881092670054</v>
      </c>
      <c r="D500">
        <f t="shared" si="374"/>
        <v>0.17431774391019045</v>
      </c>
      <c r="F500">
        <f t="shared" si="375"/>
        <v>2.6019211854077378E-5</v>
      </c>
      <c r="G500">
        <f t="shared" si="376"/>
        <v>1.0410015066446919E-3</v>
      </c>
      <c r="H500">
        <f t="shared" si="377"/>
        <v>-3.1405516484933553</v>
      </c>
      <c r="J500">
        <f t="shared" si="378"/>
        <v>15</v>
      </c>
      <c r="M500">
        <f t="shared" si="379"/>
        <v>8.746476418372075E-4</v>
      </c>
      <c r="N500">
        <f t="shared" si="380"/>
        <v>-1.5707963250000001</v>
      </c>
      <c r="O500">
        <f t="shared" si="381"/>
        <v>280.82654833273574</v>
      </c>
      <c r="P500">
        <f t="shared" si="382"/>
        <v>1.5672354023762336</v>
      </c>
      <c r="Q500">
        <f t="shared" si="383"/>
        <v>244.10530517439278</v>
      </c>
      <c r="R500">
        <f t="shared" si="384"/>
        <v>1.5666997226825092</v>
      </c>
      <c r="S500">
        <f t="shared" si="385"/>
        <v>0.143420004413541</v>
      </c>
      <c r="T500">
        <f t="shared" si="386"/>
        <v>-1.4268800400421733</v>
      </c>
      <c r="U500">
        <f t="shared" si="387"/>
        <v>0.14159008431960918</v>
      </c>
      <c r="V500">
        <f t="shared" si="388"/>
        <v>-1.4287288290131723</v>
      </c>
      <c r="X500">
        <f t="shared" si="405"/>
        <v>-66.329828975958463</v>
      </c>
      <c r="Y500">
        <f t="shared" si="389"/>
        <v>-244.0057641605311</v>
      </c>
      <c r="Z500">
        <f t="shared" si="406"/>
        <v>-64.005764160531101</v>
      </c>
      <c r="AC500">
        <v>1</v>
      </c>
      <c r="AD500">
        <f t="shared" si="390"/>
        <v>280.82476786864498</v>
      </c>
      <c r="AE500">
        <f t="shared" si="391"/>
        <v>-0.30278374755454812</v>
      </c>
      <c r="AF500">
        <f t="shared" si="392"/>
        <v>4.3307482998779998E-2</v>
      </c>
      <c r="AG500">
        <f t="shared" si="421"/>
        <v>126.76196578426996</v>
      </c>
      <c r="AH500">
        <f t="shared" si="422"/>
        <v>-909.34545996709312</v>
      </c>
      <c r="AJ500">
        <f t="shared" si="393"/>
        <v>26400</v>
      </c>
      <c r="AK500">
        <f t="shared" si="394"/>
        <v>182171.75919022082</v>
      </c>
      <c r="AL500">
        <v>1</v>
      </c>
      <c r="AM500">
        <f t="shared" si="395"/>
        <v>244.10325686947201</v>
      </c>
      <c r="AN500">
        <f t="shared" si="423"/>
        <v>746.72027504654238</v>
      </c>
      <c r="AO500">
        <f t="shared" si="424"/>
        <v>-105.09191910811289</v>
      </c>
      <c r="AQ500">
        <f t="shared" si="396"/>
        <v>1.2225535206423883E-3</v>
      </c>
      <c r="AR500">
        <f t="shared" si="397"/>
        <v>-3.4965030690372307</v>
      </c>
      <c r="AT500">
        <f t="shared" si="418"/>
        <v>-3179.3742183024601</v>
      </c>
      <c r="AU500">
        <f t="shared" si="419"/>
        <v>-444.3353258954553</v>
      </c>
      <c r="AV500">
        <f t="shared" si="407"/>
        <v>-3.0027364298913306</v>
      </c>
      <c r="AW500">
        <f t="shared" si="408"/>
        <v>506.37272266177587</v>
      </c>
      <c r="AX500">
        <f t="shared" si="409"/>
        <v>-4058.1933118791749</v>
      </c>
      <c r="AY500">
        <f t="shared" si="417"/>
        <v>-1.446660049588256</v>
      </c>
      <c r="BA500">
        <f t="shared" si="398"/>
        <v>0.78497249573277239</v>
      </c>
      <c r="BB500">
        <f t="shared" si="410"/>
        <v>-2.1029112004006807</v>
      </c>
      <c r="BC500">
        <f t="shared" si="411"/>
        <v>-1.5560763803030746</v>
      </c>
      <c r="BD500">
        <f t="shared" si="399"/>
        <v>-269.15660929323644</v>
      </c>
      <c r="BF500">
        <f t="shared" si="400"/>
        <v>-70.142561808803009</v>
      </c>
      <c r="BG500">
        <f t="shared" si="401"/>
        <v>-259.10929326866199</v>
      </c>
      <c r="BH500">
        <f t="shared" si="412"/>
        <v>-79.109293268661986</v>
      </c>
      <c r="BI500">
        <f t="shared" si="413"/>
        <v>-79.109293268661986</v>
      </c>
      <c r="BJ500">
        <f t="shared" si="402"/>
        <v>0</v>
      </c>
      <c r="BK500">
        <f t="shared" si="414"/>
        <v>0</v>
      </c>
      <c r="BM500">
        <f t="shared" si="415"/>
        <v>-68.039650608402326</v>
      </c>
      <c r="BN500">
        <f t="shared" si="403"/>
        <v>-169.95268397542554</v>
      </c>
      <c r="BQ500" s="56">
        <f t="shared" si="416"/>
        <v>14.799049599884457</v>
      </c>
    </row>
    <row r="501" spans="1:69" x14ac:dyDescent="0.2">
      <c r="A501">
        <f t="shared" si="420"/>
        <v>1435000</v>
      </c>
      <c r="B501">
        <f t="shared" si="404"/>
        <v>1435</v>
      </c>
      <c r="C501">
        <f t="shared" si="373"/>
        <v>1.0154950840867811</v>
      </c>
      <c r="D501">
        <f t="shared" si="374"/>
        <v>0.17491491128215825</v>
      </c>
      <c r="F501">
        <f t="shared" si="375"/>
        <v>2.5838204608511702E-5</v>
      </c>
      <c r="G501">
        <f t="shared" si="376"/>
        <v>1.0373741384278323E-3</v>
      </c>
      <c r="H501">
        <f t="shared" si="377"/>
        <v>-3.1405552758615722</v>
      </c>
      <c r="J501">
        <f t="shared" si="378"/>
        <v>15</v>
      </c>
      <c r="M501">
        <f t="shared" si="379"/>
        <v>8.7160008907819289E-4</v>
      </c>
      <c r="N501">
        <f t="shared" si="380"/>
        <v>-1.5707963250000001</v>
      </c>
      <c r="O501">
        <f t="shared" si="381"/>
        <v>281.80844691182477</v>
      </c>
      <c r="P501">
        <f t="shared" si="382"/>
        <v>1.5672478096740514</v>
      </c>
      <c r="Q501">
        <f t="shared" si="383"/>
        <v>244.95880592865345</v>
      </c>
      <c r="R501">
        <f t="shared" si="384"/>
        <v>1.5667139964055703</v>
      </c>
      <c r="S501">
        <f t="shared" si="385"/>
        <v>0.14293050949667727</v>
      </c>
      <c r="T501">
        <f t="shared" si="386"/>
        <v>-1.4273746305570076</v>
      </c>
      <c r="U501">
        <f t="shared" si="387"/>
        <v>0.14110657893806935</v>
      </c>
      <c r="V501">
        <f t="shared" si="388"/>
        <v>-1.4292172380642927</v>
      </c>
      <c r="X501">
        <f t="shared" si="405"/>
        <v>-66.418640984147913</v>
      </c>
      <c r="Y501">
        <f t="shared" si="389"/>
        <v>-244.02654983987077</v>
      </c>
      <c r="Z501">
        <f t="shared" si="406"/>
        <v>-64.026549839870768</v>
      </c>
      <c r="AC501">
        <v>1</v>
      </c>
      <c r="AD501">
        <f t="shared" si="390"/>
        <v>281.80667265140249</v>
      </c>
      <c r="AE501">
        <f t="shared" si="391"/>
        <v>-0.30490481811238418</v>
      </c>
      <c r="AF501">
        <f t="shared" si="392"/>
        <v>4.3458907764510002E-2</v>
      </c>
      <c r="AG501">
        <f t="shared" si="421"/>
        <v>125.89770406071401</v>
      </c>
      <c r="AH501">
        <f t="shared" si="422"/>
        <v>-906.30019444628977</v>
      </c>
      <c r="AJ501">
        <f t="shared" si="393"/>
        <v>26400</v>
      </c>
      <c r="AK501">
        <f t="shared" si="394"/>
        <v>182808.7233831936</v>
      </c>
      <c r="AL501">
        <v>1</v>
      </c>
      <c r="AM501">
        <f t="shared" si="395"/>
        <v>244.95676476062403</v>
      </c>
      <c r="AN501">
        <f t="shared" si="423"/>
        <v>746.71728016713428</v>
      </c>
      <c r="AO501">
        <f t="shared" si="424"/>
        <v>-104.72575740009341</v>
      </c>
      <c r="AQ501">
        <f t="shared" si="396"/>
        <v>1.2140488273441675E-3</v>
      </c>
      <c r="AR501">
        <f t="shared" si="397"/>
        <v>-3.4843201344777603</v>
      </c>
      <c r="AT501">
        <f t="shared" si="418"/>
        <v>-3157.6871694303363</v>
      </c>
      <c r="AU501">
        <f t="shared" si="419"/>
        <v>-439.76819783155759</v>
      </c>
      <c r="AV501">
        <f t="shared" si="407"/>
        <v>-3.0032136499383855</v>
      </c>
      <c r="AW501">
        <f t="shared" si="408"/>
        <v>508.05910589627865</v>
      </c>
      <c r="AX501">
        <f t="shared" si="409"/>
        <v>-4044.1643659685205</v>
      </c>
      <c r="AY501">
        <f t="shared" si="417"/>
        <v>-1.4458233276998333</v>
      </c>
      <c r="BA501">
        <f t="shared" si="398"/>
        <v>0.78218848049074796</v>
      </c>
      <c r="BB501">
        <f t="shared" si="410"/>
        <v>-2.1337716862699758</v>
      </c>
      <c r="BC501">
        <f t="shared" si="411"/>
        <v>-1.5573903222385521</v>
      </c>
      <c r="BD501">
        <f t="shared" si="399"/>
        <v>-269.23189262075061</v>
      </c>
      <c r="BF501">
        <f t="shared" si="400"/>
        <v>-70.233143337414504</v>
      </c>
      <c r="BG501">
        <f t="shared" si="401"/>
        <v>-259.15056925895021</v>
      </c>
      <c r="BH501">
        <f t="shared" si="412"/>
        <v>-79.150569258950213</v>
      </c>
      <c r="BI501">
        <f t="shared" si="413"/>
        <v>-79.150569258950213</v>
      </c>
      <c r="BJ501">
        <f t="shared" si="402"/>
        <v>0</v>
      </c>
      <c r="BK501">
        <f t="shared" si="414"/>
        <v>0</v>
      </c>
      <c r="BM501">
        <f t="shared" si="415"/>
        <v>-68.099371651144523</v>
      </c>
      <c r="BN501">
        <f t="shared" si="403"/>
        <v>-169.91867663819957</v>
      </c>
      <c r="BQ501" s="56">
        <f t="shared" si="416"/>
        <v>14.76818911401516</v>
      </c>
    </row>
    <row r="502" spans="1:69" x14ac:dyDescent="0.2">
      <c r="A502">
        <f t="shared" si="420"/>
        <v>1440000</v>
      </c>
      <c r="B502">
        <f t="shared" si="404"/>
        <v>1440</v>
      </c>
      <c r="C502">
        <f t="shared" si="373"/>
        <v>1.0156024209647478</v>
      </c>
      <c r="D502">
        <f t="shared" si="374"/>
        <v>0.17551195264027861</v>
      </c>
      <c r="F502">
        <f t="shared" si="375"/>
        <v>2.5659079642959351E-5</v>
      </c>
      <c r="G502">
        <f t="shared" si="376"/>
        <v>1.03377196218792E-3</v>
      </c>
      <c r="H502">
        <f t="shared" si="377"/>
        <v>-3.1405588780378122</v>
      </c>
      <c r="J502">
        <f t="shared" si="378"/>
        <v>15</v>
      </c>
      <c r="M502">
        <f t="shared" si="379"/>
        <v>8.6857369988000463E-4</v>
      </c>
      <c r="N502">
        <f t="shared" si="380"/>
        <v>-1.5707963250000001</v>
      </c>
      <c r="O502">
        <f t="shared" si="381"/>
        <v>282.79034553399441</v>
      </c>
      <c r="P502">
        <f t="shared" si="382"/>
        <v>1.5672601308111602</v>
      </c>
      <c r="Q502">
        <f t="shared" si="383"/>
        <v>245.81230673247518</v>
      </c>
      <c r="R502">
        <f t="shared" si="384"/>
        <v>1.5667281710072007</v>
      </c>
      <c r="S502">
        <f t="shared" si="385"/>
        <v>0.14244431003369515</v>
      </c>
      <c r="T502">
        <f t="shared" si="386"/>
        <v>-1.4278658563443998</v>
      </c>
      <c r="U502">
        <f t="shared" si="387"/>
        <v>0.14062633128747168</v>
      </c>
      <c r="V502">
        <f t="shared" si="388"/>
        <v>-1.4297023226895307</v>
      </c>
      <c r="X502">
        <f t="shared" si="405"/>
        <v>-66.507146202534358</v>
      </c>
      <c r="Y502">
        <f t="shared" si="389"/>
        <v>-244.04696865150817</v>
      </c>
      <c r="Z502">
        <f t="shared" si="406"/>
        <v>-64.046968651508166</v>
      </c>
      <c r="AC502">
        <v>1</v>
      </c>
      <c r="AD502">
        <f t="shared" si="390"/>
        <v>282.78857743416</v>
      </c>
      <c r="AE502">
        <f t="shared" si="391"/>
        <v>-0.30703329205785668</v>
      </c>
      <c r="AF502">
        <f t="shared" si="392"/>
        <v>4.3610332530239999E-2</v>
      </c>
      <c r="AG502">
        <f t="shared" si="421"/>
        <v>125.04219204211465</v>
      </c>
      <c r="AH502">
        <f t="shared" si="422"/>
        <v>-903.27483381389391</v>
      </c>
      <c r="AJ502">
        <f t="shared" si="393"/>
        <v>26400</v>
      </c>
      <c r="AK502">
        <f t="shared" si="394"/>
        <v>183445.68757616641</v>
      </c>
      <c r="AL502">
        <v>1</v>
      </c>
      <c r="AM502">
        <f t="shared" si="395"/>
        <v>245.81027265177605</v>
      </c>
      <c r="AN502">
        <f t="shared" si="423"/>
        <v>746.71431642950597</v>
      </c>
      <c r="AO502">
        <f t="shared" si="424"/>
        <v>-104.36213835502267</v>
      </c>
      <c r="AQ502">
        <f t="shared" si="396"/>
        <v>1.2056325706943755E-3</v>
      </c>
      <c r="AR502">
        <f t="shared" si="397"/>
        <v>-3.472221803599802</v>
      </c>
      <c r="AT502">
        <f t="shared" si="418"/>
        <v>-3136.2198176721531</v>
      </c>
      <c r="AU502">
        <f t="shared" si="419"/>
        <v>-435.26324313847874</v>
      </c>
      <c r="AV502">
        <f t="shared" si="407"/>
        <v>-3.0036876232598955</v>
      </c>
      <c r="AW502">
        <f t="shared" si="408"/>
        <v>509.72771791620227</v>
      </c>
      <c r="AX502">
        <f t="shared" si="409"/>
        <v>-4030.2317255196122</v>
      </c>
      <c r="AY502">
        <f t="shared" si="417"/>
        <v>-1.4449882731253452</v>
      </c>
      <c r="BA502">
        <f t="shared" si="398"/>
        <v>0.77942307118447207</v>
      </c>
      <c r="BB502">
        <f t="shared" si="410"/>
        <v>-2.1645348618131268</v>
      </c>
      <c r="BC502">
        <f t="shared" si="411"/>
        <v>-1.5586993501345503</v>
      </c>
      <c r="BD502">
        <f t="shared" si="399"/>
        <v>-269.30689439454193</v>
      </c>
      <c r="BF502">
        <f t="shared" si="400"/>
        <v>-70.32341363639641</v>
      </c>
      <c r="BG502">
        <f t="shared" si="401"/>
        <v>-259.19156947218318</v>
      </c>
      <c r="BH502">
        <f t="shared" si="412"/>
        <v>-79.191569472183176</v>
      </c>
      <c r="BI502">
        <f t="shared" si="413"/>
        <v>-79.191569472183176</v>
      </c>
      <c r="BJ502">
        <f t="shared" si="402"/>
        <v>0</v>
      </c>
      <c r="BK502">
        <f t="shared" si="414"/>
        <v>0</v>
      </c>
      <c r="BM502">
        <f t="shared" si="415"/>
        <v>-68.158878774583286</v>
      </c>
      <c r="BN502">
        <f t="shared" si="403"/>
        <v>-169.8846750776413</v>
      </c>
      <c r="BQ502" s="56">
        <f t="shared" si="416"/>
        <v>14.737425938472008</v>
      </c>
    </row>
    <row r="503" spans="1:69" x14ac:dyDescent="0.2">
      <c r="A503">
        <f t="shared" si="420"/>
        <v>1445000</v>
      </c>
      <c r="B503">
        <f t="shared" si="404"/>
        <v>1445</v>
      </c>
      <c r="C503">
        <f t="shared" si="373"/>
        <v>1.0157101197861225</v>
      </c>
      <c r="D503">
        <f t="shared" si="374"/>
        <v>0.1761088675989286</v>
      </c>
      <c r="F503">
        <f t="shared" si="375"/>
        <v>2.5481810949141459E-5</v>
      </c>
      <c r="G503">
        <f t="shared" si="376"/>
        <v>1.0301947163901075E-3</v>
      </c>
      <c r="H503">
        <f t="shared" si="377"/>
        <v>-3.14056245528361</v>
      </c>
      <c r="J503">
        <f t="shared" si="378"/>
        <v>15</v>
      </c>
      <c r="M503">
        <f t="shared" si="379"/>
        <v>8.6556825455170008E-4</v>
      </c>
      <c r="N503">
        <f t="shared" si="380"/>
        <v>-1.5707963250000001</v>
      </c>
      <c r="O503">
        <f t="shared" si="381"/>
        <v>283.77224419879741</v>
      </c>
      <c r="P503">
        <f t="shared" si="382"/>
        <v>1.5672723666819468</v>
      </c>
      <c r="Q503">
        <f t="shared" si="383"/>
        <v>246.6658075853436</v>
      </c>
      <c r="R503">
        <f t="shared" si="384"/>
        <v>1.5667422475163202</v>
      </c>
      <c r="S503">
        <f t="shared" si="385"/>
        <v>0.14196137320904936</v>
      </c>
      <c r="T503">
        <f t="shared" si="386"/>
        <v>-1.4283537513889326</v>
      </c>
      <c r="U503">
        <f t="shared" si="387"/>
        <v>0.14014930889278746</v>
      </c>
      <c r="V503">
        <f t="shared" si="388"/>
        <v>-1.4301841164900551</v>
      </c>
      <c r="X503">
        <f t="shared" si="405"/>
        <v>-66.595346655445027</v>
      </c>
      <c r="Y503">
        <f t="shared" si="389"/>
        <v>-244.06702439470385</v>
      </c>
      <c r="Z503">
        <f t="shared" si="406"/>
        <v>-64.06702439470385</v>
      </c>
      <c r="AC503">
        <v>1</v>
      </c>
      <c r="AD503">
        <f t="shared" si="390"/>
        <v>283.77048221691751</v>
      </c>
      <c r="AE503">
        <f t="shared" si="391"/>
        <v>-0.3091691693909655</v>
      </c>
      <c r="AF503">
        <f t="shared" si="392"/>
        <v>4.3761757295969997E-2</v>
      </c>
      <c r="AG503">
        <f t="shared" si="421"/>
        <v>124.19531281735971</v>
      </c>
      <c r="AH503">
        <f t="shared" si="422"/>
        <v>-900.26918799310465</v>
      </c>
      <c r="AJ503">
        <f t="shared" si="393"/>
        <v>26400</v>
      </c>
      <c r="AK503">
        <f t="shared" si="394"/>
        <v>184082.65176913922</v>
      </c>
      <c r="AL503">
        <v>1</v>
      </c>
      <c r="AM503">
        <f t="shared" si="395"/>
        <v>246.66378054292804</v>
      </c>
      <c r="AN503">
        <f t="shared" si="423"/>
        <v>746.71138340338769</v>
      </c>
      <c r="AO503">
        <f t="shared" si="424"/>
        <v>-104.00103558021991</v>
      </c>
      <c r="AQ503">
        <f t="shared" si="396"/>
        <v>1.1973035287767713E-3</v>
      </c>
      <c r="AR503">
        <f t="shared" si="397"/>
        <v>-3.460207198164869</v>
      </c>
      <c r="AT503">
        <f t="shared" si="418"/>
        <v>-3114.9692250934886</v>
      </c>
      <c r="AU503">
        <f t="shared" si="419"/>
        <v>-430.81941086459886</v>
      </c>
      <c r="AV503">
        <f t="shared" si="407"/>
        <v>-3.0041583826504654</v>
      </c>
      <c r="AW503">
        <f t="shared" si="408"/>
        <v>511.37880820993433</v>
      </c>
      <c r="AX503">
        <f t="shared" si="409"/>
        <v>-4016.3944056523897</v>
      </c>
      <c r="AY503">
        <f t="shared" si="417"/>
        <v>-1.4441548697498094</v>
      </c>
      <c r="BA503">
        <f t="shared" si="398"/>
        <v>0.77667608106028896</v>
      </c>
      <c r="BB503">
        <f t="shared" si="410"/>
        <v>-2.1952013881796337</v>
      </c>
      <c r="BC503">
        <f t="shared" si="411"/>
        <v>-1.560003512900656</v>
      </c>
      <c r="BD503">
        <f t="shared" si="399"/>
        <v>-269.38161741692323</v>
      </c>
      <c r="BF503">
        <f t="shared" si="400"/>
        <v>-70.413374831134078</v>
      </c>
      <c r="BG503">
        <f t="shared" si="401"/>
        <v>-259.23229674775331</v>
      </c>
      <c r="BH503">
        <f t="shared" si="412"/>
        <v>-79.23229674775331</v>
      </c>
      <c r="BI503">
        <f t="shared" si="413"/>
        <v>-79.23229674775331</v>
      </c>
      <c r="BJ503">
        <f t="shared" si="402"/>
        <v>0</v>
      </c>
      <c r="BK503">
        <f t="shared" si="414"/>
        <v>0</v>
      </c>
      <c r="BM503">
        <f t="shared" si="415"/>
        <v>-68.218173442954438</v>
      </c>
      <c r="BN503">
        <f t="shared" si="403"/>
        <v>-169.85067933083008</v>
      </c>
      <c r="BQ503" s="56">
        <f t="shared" si="416"/>
        <v>14.706759412105503</v>
      </c>
    </row>
    <row r="504" spans="1:69" x14ac:dyDescent="0.2">
      <c r="A504">
        <f t="shared" si="420"/>
        <v>1450000</v>
      </c>
      <c r="B504">
        <f t="shared" si="404"/>
        <v>1450</v>
      </c>
      <c r="C504">
        <f t="shared" si="373"/>
        <v>1.0158181804357829</v>
      </c>
      <c r="D504">
        <f t="shared" si="374"/>
        <v>0.17670565577300873</v>
      </c>
      <c r="F504">
        <f t="shared" si="375"/>
        <v>2.5306372966445594E-5</v>
      </c>
      <c r="G504">
        <f t="shared" si="376"/>
        <v>1.0266421431073785E-3</v>
      </c>
      <c r="H504">
        <f t="shared" si="377"/>
        <v>-3.1405660078568927</v>
      </c>
      <c r="J504">
        <f t="shared" si="378"/>
        <v>15</v>
      </c>
      <c r="M504">
        <f t="shared" si="379"/>
        <v>8.6258353643255635E-4</v>
      </c>
      <c r="N504">
        <f t="shared" si="380"/>
        <v>-1.5707963250000001</v>
      </c>
      <c r="O504">
        <f t="shared" si="381"/>
        <v>284.75414290579283</v>
      </c>
      <c r="P504">
        <f t="shared" si="382"/>
        <v>1.5672845181684618</v>
      </c>
      <c r="Q504">
        <f t="shared" si="383"/>
        <v>247.51930848675133</v>
      </c>
      <c r="R504">
        <f t="shared" si="384"/>
        <v>1.5667562269476565</v>
      </c>
      <c r="S504">
        <f t="shared" si="385"/>
        <v>0.14148166663664677</v>
      </c>
      <c r="T504">
        <f t="shared" si="386"/>
        <v>-1.4288383492222267</v>
      </c>
      <c r="U504">
        <f t="shared" si="387"/>
        <v>0.13967547970457511</v>
      </c>
      <c r="V504">
        <f t="shared" si="388"/>
        <v>-1.4306626526187856</v>
      </c>
      <c r="X504">
        <f t="shared" si="405"/>
        <v>-66.683244347366227</v>
      </c>
      <c r="Y504">
        <f t="shared" si="389"/>
        <v>-244.08672081836579</v>
      </c>
      <c r="Z504">
        <f t="shared" si="406"/>
        <v>-64.086720818365791</v>
      </c>
      <c r="AC504">
        <v>1</v>
      </c>
      <c r="AD504">
        <f t="shared" si="390"/>
        <v>284.75238699967502</v>
      </c>
      <c r="AE504">
        <f t="shared" si="391"/>
        <v>-0.31131245011171083</v>
      </c>
      <c r="AF504">
        <f t="shared" si="392"/>
        <v>4.3913182061700001E-2</v>
      </c>
      <c r="AG504">
        <f t="shared" si="421"/>
        <v>123.35695140798414</v>
      </c>
      <c r="AH504">
        <f t="shared" si="422"/>
        <v>-897.28306925625282</v>
      </c>
      <c r="AJ504">
        <f t="shared" si="393"/>
        <v>26400</v>
      </c>
      <c r="AK504">
        <f t="shared" si="394"/>
        <v>184719.61596211203</v>
      </c>
      <c r="AL504">
        <v>1</v>
      </c>
      <c r="AM504">
        <f t="shared" si="395"/>
        <v>247.51728843408</v>
      </c>
      <c r="AN504">
        <f t="shared" si="423"/>
        <v>746.70848066591543</v>
      </c>
      <c r="AO504">
        <f t="shared" si="424"/>
        <v>-103.6424230470115</v>
      </c>
      <c r="AQ504">
        <f t="shared" si="396"/>
        <v>1.1890605007062426E-3</v>
      </c>
      <c r="AR504">
        <f t="shared" si="397"/>
        <v>-3.4482754520481032</v>
      </c>
      <c r="AT504">
        <f t="shared" si="418"/>
        <v>-3093.9325023763076</v>
      </c>
      <c r="AU504">
        <f t="shared" si="419"/>
        <v>-426.43567123524747</v>
      </c>
      <c r="AV504">
        <f t="shared" si="407"/>
        <v>-3.0046259604675774</v>
      </c>
      <c r="AW504">
        <f t="shared" si="408"/>
        <v>513.01262189291845</v>
      </c>
      <c r="AX504">
        <f t="shared" si="409"/>
        <v>-4002.6514348281198</v>
      </c>
      <c r="AY504">
        <f t="shared" si="417"/>
        <v>-1.4433231016983183</v>
      </c>
      <c r="BA504">
        <f t="shared" si="398"/>
        <v>0.77394732583710024</v>
      </c>
      <c r="BB504">
        <f t="shared" si="410"/>
        <v>-2.2257719201078321</v>
      </c>
      <c r="BC504">
        <f t="shared" si="411"/>
        <v>-1.561302858769259</v>
      </c>
      <c r="BD504">
        <f t="shared" si="399"/>
        <v>-269.45606445140703</v>
      </c>
      <c r="BF504">
        <f t="shared" si="400"/>
        <v>-70.503029025452165</v>
      </c>
      <c r="BG504">
        <f t="shared" si="401"/>
        <v>-259.27275388601561</v>
      </c>
      <c r="BH504">
        <f t="shared" si="412"/>
        <v>-79.272753886015607</v>
      </c>
      <c r="BI504">
        <f t="shared" si="413"/>
        <v>-79.272753886015607</v>
      </c>
      <c r="BJ504">
        <f t="shared" si="402"/>
        <v>0</v>
      </c>
      <c r="BK504">
        <f t="shared" si="414"/>
        <v>0</v>
      </c>
      <c r="BM504">
        <f t="shared" si="415"/>
        <v>-68.277257105344333</v>
      </c>
      <c r="BN504">
        <f t="shared" si="403"/>
        <v>-169.81668943460861</v>
      </c>
      <c r="BQ504" s="56">
        <f t="shared" si="416"/>
        <v>14.676188880177305</v>
      </c>
    </row>
    <row r="505" spans="1:69" x14ac:dyDescent="0.2">
      <c r="A505">
        <f t="shared" si="420"/>
        <v>1455000</v>
      </c>
      <c r="B505">
        <f t="shared" si="404"/>
        <v>1455</v>
      </c>
      <c r="C505">
        <f t="shared" si="373"/>
        <v>1.0159266027982701</v>
      </c>
      <c r="D505">
        <f t="shared" si="374"/>
        <v>0.17730231677794445</v>
      </c>
      <c r="F505">
        <f t="shared" si="375"/>
        <v>2.5132740572710875E-5</v>
      </c>
      <c r="G505">
        <f t="shared" si="376"/>
        <v>1.023113987958547E-3</v>
      </c>
      <c r="H505">
        <f t="shared" si="377"/>
        <v>-3.1405695360120416</v>
      </c>
      <c r="J505">
        <f t="shared" si="378"/>
        <v>15</v>
      </c>
      <c r="M505">
        <f t="shared" si="379"/>
        <v>8.5961933184000464E-4</v>
      </c>
      <c r="N505">
        <f t="shared" si="380"/>
        <v>-1.5707963250000001</v>
      </c>
      <c r="O505">
        <f t="shared" si="381"/>
        <v>285.73604165454572</v>
      </c>
      <c r="P505">
        <f t="shared" si="382"/>
        <v>1.5672965861406321</v>
      </c>
      <c r="Q505">
        <f t="shared" si="383"/>
        <v>248.37280943619791</v>
      </c>
      <c r="R505">
        <f t="shared" si="384"/>
        <v>1.5667701103019898</v>
      </c>
      <c r="S505">
        <f t="shared" si="385"/>
        <v>0.14100515835292621</v>
      </c>
      <c r="T505">
        <f t="shared" si="386"/>
        <v>-1.4293196829304078</v>
      </c>
      <c r="U505">
        <f t="shared" si="387"/>
        <v>0.13920481209211052</v>
      </c>
      <c r="V505">
        <f t="shared" si="388"/>
        <v>-1.4311379637877901</v>
      </c>
      <c r="X505">
        <f t="shared" si="405"/>
        <v>-66.770841263198193</v>
      </c>
      <c r="Y505">
        <f t="shared" si="389"/>
        <v>-244.10606162187867</v>
      </c>
      <c r="Z505">
        <f t="shared" si="406"/>
        <v>-64.106061621878666</v>
      </c>
      <c r="AC505">
        <v>1</v>
      </c>
      <c r="AD505">
        <f t="shared" si="390"/>
        <v>285.73429178243254</v>
      </c>
      <c r="AE505">
        <f t="shared" si="391"/>
        <v>-0.31346313422009259</v>
      </c>
      <c r="AF505">
        <f t="shared" si="392"/>
        <v>4.4064606827429999E-2</v>
      </c>
      <c r="AG505">
        <f t="shared" si="421"/>
        <v>122.52699473023218</v>
      </c>
      <c r="AH505">
        <f t="shared" si="422"/>
        <v>-894.31629218977275</v>
      </c>
      <c r="AJ505">
        <f t="shared" si="393"/>
        <v>26400</v>
      </c>
      <c r="AK505">
        <f t="shared" si="394"/>
        <v>185356.58015508481</v>
      </c>
      <c r="AL505">
        <v>1</v>
      </c>
      <c r="AM505">
        <f t="shared" si="395"/>
        <v>248.37079632523202</v>
      </c>
      <c r="AN505">
        <f t="shared" si="423"/>
        <v>746.7056078014773</v>
      </c>
      <c r="AO505">
        <f t="shared" si="424"/>
        <v>-103.286275084477</v>
      </c>
      <c r="AQ505">
        <f t="shared" si="396"/>
        <v>1.1809023061959227E-3</v>
      </c>
      <c r="AR505">
        <f t="shared" si="397"/>
        <v>-3.4364257110301355</v>
      </c>
      <c r="AT505">
        <f t="shared" si="418"/>
        <v>-3073.1068078634262</v>
      </c>
      <c r="AU505">
        <f t="shared" si="419"/>
        <v>-422.11101515813925</v>
      </c>
      <c r="AV505">
        <f t="shared" si="407"/>
        <v>-3.0050903886387941</v>
      </c>
      <c r="AW505">
        <f t="shared" si="408"/>
        <v>514.62939979948624</v>
      </c>
      <c r="AX505">
        <f t="shared" si="409"/>
        <v>-3989.0018546248948</v>
      </c>
      <c r="AY505">
        <f t="shared" si="417"/>
        <v>-1.4424929533316586</v>
      </c>
      <c r="BA505">
        <f t="shared" si="398"/>
        <v>0.77123662366601442</v>
      </c>
      <c r="BB505">
        <f t="shared" si="410"/>
        <v>-2.2562471060049161</v>
      </c>
      <c r="BC505">
        <f t="shared" si="411"/>
        <v>-1.5625974353071355</v>
      </c>
      <c r="BD505">
        <f t="shared" si="399"/>
        <v>-269.53023822336877</v>
      </c>
      <c r="BF505">
        <f t="shared" si="400"/>
        <v>-70.592378301903423</v>
      </c>
      <c r="BG505">
        <f t="shared" si="401"/>
        <v>-259.31294364895518</v>
      </c>
      <c r="BH505">
        <f t="shared" si="412"/>
        <v>-79.312943648955184</v>
      </c>
      <c r="BI505">
        <f t="shared" si="413"/>
        <v>-79.312943648955184</v>
      </c>
      <c r="BJ505">
        <f t="shared" si="402"/>
        <v>0</v>
      </c>
      <c r="BK505">
        <f t="shared" si="414"/>
        <v>0</v>
      </c>
      <c r="BM505">
        <f t="shared" si="415"/>
        <v>-68.336131195898503</v>
      </c>
      <c r="BN505">
        <f t="shared" si="403"/>
        <v>-169.78270542558641</v>
      </c>
      <c r="BQ505" s="56">
        <f t="shared" si="416"/>
        <v>14.64571369428022</v>
      </c>
    </row>
    <row r="506" spans="1:69" x14ac:dyDescent="0.2">
      <c r="A506">
        <f t="shared" si="420"/>
        <v>1460000</v>
      </c>
      <c r="B506">
        <f t="shared" si="404"/>
        <v>1460</v>
      </c>
      <c r="C506">
        <f t="shared" si="373"/>
        <v>1.0160353867577874</v>
      </c>
      <c r="D506">
        <f t="shared" si="374"/>
        <v>0.17789885022968721</v>
      </c>
      <c r="F506">
        <f t="shared" si="375"/>
        <v>2.496088907523368E-5</v>
      </c>
      <c r="G506">
        <f t="shared" si="376"/>
        <v>1.0196100000475336E-3</v>
      </c>
      <c r="H506">
        <f t="shared" si="377"/>
        <v>-3.1405730399999525</v>
      </c>
      <c r="J506">
        <f t="shared" si="378"/>
        <v>15</v>
      </c>
      <c r="M506">
        <f t="shared" si="379"/>
        <v>8.5667543001863473E-4</v>
      </c>
      <c r="N506">
        <f t="shared" si="380"/>
        <v>-1.5707963250000001</v>
      </c>
      <c r="O506">
        <f t="shared" si="381"/>
        <v>286.71794044462706</v>
      </c>
      <c r="P506">
        <f t="shared" si="382"/>
        <v>1.5673085714564676</v>
      </c>
      <c r="Q506">
        <f t="shared" si="383"/>
        <v>249.22631043318987</v>
      </c>
      <c r="R506">
        <f t="shared" si="384"/>
        <v>1.5667838985663911</v>
      </c>
      <c r="S506">
        <f t="shared" si="385"/>
        <v>0.14053181681006999</v>
      </c>
      <c r="T506">
        <f t="shared" si="386"/>
        <v>-1.4297977851614296</v>
      </c>
      <c r="U506">
        <f t="shared" si="387"/>
        <v>0.13873727483664797</v>
      </c>
      <c r="V506">
        <f t="shared" si="388"/>
        <v>-1.4316100822755402</v>
      </c>
      <c r="X506">
        <f t="shared" si="405"/>
        <v>-66.858139368506102</v>
      </c>
      <c r="Y506">
        <f t="shared" si="389"/>
        <v>-244.12505045591689</v>
      </c>
      <c r="Z506">
        <f t="shared" si="406"/>
        <v>-64.125050455916892</v>
      </c>
      <c r="AC506">
        <v>1</v>
      </c>
      <c r="AD506">
        <f t="shared" si="390"/>
        <v>286.71619656518999</v>
      </c>
      <c r="AE506">
        <f t="shared" si="391"/>
        <v>-0.31562122171611073</v>
      </c>
      <c r="AF506">
        <f t="shared" si="392"/>
        <v>4.4216031593160003E-2</v>
      </c>
      <c r="AG506">
        <f t="shared" si="421"/>
        <v>121.70533155797881</v>
      </c>
      <c r="AH506">
        <f t="shared" si="422"/>
        <v>-891.36867365977184</v>
      </c>
      <c r="AJ506">
        <f t="shared" si="393"/>
        <v>26400</v>
      </c>
      <c r="AK506">
        <f t="shared" si="394"/>
        <v>185993.54434805762</v>
      </c>
      <c r="AL506">
        <v>1</v>
      </c>
      <c r="AM506">
        <f t="shared" si="395"/>
        <v>249.22430421638404</v>
      </c>
      <c r="AN506">
        <f t="shared" si="423"/>
        <v>746.70276440156647</v>
      </c>
      <c r="AO506">
        <f t="shared" si="424"/>
        <v>-102.93256637332397</v>
      </c>
      <c r="AQ506">
        <f t="shared" si="396"/>
        <v>1.1728277851346658E-3</v>
      </c>
      <c r="AR506">
        <f t="shared" si="397"/>
        <v>-3.4246571325932242</v>
      </c>
      <c r="AT506">
        <f t="shared" si="418"/>
        <v>-3052.4893466246499</v>
      </c>
      <c r="AU506">
        <f t="shared" si="419"/>
        <v>-417.84445374192217</v>
      </c>
      <c r="AV506">
        <f t="shared" si="407"/>
        <v>-3.0055516986688295</v>
      </c>
      <c r="AW506">
        <f t="shared" si="408"/>
        <v>516.22937857244654</v>
      </c>
      <c r="AX506">
        <f t="shared" si="409"/>
        <v>-3975.4447195176408</v>
      </c>
      <c r="AY506">
        <f t="shared" si="417"/>
        <v>-1.441664409242027</v>
      </c>
      <c r="BA506">
        <f t="shared" si="398"/>
        <v>0.7685437950907712</v>
      </c>
      <c r="BB506">
        <f t="shared" si="410"/>
        <v>-2.2866275880257918</v>
      </c>
      <c r="BC506">
        <f t="shared" si="411"/>
        <v>-1.5638872894268026</v>
      </c>
      <c r="BD506">
        <f t="shared" si="399"/>
        <v>-269.60414142069772</v>
      </c>
      <c r="BF506">
        <f t="shared" si="400"/>
        <v>-70.681424722052554</v>
      </c>
      <c r="BG506">
        <f t="shared" si="401"/>
        <v>-259.35286876084081</v>
      </c>
      <c r="BH506">
        <f t="shared" si="412"/>
        <v>-79.352868760840806</v>
      </c>
      <c r="BI506">
        <f t="shared" si="413"/>
        <v>-79.352868760840806</v>
      </c>
      <c r="BJ506">
        <f t="shared" si="402"/>
        <v>0</v>
      </c>
      <c r="BK506">
        <f t="shared" si="414"/>
        <v>0</v>
      </c>
      <c r="BM506">
        <f t="shared" si="415"/>
        <v>-68.394797134026774</v>
      </c>
      <c r="BN506">
        <f t="shared" si="403"/>
        <v>-169.74872734014312</v>
      </c>
      <c r="BQ506" s="56">
        <f t="shared" si="416"/>
        <v>14.615333212259344</v>
      </c>
    </row>
    <row r="507" spans="1:69" x14ac:dyDescent="0.2">
      <c r="A507">
        <f t="shared" si="420"/>
        <v>1465000</v>
      </c>
      <c r="B507">
        <f t="shared" si="404"/>
        <v>1465</v>
      </c>
      <c r="C507">
        <f t="shared" si="373"/>
        <v>1.0161445321982021</v>
      </c>
      <c r="D507">
        <f t="shared" si="374"/>
        <v>0.17849525574471578</v>
      </c>
      <c r="F507">
        <f t="shared" si="375"/>
        <v>2.4790794201987756E-5</v>
      </c>
      <c r="G507">
        <f t="shared" si="376"/>
        <v>1.0161299319038824E-3</v>
      </c>
      <c r="H507">
        <f t="shared" si="377"/>
        <v>-3.1405765200680964</v>
      </c>
      <c r="J507">
        <f t="shared" si="378"/>
        <v>15</v>
      </c>
      <c r="M507">
        <f t="shared" si="379"/>
        <v>8.537516230902435E-4</v>
      </c>
      <c r="N507">
        <f t="shared" si="380"/>
        <v>-1.5707963250000001</v>
      </c>
      <c r="O507">
        <f t="shared" si="381"/>
        <v>287.69983927561361</v>
      </c>
      <c r="P507">
        <f t="shared" si="382"/>
        <v>1.5673204749622656</v>
      </c>
      <c r="Q507">
        <f t="shared" si="383"/>
        <v>250.07981147724038</v>
      </c>
      <c r="R507">
        <f t="shared" si="384"/>
        <v>1.5667975927144568</v>
      </c>
      <c r="S507">
        <f t="shared" si="385"/>
        <v>0.14006161086934393</v>
      </c>
      <c r="T507">
        <f t="shared" si="386"/>
        <v>-1.4302726881322521</v>
      </c>
      <c r="U507">
        <f t="shared" si="387"/>
        <v>0.13827283712480959</v>
      </c>
      <c r="V507">
        <f t="shared" si="388"/>
        <v>-1.4320790399340206</v>
      </c>
      <c r="X507">
        <f t="shared" si="405"/>
        <v>-66.945140609767193</v>
      </c>
      <c r="Y507">
        <f t="shared" si="389"/>
        <v>-244.14369092324159</v>
      </c>
      <c r="Z507">
        <f t="shared" si="406"/>
        <v>-64.143690923241593</v>
      </c>
      <c r="AC507">
        <v>1</v>
      </c>
      <c r="AD507">
        <f t="shared" si="390"/>
        <v>287.6981013479475</v>
      </c>
      <c r="AE507">
        <f t="shared" si="391"/>
        <v>-0.31778671259976538</v>
      </c>
      <c r="AF507">
        <f t="shared" si="392"/>
        <v>4.4367456358890001E-2</v>
      </c>
      <c r="AG507">
        <f t="shared" si="421"/>
        <v>120.8918524864887</v>
      </c>
      <c r="AH507">
        <f t="shared" si="422"/>
        <v>-888.44003277818717</v>
      </c>
      <c r="AJ507">
        <f t="shared" si="393"/>
        <v>26400</v>
      </c>
      <c r="AK507">
        <f t="shared" si="394"/>
        <v>186630.50854103043</v>
      </c>
      <c r="AL507">
        <v>1</v>
      </c>
      <c r="AM507">
        <f t="shared" si="395"/>
        <v>250.07781210753603</v>
      </c>
      <c r="AN507">
        <f t="shared" si="423"/>
        <v>746.69995006463489</v>
      </c>
      <c r="AO507">
        <f t="shared" si="424"/>
        <v>-102.58127193988798</v>
      </c>
      <c r="AQ507">
        <f t="shared" si="396"/>
        <v>1.1648357971745975E-3</v>
      </c>
      <c r="AR507">
        <f t="shared" si="397"/>
        <v>-3.412968885721571</v>
      </c>
      <c r="AT507">
        <f t="shared" si="418"/>
        <v>-3032.0773695440421</v>
      </c>
      <c r="AU507">
        <f t="shared" si="419"/>
        <v>-413.63501782745089</v>
      </c>
      <c r="AV507">
        <f t="shared" si="407"/>
        <v>-3.0060099216464726</v>
      </c>
      <c r="AW507">
        <f t="shared" si="408"/>
        <v>517.81279075048906</v>
      </c>
      <c r="AX507">
        <f t="shared" si="409"/>
        <v>-3961.9790966625305</v>
      </c>
      <c r="AY507">
        <f t="shared" si="417"/>
        <v>-1.4408374542488411</v>
      </c>
      <c r="BA507">
        <f t="shared" si="398"/>
        <v>0.7658686630089272</v>
      </c>
      <c r="BB507">
        <f t="shared" si="410"/>
        <v>-2.3169140021507477</v>
      </c>
      <c r="BC507">
        <f t="shared" si="411"/>
        <v>-1.5651724673976315</v>
      </c>
      <c r="BD507">
        <f t="shared" si="399"/>
        <v>-269.67777669443353</v>
      </c>
      <c r="BF507">
        <f t="shared" si="400"/>
        <v>-70.770170326755633</v>
      </c>
      <c r="BG507">
        <f t="shared" si="401"/>
        <v>-259.39253190886541</v>
      </c>
      <c r="BH507">
        <f t="shared" si="412"/>
        <v>-79.392531908865408</v>
      </c>
      <c r="BI507">
        <f t="shared" si="413"/>
        <v>-79.392531908865408</v>
      </c>
      <c r="BJ507">
        <f t="shared" si="402"/>
        <v>0</v>
      </c>
      <c r="BK507">
        <f t="shared" si="414"/>
        <v>0</v>
      </c>
      <c r="BM507">
        <f t="shared" si="415"/>
        <v>-68.45325632460488</v>
      </c>
      <c r="BN507">
        <f t="shared" si="403"/>
        <v>-169.7147552144319</v>
      </c>
      <c r="BQ507" s="56">
        <f t="shared" si="416"/>
        <v>14.585046798134389</v>
      </c>
    </row>
    <row r="508" spans="1:69" x14ac:dyDescent="0.2">
      <c r="A508">
        <f t="shared" si="420"/>
        <v>1470000</v>
      </c>
      <c r="B508">
        <f t="shared" si="404"/>
        <v>1470</v>
      </c>
      <c r="C508">
        <f t="shared" si="373"/>
        <v>1.0162540390030452</v>
      </c>
      <c r="D508">
        <f t="shared" si="374"/>
        <v>0.17909153294003746</v>
      </c>
      <c r="F508">
        <f t="shared" si="375"/>
        <v>2.4622432093053228E-5</v>
      </c>
      <c r="G508">
        <f t="shared" si="376"/>
        <v>1.0126735394244955E-3</v>
      </c>
      <c r="H508">
        <f t="shared" si="377"/>
        <v>-3.1405799764605757</v>
      </c>
      <c r="J508">
        <f t="shared" si="378"/>
        <v>15</v>
      </c>
      <c r="M508">
        <f t="shared" si="379"/>
        <v>8.508477060049025E-4</v>
      </c>
      <c r="N508">
        <f t="shared" si="380"/>
        <v>-1.5707963250000001</v>
      </c>
      <c r="O508">
        <f t="shared" si="381"/>
        <v>288.68173814708803</v>
      </c>
      <c r="P508">
        <f t="shared" si="382"/>
        <v>1.5673322974928083</v>
      </c>
      <c r="Q508">
        <f t="shared" si="383"/>
        <v>250.93331256786925</v>
      </c>
      <c r="R508">
        <f t="shared" si="384"/>
        <v>1.5668111937065372</v>
      </c>
      <c r="S508">
        <f t="shared" si="385"/>
        <v>0.13959450979456403</v>
      </c>
      <c r="T508">
        <f t="shared" si="386"/>
        <v>-1.4307444236358813</v>
      </c>
      <c r="U508">
        <f t="shared" si="387"/>
        <v>0.13781146854209977</v>
      </c>
      <c r="V508">
        <f t="shared" si="388"/>
        <v>-1.4325448681957031</v>
      </c>
      <c r="X508">
        <f t="shared" si="405"/>
        <v>-67.031846914613823</v>
      </c>
      <c r="Y508">
        <f t="shared" si="389"/>
        <v>-244.16198657948217</v>
      </c>
      <c r="Z508">
        <f t="shared" si="406"/>
        <v>-64.161986579482175</v>
      </c>
      <c r="AC508">
        <v>1</v>
      </c>
      <c r="AD508">
        <f t="shared" si="390"/>
        <v>288.68000613070501</v>
      </c>
      <c r="AE508">
        <f t="shared" si="391"/>
        <v>-0.31995960687105635</v>
      </c>
      <c r="AF508">
        <f t="shared" si="392"/>
        <v>4.4518881124619998E-2</v>
      </c>
      <c r="AG508">
        <f t="shared" si="421"/>
        <v>120.08644989699158</v>
      </c>
      <c r="AH508">
        <f t="shared" si="422"/>
        <v>-885.53019086952031</v>
      </c>
      <c r="AJ508">
        <f t="shared" si="393"/>
        <v>26400</v>
      </c>
      <c r="AK508">
        <f t="shared" si="394"/>
        <v>187267.47273400321</v>
      </c>
      <c r="AL508">
        <v>1</v>
      </c>
      <c r="AM508">
        <f t="shared" si="395"/>
        <v>250.93131999868802</v>
      </c>
      <c r="AN508">
        <f t="shared" si="423"/>
        <v>746.6971643959514</v>
      </c>
      <c r="AO508">
        <f t="shared" si="424"/>
        <v>-102.23236715025519</v>
      </c>
      <c r="AQ508">
        <f t="shared" si="396"/>
        <v>1.1569252213284719E-3</v>
      </c>
      <c r="AR508">
        <f t="shared" si="397"/>
        <v>-3.401360150705707</v>
      </c>
      <c r="AT508">
        <f t="shared" si="418"/>
        <v>-3011.8681724277794</v>
      </c>
      <c r="AU508">
        <f t="shared" si="419"/>
        <v>-409.48175753140941</v>
      </c>
      <c r="AV508">
        <f t="shared" si="407"/>
        <v>-3.0064650882513835</v>
      </c>
      <c r="AW508">
        <f t="shared" si="408"/>
        <v>519.3798648534663</v>
      </c>
      <c r="AX508">
        <f t="shared" si="409"/>
        <v>-3948.6040656856776</v>
      </c>
      <c r="AY508">
        <f t="shared" si="417"/>
        <v>-1.4400120733946373</v>
      </c>
      <c r="BA508">
        <f t="shared" si="398"/>
        <v>0.7632110526337913</v>
      </c>
      <c r="BB508">
        <f t="shared" si="410"/>
        <v>-2.3471069782619045</v>
      </c>
      <c r="BC508">
        <f t="shared" si="411"/>
        <v>-1.5664530148567462</v>
      </c>
      <c r="BD508">
        <f t="shared" si="399"/>
        <v>-269.75114665939083</v>
      </c>
      <c r="BF508">
        <f t="shared" si="400"/>
        <v>-70.858617136434532</v>
      </c>
      <c r="BG508">
        <f t="shared" si="401"/>
        <v>-259.43193574377352</v>
      </c>
      <c r="BH508">
        <f t="shared" si="412"/>
        <v>-79.431935743773522</v>
      </c>
      <c r="BI508">
        <f t="shared" si="413"/>
        <v>-79.431935743773522</v>
      </c>
      <c r="BJ508">
        <f t="shared" si="402"/>
        <v>0</v>
      </c>
      <c r="BK508">
        <f t="shared" si="414"/>
        <v>0</v>
      </c>
      <c r="BM508">
        <f t="shared" si="415"/>
        <v>-68.511510158172626</v>
      </c>
      <c r="BN508">
        <f t="shared" si="403"/>
        <v>-169.6807890843827</v>
      </c>
      <c r="BQ508" s="56">
        <f t="shared" si="416"/>
        <v>14.55485382202323</v>
      </c>
    </row>
    <row r="509" spans="1:69" x14ac:dyDescent="0.2">
      <c r="A509">
        <f t="shared" si="420"/>
        <v>1475000</v>
      </c>
      <c r="B509">
        <f t="shared" si="404"/>
        <v>1475</v>
      </c>
      <c r="C509">
        <f t="shared" si="373"/>
        <v>1.0163639070555126</v>
      </c>
      <c r="D509">
        <f t="shared" si="374"/>
        <v>0.17968768143318936</v>
      </c>
      <c r="F509">
        <f t="shared" si="375"/>
        <v>2.445577929224845E-5</v>
      </c>
      <c r="G509">
        <f t="shared" si="376"/>
        <v>1.0092405818165481E-3</v>
      </c>
      <c r="H509">
        <f t="shared" si="377"/>
        <v>-3.1405834094181837</v>
      </c>
      <c r="J509">
        <f t="shared" si="378"/>
        <v>15</v>
      </c>
      <c r="M509">
        <f t="shared" si="379"/>
        <v>8.4796347649302144E-4</v>
      </c>
      <c r="N509">
        <f t="shared" si="380"/>
        <v>-1.5707963250000001</v>
      </c>
      <c r="O509">
        <f t="shared" si="381"/>
        <v>289.66363705863859</v>
      </c>
      <c r="P509">
        <f t="shared" si="382"/>
        <v>1.5673440398715601</v>
      </c>
      <c r="Q509">
        <f t="shared" si="383"/>
        <v>251.78681370460282</v>
      </c>
      <c r="R509">
        <f t="shared" si="384"/>
        <v>1.5668247024899613</v>
      </c>
      <c r="S509">
        <f t="shared" si="385"/>
        <v>0.13913048324568575</v>
      </c>
      <c r="T509">
        <f t="shared" si="386"/>
        <v>-1.4312130230482718</v>
      </c>
      <c r="U509">
        <f t="shared" si="387"/>
        <v>0.13735313906654273</v>
      </c>
      <c r="V509">
        <f t="shared" si="388"/>
        <v>-1.4330075980803847</v>
      </c>
      <c r="X509">
        <f t="shared" si="405"/>
        <v>-67.118260192072825</v>
      </c>
      <c r="Y509">
        <f t="shared" si="389"/>
        <v>-244.17994093390283</v>
      </c>
      <c r="Z509">
        <f t="shared" si="406"/>
        <v>-64.179940933902827</v>
      </c>
      <c r="AC509">
        <v>1</v>
      </c>
      <c r="AD509">
        <f t="shared" si="390"/>
        <v>289.66191091346252</v>
      </c>
      <c r="AE509">
        <f t="shared" si="391"/>
        <v>-0.32213990452998381</v>
      </c>
      <c r="AF509">
        <f t="shared" si="392"/>
        <v>4.4670305890350002E-2</v>
      </c>
      <c r="AG509">
        <f t="shared" si="421"/>
        <v>119.28901792205258</v>
      </c>
      <c r="AH509">
        <f t="shared" si="422"/>
        <v>-882.63897143813847</v>
      </c>
      <c r="AJ509">
        <f t="shared" si="393"/>
        <v>26400</v>
      </c>
      <c r="AK509">
        <f t="shared" si="394"/>
        <v>187904.43692697602</v>
      </c>
      <c r="AL509">
        <v>1</v>
      </c>
      <c r="AM509">
        <f t="shared" si="395"/>
        <v>251.78482788984002</v>
      </c>
      <c r="AN509">
        <f t="shared" si="423"/>
        <v>746.69440700746418</v>
      </c>
      <c r="AO509">
        <f t="shared" si="424"/>
        <v>-101.88582770450439</v>
      </c>
      <c r="AQ509">
        <f t="shared" si="396"/>
        <v>1.1490949555765637E-3</v>
      </c>
      <c r="AR509">
        <f t="shared" si="397"/>
        <v>-3.3898301189508624</v>
      </c>
      <c r="AT509">
        <f t="shared" si="418"/>
        <v>-2991.8590951320621</v>
      </c>
      <c r="AU509">
        <f t="shared" si="419"/>
        <v>-405.38374180191789</v>
      </c>
      <c r="AV509">
        <f t="shared" si="407"/>
        <v>-3.0069172287607544</v>
      </c>
      <c r="AW509">
        <f t="shared" si="408"/>
        <v>520.93082546561334</v>
      </c>
      <c r="AX509">
        <f t="shared" si="409"/>
        <v>-3935.3187184760618</v>
      </c>
      <c r="AY509">
        <f t="shared" si="417"/>
        <v>-1.4391882519410597</v>
      </c>
      <c r="BA509">
        <f t="shared" si="398"/>
        <v>0.7605707914570784</v>
      </c>
      <c r="BB509">
        <f t="shared" si="410"/>
        <v>-2.3772071402186281</v>
      </c>
      <c r="BC509">
        <f t="shared" si="411"/>
        <v>-1.5677289768196947</v>
      </c>
      <c r="BD509">
        <f t="shared" si="399"/>
        <v>-269.82425389477055</v>
      </c>
      <c r="BF509">
        <f t="shared" si="400"/>
        <v>-70.946767151347288</v>
      </c>
      <c r="BG509">
        <f t="shared" si="401"/>
        <v>-259.47108288047588</v>
      </c>
      <c r="BH509">
        <f t="shared" si="412"/>
        <v>-79.471082880475876</v>
      </c>
      <c r="BI509">
        <f t="shared" si="413"/>
        <v>-79.471082880475876</v>
      </c>
      <c r="BJ509">
        <f t="shared" si="402"/>
        <v>0</v>
      </c>
      <c r="BK509">
        <f t="shared" si="414"/>
        <v>0</v>
      </c>
      <c r="BM509">
        <f t="shared" si="415"/>
        <v>-68.569560011128658</v>
      </c>
      <c r="BN509">
        <f t="shared" si="403"/>
        <v>-169.64682898570535</v>
      </c>
      <c r="BQ509" s="56">
        <f t="shared" si="416"/>
        <v>14.524753660066509</v>
      </c>
    </row>
    <row r="510" spans="1:69" x14ac:dyDescent="0.2">
      <c r="A510">
        <f t="shared" si="420"/>
        <v>1480000</v>
      </c>
      <c r="B510">
        <f t="shared" si="404"/>
        <v>1480</v>
      </c>
      <c r="C510">
        <f t="shared" si="373"/>
        <v>1.0164741362384651</v>
      </c>
      <c r="D510">
        <f t="shared" si="374"/>
        <v>0.18028370084223955</v>
      </c>
      <c r="F510">
        <f t="shared" si="375"/>
        <v>2.4290812738959557E-5</v>
      </c>
      <c r="G510">
        <f t="shared" si="376"/>
        <v>1.0058308215415656E-3</v>
      </c>
      <c r="H510">
        <f t="shared" si="377"/>
        <v>-3.1405868191784587</v>
      </c>
      <c r="J510">
        <f t="shared" si="378"/>
        <v>15</v>
      </c>
      <c r="M510">
        <f t="shared" si="379"/>
        <v>8.4509873501838293E-4</v>
      </c>
      <c r="N510">
        <f t="shared" si="380"/>
        <v>-1.5707963250000001</v>
      </c>
      <c r="O510">
        <f t="shared" si="381"/>
        <v>290.64553600985914</v>
      </c>
      <c r="P510">
        <f t="shared" si="382"/>
        <v>1.5673557029108576</v>
      </c>
      <c r="Q510">
        <f t="shared" si="383"/>
        <v>252.64031488697378</v>
      </c>
      <c r="R510">
        <f t="shared" si="384"/>
        <v>1.5668381199992565</v>
      </c>
      <c r="S510">
        <f t="shared" si="385"/>
        <v>0.13866950127251421</v>
      </c>
      <c r="T510">
        <f t="shared" si="386"/>
        <v>-1.4316785173350957</v>
      </c>
      <c r="U510">
        <f t="shared" si="387"/>
        <v>0.13689781906243942</v>
      </c>
      <c r="V510">
        <f t="shared" si="388"/>
        <v>-1.4334672602018914</v>
      </c>
      <c r="X510">
        <f t="shared" si="405"/>
        <v>-67.204382332801316</v>
      </c>
      <c r="Y510">
        <f t="shared" si="389"/>
        <v>-244.19755745015399</v>
      </c>
      <c r="Z510">
        <f t="shared" si="406"/>
        <v>-64.197557450153994</v>
      </c>
      <c r="AC510">
        <v>1</v>
      </c>
      <c r="AD510">
        <f t="shared" si="390"/>
        <v>290.64381569621997</v>
      </c>
      <c r="AE510">
        <f t="shared" si="391"/>
        <v>-0.32432760557654766</v>
      </c>
      <c r="AF510">
        <f t="shared" si="392"/>
        <v>4.482173065608E-2</v>
      </c>
      <c r="AG510">
        <f t="shared" si="421"/>
        <v>118.49945241171817</v>
      </c>
      <c r="AH510">
        <f t="shared" si="422"/>
        <v>-879.76620013613035</v>
      </c>
      <c r="AJ510">
        <f t="shared" si="393"/>
        <v>26400</v>
      </c>
      <c r="AK510">
        <f t="shared" si="394"/>
        <v>188541.4011199488</v>
      </c>
      <c r="AL510">
        <v>1</v>
      </c>
      <c r="AM510">
        <f t="shared" si="395"/>
        <v>252.63833578099204</v>
      </c>
      <c r="AN510">
        <f t="shared" si="423"/>
        <v>746.69167751766417</v>
      </c>
      <c r="AO510">
        <f t="shared" si="424"/>
        <v>-101.54162963106583</v>
      </c>
      <c r="AQ510">
        <f t="shared" si="396"/>
        <v>1.1413439164828438E-3</v>
      </c>
      <c r="AR510">
        <f t="shared" si="397"/>
        <v>-3.3783779927892175</v>
      </c>
      <c r="AT510">
        <f t="shared" si="418"/>
        <v>-2972.0475207105806</v>
      </c>
      <c r="AU510">
        <f t="shared" si="419"/>
        <v>-401.34005798577442</v>
      </c>
      <c r="AV510">
        <f t="shared" si="407"/>
        <v>-3.007366373055842</v>
      </c>
      <c r="AW510">
        <f t="shared" si="408"/>
        <v>522.4658933167575</v>
      </c>
      <c r="AX510">
        <f t="shared" si="409"/>
        <v>-3922.1221589825245</v>
      </c>
      <c r="AY510">
        <f t="shared" si="417"/>
        <v>-1.438365975364934</v>
      </c>
      <c r="BA510">
        <f t="shared" si="398"/>
        <v>0.75794770921228438</v>
      </c>
      <c r="BB510">
        <f t="shared" si="410"/>
        <v>-2.4072151059317144</v>
      </c>
      <c r="BC510">
        <f t="shared" si="411"/>
        <v>-1.5690003976909079</v>
      </c>
      <c r="BD510">
        <f t="shared" si="399"/>
        <v>-269.89710094475913</v>
      </c>
      <c r="BF510">
        <f t="shared" si="400"/>
        <v>-71.034622351853727</v>
      </c>
      <c r="BG510">
        <f t="shared" si="401"/>
        <v>-259.50997589865216</v>
      </c>
      <c r="BH510">
        <f t="shared" si="412"/>
        <v>-79.509975898652158</v>
      </c>
      <c r="BI510">
        <f t="shared" si="413"/>
        <v>-79.509975898652158</v>
      </c>
      <c r="BJ510">
        <f t="shared" si="402"/>
        <v>0</v>
      </c>
      <c r="BK510">
        <f t="shared" si="414"/>
        <v>0</v>
      </c>
      <c r="BM510">
        <f t="shared" si="415"/>
        <v>-68.627407245922015</v>
      </c>
      <c r="BN510">
        <f t="shared" si="403"/>
        <v>-169.61287495389303</v>
      </c>
      <c r="BQ510" s="56">
        <f t="shared" si="416"/>
        <v>14.494745694353423</v>
      </c>
    </row>
    <row r="511" spans="1:69" x14ac:dyDescent="0.2">
      <c r="A511">
        <f t="shared" si="420"/>
        <v>1485000</v>
      </c>
      <c r="B511">
        <f t="shared" si="404"/>
        <v>1485</v>
      </c>
      <c r="C511">
        <f t="shared" si="373"/>
        <v>1.0165847264344299</v>
      </c>
      <c r="D511">
        <f t="shared" si="374"/>
        <v>0.18087959078578833</v>
      </c>
      <c r="F511">
        <f t="shared" si="375"/>
        <v>2.4127509760162245E-5</v>
      </c>
      <c r="G511">
        <f t="shared" si="376"/>
        <v>1.0024440242606284E-3</v>
      </c>
      <c r="H511">
        <f t="shared" si="377"/>
        <v>-3.1405902059757396</v>
      </c>
      <c r="J511">
        <f t="shared" si="378"/>
        <v>15</v>
      </c>
      <c r="M511">
        <f t="shared" si="379"/>
        <v>8.4225328473212574E-4</v>
      </c>
      <c r="N511">
        <f t="shared" si="380"/>
        <v>-1.5707963250000001</v>
      </c>
      <c r="O511">
        <f t="shared" si="381"/>
        <v>291.62743500034895</v>
      </c>
      <c r="P511">
        <f t="shared" si="382"/>
        <v>1.5673672874120965</v>
      </c>
      <c r="Q511">
        <f t="shared" si="383"/>
        <v>253.49381611452125</v>
      </c>
      <c r="R511">
        <f t="shared" si="384"/>
        <v>1.5668514471563646</v>
      </c>
      <c r="S511">
        <f t="shared" si="385"/>
        <v>0.13821153430853261</v>
      </c>
      <c r="T511">
        <f t="shared" si="386"/>
        <v>-1.4321409370583822</v>
      </c>
      <c r="U511">
        <f t="shared" si="387"/>
        <v>0.13644547927424239</v>
      </c>
      <c r="V511">
        <f t="shared" si="388"/>
        <v>-1.4339238847746558</v>
      </c>
      <c r="X511">
        <f t="shared" si="405"/>
        <v>-67.290215209318461</v>
      </c>
      <c r="Y511">
        <f t="shared" si="389"/>
        <v>-244.21483954700972</v>
      </c>
      <c r="Z511">
        <f t="shared" si="406"/>
        <v>-64.214839547009717</v>
      </c>
      <c r="AC511">
        <v>1</v>
      </c>
      <c r="AD511">
        <f t="shared" si="390"/>
        <v>291.62572047897748</v>
      </c>
      <c r="AE511">
        <f t="shared" si="391"/>
        <v>-0.32652271001074801</v>
      </c>
      <c r="AF511">
        <f t="shared" si="392"/>
        <v>4.4973155421809997E-2</v>
      </c>
      <c r="AG511">
        <f t="shared" si="421"/>
        <v>117.71765090041758</v>
      </c>
      <c r="AH511">
        <f t="shared" si="422"/>
        <v>-876.91170473170939</v>
      </c>
      <c r="AJ511">
        <f t="shared" si="393"/>
        <v>26400</v>
      </c>
      <c r="AK511">
        <f t="shared" si="394"/>
        <v>189178.36531292161</v>
      </c>
      <c r="AL511">
        <v>1</v>
      </c>
      <c r="AM511">
        <f t="shared" si="395"/>
        <v>253.49184367214406</v>
      </c>
      <c r="AN511">
        <f t="shared" si="423"/>
        <v>746.68897555145486</v>
      </c>
      <c r="AO511">
        <f t="shared" si="424"/>
        <v>-101.19974928119379</v>
      </c>
      <c r="AQ511">
        <f t="shared" si="396"/>
        <v>1.133671038820184E-3</v>
      </c>
      <c r="AR511">
        <f t="shared" si="397"/>
        <v>-3.3670029852959464</v>
      </c>
      <c r="AT511">
        <f t="shared" si="418"/>
        <v>-2952.4308745810395</v>
      </c>
      <c r="AU511">
        <f t="shared" si="419"/>
        <v>-397.34981140698881</v>
      </c>
      <c r="AV511">
        <f t="shared" si="407"/>
        <v>-3.0078125506283757</v>
      </c>
      <c r="AW511">
        <f t="shared" si="408"/>
        <v>523.98528536158267</v>
      </c>
      <c r="AX511">
        <f t="shared" si="409"/>
        <v>-3909.0135030148031</v>
      </c>
      <c r="AY511">
        <f t="shared" si="417"/>
        <v>-1.4375452293544264</v>
      </c>
      <c r="BA511">
        <f t="shared" si="398"/>
        <v>0.75534163783875241</v>
      </c>
      <c r="BB511">
        <f t="shared" si="410"/>
        <v>-2.4371314874365306</v>
      </c>
      <c r="BC511">
        <f t="shared" si="411"/>
        <v>-1.5702673212739493</v>
      </c>
      <c r="BD511">
        <f t="shared" si="399"/>
        <v>-269.96969031911595</v>
      </c>
      <c r="BF511">
        <f t="shared" si="400"/>
        <v>-71.122184698676861</v>
      </c>
      <c r="BG511">
        <f t="shared" si="401"/>
        <v>-259.54861734334082</v>
      </c>
      <c r="BH511">
        <f t="shared" si="412"/>
        <v>-79.548617343340823</v>
      </c>
      <c r="BI511">
        <f t="shared" si="413"/>
        <v>-79.548617343340823</v>
      </c>
      <c r="BJ511">
        <f t="shared" si="402"/>
        <v>0</v>
      </c>
      <c r="BK511">
        <f t="shared" si="414"/>
        <v>0</v>
      </c>
      <c r="BM511">
        <f t="shared" si="415"/>
        <v>-68.68505321124033</v>
      </c>
      <c r="BN511">
        <f t="shared" si="403"/>
        <v>-169.57892702422487</v>
      </c>
      <c r="BQ511" s="56">
        <f t="shared" si="416"/>
        <v>14.464829312848606</v>
      </c>
    </row>
    <row r="512" spans="1:69" x14ac:dyDescent="0.2">
      <c r="A512">
        <f t="shared" si="420"/>
        <v>1490000</v>
      </c>
      <c r="B512">
        <f t="shared" si="404"/>
        <v>1490</v>
      </c>
      <c r="C512">
        <f t="shared" si="373"/>
        <v>1.0166956775256002</v>
      </c>
      <c r="D512">
        <f t="shared" si="374"/>
        <v>0.18147535088296954</v>
      </c>
      <c r="F512">
        <f t="shared" si="375"/>
        <v>2.3965848062630627E-5</v>
      </c>
      <c r="G512">
        <f t="shared" si="376"/>
        <v>9.9907995878068001E-4</v>
      </c>
      <c r="H512">
        <f t="shared" si="377"/>
        <v>-3.1405935700412195</v>
      </c>
      <c r="J512">
        <f t="shared" si="378"/>
        <v>15</v>
      </c>
      <c r="M512">
        <f t="shared" si="379"/>
        <v>8.3942693142765559E-4</v>
      </c>
      <c r="N512">
        <f t="shared" si="380"/>
        <v>-1.5707963250000001</v>
      </c>
      <c r="O512">
        <f t="shared" si="381"/>
        <v>292.60933402971267</v>
      </c>
      <c r="P512">
        <f t="shared" si="382"/>
        <v>1.5673787941659159</v>
      </c>
      <c r="Q512">
        <f t="shared" si="383"/>
        <v>254.34731738679031</v>
      </c>
      <c r="R512">
        <f t="shared" si="384"/>
        <v>1.5668646848708527</v>
      </c>
      <c r="S512">
        <f t="shared" si="385"/>
        <v>0.13775655316484564</v>
      </c>
      <c r="T512">
        <f t="shared" si="386"/>
        <v>-1.4326003123830287</v>
      </c>
      <c r="U512">
        <f t="shared" si="387"/>
        <v>0.13599609082054503</v>
      </c>
      <c r="V512">
        <f t="shared" si="388"/>
        <v>-1.4343775016201652</v>
      </c>
      <c r="X512">
        <f t="shared" si="405"/>
        <v>-67.375760676233995</v>
      </c>
      <c r="Y512">
        <f t="shared" si="389"/>
        <v>-244.23179059909037</v>
      </c>
      <c r="Z512">
        <f t="shared" si="406"/>
        <v>-64.231790599090374</v>
      </c>
      <c r="AC512">
        <v>1</v>
      </c>
      <c r="AD512">
        <f t="shared" si="390"/>
        <v>292.607625261735</v>
      </c>
      <c r="AE512">
        <f t="shared" si="391"/>
        <v>-0.32872521783258468</v>
      </c>
      <c r="AF512">
        <f t="shared" si="392"/>
        <v>4.5124580187540002E-2</v>
      </c>
      <c r="AG512">
        <f t="shared" si="421"/>
        <v>116.9435125746008</v>
      </c>
      <c r="AH512">
        <f t="shared" si="422"/>
        <v>-874.07531507814963</v>
      </c>
      <c r="AJ512">
        <f t="shared" si="393"/>
        <v>26400</v>
      </c>
      <c r="AK512">
        <f t="shared" si="394"/>
        <v>189815.32950589439</v>
      </c>
      <c r="AL512">
        <v>1</v>
      </c>
      <c r="AM512">
        <f t="shared" si="395"/>
        <v>254.34535156329602</v>
      </c>
      <c r="AN512">
        <f t="shared" si="423"/>
        <v>746.68630074002226</v>
      </c>
      <c r="AO512">
        <f t="shared" si="424"/>
        <v>-100.86016332355079</v>
      </c>
      <c r="AQ512">
        <f t="shared" si="396"/>
        <v>1.1260752752043517E-3</v>
      </c>
      <c r="AR512">
        <f t="shared" si="397"/>
        <v>-3.355704320108968</v>
      </c>
      <c r="AT512">
        <f t="shared" si="418"/>
        <v>-2933.0066237102483</v>
      </c>
      <c r="AU512">
        <f t="shared" si="419"/>
        <v>-393.41212495628127</v>
      </c>
      <c r="AV512">
        <f t="shared" si="407"/>
        <v>-3.0082557905868397</v>
      </c>
      <c r="AW512">
        <f t="shared" si="408"/>
        <v>525.48921485698895</v>
      </c>
      <c r="AX512">
        <f t="shared" si="409"/>
        <v>-3895.9918780484595</v>
      </c>
      <c r="AY512">
        <f t="shared" si="417"/>
        <v>-1.4367259998052822</v>
      </c>
      <c r="BA512">
        <f t="shared" si="398"/>
        <v>0.75275241144642113</v>
      </c>
      <c r="BB512">
        <f t="shared" si="410"/>
        <v>-2.4669568909650614</v>
      </c>
      <c r="BC512">
        <f t="shared" si="411"/>
        <v>-1.5715297907815575</v>
      </c>
      <c r="BD512">
        <f t="shared" si="399"/>
        <v>-270.0420244937485</v>
      </c>
      <c r="BF512">
        <f t="shared" si="400"/>
        <v>-71.209456133160089</v>
      </c>
      <c r="BG512">
        <f t="shared" si="401"/>
        <v>-259.58700972551782</v>
      </c>
      <c r="BH512">
        <f t="shared" si="412"/>
        <v>-79.587009725517817</v>
      </c>
      <c r="BI512">
        <f t="shared" si="413"/>
        <v>-79.587009725517817</v>
      </c>
      <c r="BJ512">
        <f t="shared" si="402"/>
        <v>0</v>
      </c>
      <c r="BK512">
        <f t="shared" si="414"/>
        <v>0</v>
      </c>
      <c r="BM512">
        <f t="shared" si="415"/>
        <v>-68.742499242195038</v>
      </c>
      <c r="BN512">
        <f t="shared" si="403"/>
        <v>-169.54498523176929</v>
      </c>
      <c r="BQ512" s="56">
        <f t="shared" si="416"/>
        <v>14.435003909320077</v>
      </c>
    </row>
    <row r="513" spans="1:69" x14ac:dyDescent="0.2">
      <c r="A513">
        <f t="shared" si="420"/>
        <v>1495000</v>
      </c>
      <c r="B513">
        <f t="shared" si="404"/>
        <v>1495</v>
      </c>
      <c r="C513">
        <f t="shared" si="373"/>
        <v>1.0168069893938363</v>
      </c>
      <c r="D513">
        <f t="shared" si="374"/>
        <v>0.18207098075345152</v>
      </c>
      <c r="F513">
        <f t="shared" si="375"/>
        <v>2.3805805725328243E-5</v>
      </c>
      <c r="G513">
        <f t="shared" si="376"/>
        <v>9.9573839700191303E-4</v>
      </c>
      <c r="H513">
        <f t="shared" si="377"/>
        <v>-3.1405969116029984</v>
      </c>
      <c r="J513">
        <f t="shared" si="378"/>
        <v>15</v>
      </c>
      <c r="M513">
        <f t="shared" si="379"/>
        <v>8.3661948349645938E-4</v>
      </c>
      <c r="N513">
        <f t="shared" si="380"/>
        <v>-1.5707963250000001</v>
      </c>
      <c r="O513">
        <f t="shared" si="381"/>
        <v>293.59123309756029</v>
      </c>
      <c r="P513">
        <f t="shared" si="382"/>
        <v>1.5673902239523783</v>
      </c>
      <c r="Q513">
        <f t="shared" si="383"/>
        <v>255.20081870333235</v>
      </c>
      <c r="R513">
        <f t="shared" si="384"/>
        <v>1.5668778340401197</v>
      </c>
      <c r="S513">
        <f t="shared" si="385"/>
        <v>0.1373045290242364</v>
      </c>
      <c r="T513">
        <f t="shared" si="386"/>
        <v>-1.4330566730831862</v>
      </c>
      <c r="U513">
        <f t="shared" si="387"/>
        <v>0.13554962518818364</v>
      </c>
      <c r="V513">
        <f t="shared" si="388"/>
        <v>-1.4348281401732879</v>
      </c>
      <c r="X513">
        <f t="shared" si="405"/>
        <v>-67.461020570472982</v>
      </c>
      <c r="Y513">
        <f t="shared" si="389"/>
        <v>-244.24841393757208</v>
      </c>
      <c r="Z513">
        <f t="shared" si="406"/>
        <v>-64.248413937572082</v>
      </c>
      <c r="AC513">
        <v>1</v>
      </c>
      <c r="AD513">
        <f t="shared" si="390"/>
        <v>293.58953004449251</v>
      </c>
      <c r="AE513">
        <f t="shared" si="391"/>
        <v>-0.3309351290420578</v>
      </c>
      <c r="AF513">
        <f t="shared" si="392"/>
        <v>4.5276004953269999E-2</v>
      </c>
      <c r="AG513">
        <f t="shared" si="421"/>
        <v>116.17693824109394</v>
      </c>
      <c r="AH513">
        <f t="shared" si="422"/>
        <v>-871.25686308324759</v>
      </c>
      <c r="AJ513">
        <f t="shared" si="393"/>
        <v>26400</v>
      </c>
      <c r="AK513">
        <f t="shared" si="394"/>
        <v>190452.2936988672</v>
      </c>
      <c r="AL513">
        <v>1</v>
      </c>
      <c r="AM513">
        <f t="shared" si="395"/>
        <v>255.19885945444801</v>
      </c>
      <c r="AN513">
        <f t="shared" si="423"/>
        <v>746.68365272070901</v>
      </c>
      <c r="AO513">
        <f t="shared" si="424"/>
        <v>-100.52284873890004</v>
      </c>
      <c r="AQ513">
        <f t="shared" si="396"/>
        <v>1.1185555957365582E-3</v>
      </c>
      <c r="AR513">
        <f t="shared" si="397"/>
        <v>-3.3444812312523093</v>
      </c>
      <c r="AT513">
        <f t="shared" si="418"/>
        <v>-2913.7722758173195</v>
      </c>
      <c r="AU513">
        <f t="shared" si="419"/>
        <v>-389.52613869122297</v>
      </c>
      <c r="AV513">
        <f t="shared" si="407"/>
        <v>-3.0086961216626373</v>
      </c>
      <c r="AW513">
        <f t="shared" si="408"/>
        <v>526.97789143760917</v>
      </c>
      <c r="AX513">
        <f t="shared" si="409"/>
        <v>-3883.0564230336477</v>
      </c>
      <c r="AY513">
        <f t="shared" si="417"/>
        <v>-1.4359082728171466</v>
      </c>
      <c r="BA513">
        <f t="shared" si="398"/>
        <v>0.750179866281241</v>
      </c>
      <c r="BB513">
        <f t="shared" si="410"/>
        <v>-2.4966919170168698</v>
      </c>
      <c r="BC513">
        <f t="shared" si="411"/>
        <v>-1.5727878488454907</v>
      </c>
      <c r="BD513">
        <f t="shared" si="399"/>
        <v>-270.11410591127668</v>
      </c>
      <c r="BF513">
        <f t="shared" si="400"/>
        <v>-71.296438577520135</v>
      </c>
      <c r="BG513">
        <f t="shared" si="401"/>
        <v>-259.62515552266353</v>
      </c>
      <c r="BH513">
        <f t="shared" si="412"/>
        <v>-79.625155522663533</v>
      </c>
      <c r="BI513">
        <f t="shared" si="413"/>
        <v>-79.625155522663533</v>
      </c>
      <c r="BJ513">
        <f t="shared" si="402"/>
        <v>0</v>
      </c>
      <c r="BK513">
        <f t="shared" si="414"/>
        <v>0</v>
      </c>
      <c r="BM513">
        <f t="shared" si="415"/>
        <v>-68.79974666050326</v>
      </c>
      <c r="BN513">
        <f t="shared" si="403"/>
        <v>-169.51104961138685</v>
      </c>
      <c r="BQ513" s="56">
        <f t="shared" si="416"/>
        <v>14.405268883268267</v>
      </c>
    </row>
    <row r="514" spans="1:69" x14ac:dyDescent="0.2">
      <c r="A514">
        <f t="shared" si="420"/>
        <v>1500000</v>
      </c>
      <c r="B514">
        <f t="shared" si="404"/>
        <v>1500</v>
      </c>
      <c r="C514">
        <f t="shared" si="373"/>
        <v>1.0169186619206665</v>
      </c>
      <c r="D514">
        <f t="shared" si="374"/>
        <v>0.18266648001743857</v>
      </c>
      <c r="F514">
        <f t="shared" si="375"/>
        <v>2.3647361191976263E-5</v>
      </c>
      <c r="G514">
        <f t="shared" si="376"/>
        <v>9.9241911386620837E-4</v>
      </c>
      <c r="H514">
        <f t="shared" si="377"/>
        <v>-3.1406002308861338</v>
      </c>
      <c r="J514">
        <f t="shared" si="378"/>
        <v>15</v>
      </c>
      <c r="M514">
        <f t="shared" si="379"/>
        <v>8.3383075188480445E-4</v>
      </c>
      <c r="N514">
        <f t="shared" si="380"/>
        <v>-1.5707963250000001</v>
      </c>
      <c r="O514">
        <f t="shared" si="381"/>
        <v>294.57313220350699</v>
      </c>
      <c r="P514">
        <f t="shared" si="382"/>
        <v>1.5674015775411454</v>
      </c>
      <c r="Q514">
        <f t="shared" si="383"/>
        <v>256.05432006370467</v>
      </c>
      <c r="R514">
        <f t="shared" si="384"/>
        <v>1.5668908955495997</v>
      </c>
      <c r="S514">
        <f t="shared" si="385"/>
        <v>0.13685543343533341</v>
      </c>
      <c r="T514">
        <f t="shared" si="386"/>
        <v>-1.4335100485485255</v>
      </c>
      <c r="U514">
        <f t="shared" si="387"/>
        <v>0.13510605422644886</v>
      </c>
      <c r="V514">
        <f t="shared" si="388"/>
        <v>-1.4352758294884767</v>
      </c>
      <c r="X514">
        <f t="shared" si="405"/>
        <v>-67.54599671149731</v>
      </c>
      <c r="Y514">
        <f t="shared" si="389"/>
        <v>-244.26471285088201</v>
      </c>
      <c r="Z514">
        <f t="shared" si="406"/>
        <v>-64.264712850882006</v>
      </c>
      <c r="AC514">
        <v>1</v>
      </c>
      <c r="AD514">
        <f t="shared" si="390"/>
        <v>294.57143482725002</v>
      </c>
      <c r="AE514">
        <f t="shared" si="391"/>
        <v>-0.33315244363916741</v>
      </c>
      <c r="AF514">
        <f t="shared" si="392"/>
        <v>4.5427429718999997E-2</v>
      </c>
      <c r="AG514">
        <f t="shared" si="421"/>
        <v>115.41783029615546</v>
      </c>
      <c r="AH514">
        <f t="shared" si="422"/>
        <v>-868.45618267930001</v>
      </c>
      <c r="AJ514">
        <f t="shared" si="393"/>
        <v>26400</v>
      </c>
      <c r="AK514">
        <f t="shared" si="394"/>
        <v>191089.25789184001</v>
      </c>
      <c r="AL514">
        <v>1</v>
      </c>
      <c r="AM514">
        <f t="shared" si="395"/>
        <v>256.05236734560003</v>
      </c>
      <c r="AN514">
        <f t="shared" si="423"/>
        <v>746.6810311368921</v>
      </c>
      <c r="AO514">
        <f t="shared" si="424"/>
        <v>-100.18778281490445</v>
      </c>
      <c r="AQ514">
        <f t="shared" si="396"/>
        <v>1.1111109876543346E-3</v>
      </c>
      <c r="AR514">
        <f t="shared" si="397"/>
        <v>-3.333332962963004</v>
      </c>
      <c r="AT514">
        <f t="shared" si="418"/>
        <v>-2894.7253785945177</v>
      </c>
      <c r="AU514">
        <f t="shared" si="419"/>
        <v>-385.69100944671635</v>
      </c>
      <c r="AV514">
        <f t="shared" si="407"/>
        <v>-3.0091335722161365</v>
      </c>
      <c r="AW514">
        <f t="shared" si="408"/>
        <v>528.45152118953092</v>
      </c>
      <c r="AX514">
        <f t="shared" si="409"/>
        <v>-3870.2062882076189</v>
      </c>
      <c r="AY514">
        <f t="shared" si="417"/>
        <v>-1.4350920346899627</v>
      </c>
      <c r="BA514">
        <f t="shared" si="398"/>
        <v>0.74762384069123988</v>
      </c>
      <c r="BB514">
        <f t="shared" si="410"/>
        <v>-2.5263371604290388</v>
      </c>
      <c r="BC514">
        <f t="shared" si="411"/>
        <v>-1.5740415375261738</v>
      </c>
      <c r="BD514">
        <f t="shared" si="399"/>
        <v>-270.1859369815852</v>
      </c>
      <c r="BF514">
        <f t="shared" si="400"/>
        <v>-71.383133935095927</v>
      </c>
      <c r="BG514">
        <f t="shared" si="401"/>
        <v>-259.66305717931834</v>
      </c>
      <c r="BH514">
        <f t="shared" si="412"/>
        <v>-79.663057179318344</v>
      </c>
      <c r="BI514">
        <f t="shared" si="413"/>
        <v>-79.663057179318344</v>
      </c>
      <c r="BJ514">
        <f t="shared" si="402"/>
        <v>0</v>
      </c>
      <c r="BK514">
        <f t="shared" si="414"/>
        <v>0</v>
      </c>
      <c r="BM514">
        <f t="shared" si="415"/>
        <v>-68.85679677466689</v>
      </c>
      <c r="BN514">
        <f t="shared" si="403"/>
        <v>-169.47712019773317</v>
      </c>
      <c r="BQ514" s="56">
        <f t="shared" si="416"/>
        <v>14.375623639856096</v>
      </c>
    </row>
    <row r="515" spans="1:69" x14ac:dyDescent="0.2">
      <c r="A515">
        <f t="shared" si="420"/>
        <v>1505000</v>
      </c>
      <c r="B515">
        <f t="shared" si="404"/>
        <v>1505</v>
      </c>
      <c r="C515">
        <f t="shared" si="373"/>
        <v>1.0170306949872869</v>
      </c>
      <c r="D515">
        <f t="shared" si="374"/>
        <v>0.18326184829567205</v>
      </c>
      <c r="F515">
        <f t="shared" si="375"/>
        <v>2.3490493263794323E-5</v>
      </c>
      <c r="G515">
        <f t="shared" si="376"/>
        <v>9.8912188730660116E-4</v>
      </c>
      <c r="H515">
        <f t="shared" si="377"/>
        <v>-3.1406035281126936</v>
      </c>
      <c r="J515">
        <f t="shared" si="378"/>
        <v>15</v>
      </c>
      <c r="M515">
        <f t="shared" si="379"/>
        <v>8.3106055005130008E-4</v>
      </c>
      <c r="N515">
        <f t="shared" si="380"/>
        <v>-1.5707963250000001</v>
      </c>
      <c r="O515">
        <f t="shared" si="381"/>
        <v>295.55503134717304</v>
      </c>
      <c r="P515">
        <f t="shared" si="382"/>
        <v>1.5674128556916511</v>
      </c>
      <c r="Q515">
        <f t="shared" si="383"/>
        <v>256.90782146747034</v>
      </c>
      <c r="R515">
        <f t="shared" si="384"/>
        <v>1.5669038702729605</v>
      </c>
      <c r="S515">
        <f t="shared" si="385"/>
        <v>0.13640923830688625</v>
      </c>
      <c r="T515">
        <f t="shared" si="386"/>
        <v>-1.433960467790381</v>
      </c>
      <c r="U515">
        <f t="shared" si="387"/>
        <v>0.13466535014140524</v>
      </c>
      <c r="V515">
        <f t="shared" si="388"/>
        <v>-1.4357205982458567</v>
      </c>
      <c r="X515">
        <f t="shared" si="405"/>
        <v>-67.630690901523579</v>
      </c>
      <c r="Y515">
        <f t="shared" si="389"/>
        <v>-244.28069058538082</v>
      </c>
      <c r="Z515">
        <f t="shared" si="406"/>
        <v>-64.280690585380825</v>
      </c>
      <c r="AC515">
        <v>1</v>
      </c>
      <c r="AD515">
        <f t="shared" si="390"/>
        <v>295.55333961000747</v>
      </c>
      <c r="AE515">
        <f t="shared" si="391"/>
        <v>-0.33537716162391346</v>
      </c>
      <c r="AF515">
        <f t="shared" si="392"/>
        <v>4.5578854484730001E-2</v>
      </c>
      <c r="AG515">
        <f t="shared" si="421"/>
        <v>114.66609269521456</v>
      </c>
      <c r="AH515">
        <f t="shared" si="422"/>
        <v>-865.6731097935874</v>
      </c>
      <c r="AJ515">
        <f t="shared" si="393"/>
        <v>26400</v>
      </c>
      <c r="AK515">
        <f t="shared" si="394"/>
        <v>191726.22208481282</v>
      </c>
      <c r="AL515">
        <v>1</v>
      </c>
      <c r="AM515">
        <f t="shared" si="395"/>
        <v>256.90587523675202</v>
      </c>
      <c r="AN515">
        <f t="shared" si="423"/>
        <v>746.67843563786232</v>
      </c>
      <c r="AO515">
        <f t="shared" si="424"/>
        <v>-99.854943141028897</v>
      </c>
      <c r="AQ515">
        <f t="shared" si="396"/>
        <v>1.1037404549905129E-3</v>
      </c>
      <c r="AR515">
        <f t="shared" si="397"/>
        <v>-3.3222587695214436</v>
      </c>
      <c r="AT515">
        <f t="shared" si="418"/>
        <v>-2875.8635189453221</v>
      </c>
      <c r="AU515">
        <f t="shared" si="419"/>
        <v>-381.90591045551196</v>
      </c>
      <c r="AV515">
        <f t="shared" si="407"/>
        <v>-3.0095681702426007</v>
      </c>
      <c r="AW515">
        <f t="shared" si="408"/>
        <v>529.91030672226896</v>
      </c>
      <c r="AX515">
        <f t="shared" si="409"/>
        <v>-3857.4406349108849</v>
      </c>
      <c r="AY515">
        <f t="shared" si="417"/>
        <v>-1.4342772719204442</v>
      </c>
      <c r="BA515">
        <f t="shared" si="398"/>
        <v>0.74508417509322911</v>
      </c>
      <c r="BB515">
        <f t="shared" si="410"/>
        <v>-2.55589321044505</v>
      </c>
      <c r="BC515">
        <f t="shared" si="411"/>
        <v>-1.5752908983221565</v>
      </c>
      <c r="BD515">
        <f t="shared" si="399"/>
        <v>-270.25752008236589</v>
      </c>
      <c r="BF515">
        <f t="shared" si="400"/>
        <v>-71.469544090593558</v>
      </c>
      <c r="BG515">
        <f t="shared" si="401"/>
        <v>-259.70071710762761</v>
      </c>
      <c r="BH515">
        <f t="shared" si="412"/>
        <v>-79.700717107627611</v>
      </c>
      <c r="BI515">
        <f t="shared" si="413"/>
        <v>-79.700717107627611</v>
      </c>
      <c r="BJ515">
        <f t="shared" si="402"/>
        <v>0</v>
      </c>
      <c r="BK515">
        <f t="shared" si="414"/>
        <v>0</v>
      </c>
      <c r="BM515">
        <f t="shared" si="415"/>
        <v>-68.913650880148495</v>
      </c>
      <c r="BN515">
        <f t="shared" si="403"/>
        <v>-169.44319702526164</v>
      </c>
      <c r="BQ515" s="56">
        <f t="shared" si="416"/>
        <v>14.346067589840086</v>
      </c>
    </row>
    <row r="516" spans="1:69" x14ac:dyDescent="0.2">
      <c r="A516">
        <f t="shared" si="420"/>
        <v>1510000</v>
      </c>
      <c r="B516">
        <f t="shared" si="404"/>
        <v>1510</v>
      </c>
      <c r="C516">
        <f t="shared" si="373"/>
        <v>1.0171430884745631</v>
      </c>
      <c r="D516">
        <f t="shared" si="374"/>
        <v>0.18385708520943156</v>
      </c>
      <c r="F516">
        <f t="shared" si="375"/>
        <v>2.3335181092409297E-5</v>
      </c>
      <c r="G516">
        <f t="shared" si="376"/>
        <v>9.8584649819775179E-4</v>
      </c>
      <c r="H516">
        <f t="shared" si="377"/>
        <v>-3.1406068035018024</v>
      </c>
      <c r="J516">
        <f t="shared" si="378"/>
        <v>15</v>
      </c>
      <c r="M516">
        <f t="shared" si="379"/>
        <v>8.2830869392530246E-4</v>
      </c>
      <c r="N516">
        <f t="shared" si="380"/>
        <v>-1.5707963250000001</v>
      </c>
      <c r="O516">
        <f t="shared" si="381"/>
        <v>296.53693052818375</v>
      </c>
      <c r="P516">
        <f t="shared" si="382"/>
        <v>1.5674240591532704</v>
      </c>
      <c r="Q516">
        <f t="shared" si="383"/>
        <v>257.76132291419827</v>
      </c>
      <c r="R516">
        <f t="shared" si="384"/>
        <v>1.5669167590722988</v>
      </c>
      <c r="S516">
        <f t="shared" si="385"/>
        <v>0.13596591590214682</v>
      </c>
      <c r="T516">
        <f t="shared" si="386"/>
        <v>-1.4344079594477799</v>
      </c>
      <c r="U516">
        <f t="shared" si="387"/>
        <v>0.13422748549031588</v>
      </c>
      <c r="V516">
        <f t="shared" si="388"/>
        <v>-1.4361624747571951</v>
      </c>
      <c r="X516">
        <f t="shared" si="405"/>
        <v>-67.715104925737791</v>
      </c>
      <c r="Y516">
        <f t="shared" si="389"/>
        <v>-244.29635034603214</v>
      </c>
      <c r="Z516">
        <f t="shared" si="406"/>
        <v>-64.296350346032142</v>
      </c>
      <c r="AC516">
        <v>1</v>
      </c>
      <c r="AD516">
        <f t="shared" si="390"/>
        <v>296.53524439276498</v>
      </c>
      <c r="AE516">
        <f t="shared" si="391"/>
        <v>-0.33760928299629583</v>
      </c>
      <c r="AF516">
        <f t="shared" si="392"/>
        <v>4.5730279250459999E-2</v>
      </c>
      <c r="AG516">
        <f t="shared" si="421"/>
        <v>113.92163092327469</v>
      </c>
      <c r="AH516">
        <f t="shared" si="422"/>
        <v>-862.90748231935356</v>
      </c>
      <c r="AJ516">
        <f t="shared" si="393"/>
        <v>26400</v>
      </c>
      <c r="AK516">
        <f t="shared" si="394"/>
        <v>192363.1862777856</v>
      </c>
      <c r="AL516">
        <v>1</v>
      </c>
      <c r="AM516">
        <f t="shared" si="395"/>
        <v>257.75938312790402</v>
      </c>
      <c r="AN516">
        <f t="shared" si="423"/>
        <v>746.6758658787071</v>
      </c>
      <c r="AO516">
        <f t="shared" si="424"/>
        <v>-99.524307603544102</v>
      </c>
      <c r="AQ516">
        <f t="shared" si="396"/>
        <v>1.096443018240097E-3</v>
      </c>
      <c r="AR516">
        <f t="shared" si="397"/>
        <v>-3.3112579150850934</v>
      </c>
      <c r="AT516">
        <f t="shared" si="418"/>
        <v>-2857.1843222392577</v>
      </c>
      <c r="AU516">
        <f t="shared" si="419"/>
        <v>-378.17003097847225</v>
      </c>
      <c r="AV516">
        <f t="shared" si="407"/>
        <v>-3.0099999433780051</v>
      </c>
      <c r="AW516">
        <f t="shared" si="408"/>
        <v>531.35444723903856</v>
      </c>
      <c r="AX516">
        <f t="shared" si="409"/>
        <v>-3844.7586354069517</v>
      </c>
      <c r="AY516">
        <f t="shared" si="417"/>
        <v>-1.4334639711986243</v>
      </c>
      <c r="BA516">
        <f t="shared" si="398"/>
        <v>0.74256071194013185</v>
      </c>
      <c r="BB516">
        <f t="shared" si="410"/>
        <v>-2.5853606507826736</v>
      </c>
      <c r="BC516">
        <f t="shared" si="411"/>
        <v>-1.5765359721793808</v>
      </c>
      <c r="BD516">
        <f t="shared" si="399"/>
        <v>-270.32885755964844</v>
      </c>
      <c r="BF516">
        <f t="shared" si="400"/>
        <v>-71.555670910327109</v>
      </c>
      <c r="BG516">
        <f t="shared" si="401"/>
        <v>-259.73813768787471</v>
      </c>
      <c r="BH516">
        <f t="shared" si="412"/>
        <v>-79.738137687874712</v>
      </c>
      <c r="BI516">
        <f t="shared" si="413"/>
        <v>-79.738137687874712</v>
      </c>
      <c r="BJ516">
        <f t="shared" si="402"/>
        <v>0</v>
      </c>
      <c r="BK516">
        <f t="shared" si="414"/>
        <v>0</v>
      </c>
      <c r="BM516">
        <f t="shared" si="415"/>
        <v>-68.970310259544434</v>
      </c>
      <c r="BN516">
        <f t="shared" si="403"/>
        <v>-169.40928012822627</v>
      </c>
      <c r="BQ516" s="56">
        <f t="shared" si="416"/>
        <v>14.316600149502463</v>
      </c>
    </row>
    <row r="517" spans="1:69" x14ac:dyDescent="0.2">
      <c r="A517">
        <f t="shared" si="420"/>
        <v>1515000</v>
      </c>
      <c r="B517">
        <f t="shared" si="404"/>
        <v>1515</v>
      </c>
      <c r="C517">
        <f t="shared" si="373"/>
        <v>1.0172558422630293</v>
      </c>
      <c r="D517">
        <f t="shared" si="374"/>
        <v>0.18445219038053617</v>
      </c>
      <c r="F517">
        <f t="shared" si="375"/>
        <v>2.318140417292762E-5</v>
      </c>
      <c r="G517">
        <f t="shared" si="376"/>
        <v>9.8259273030739725E-4</v>
      </c>
      <c r="H517">
        <f t="shared" si="377"/>
        <v>-3.1406100572696927</v>
      </c>
      <c r="J517">
        <f t="shared" si="378"/>
        <v>15</v>
      </c>
      <c r="M517">
        <f t="shared" si="379"/>
        <v>8.2557500186614303E-4</v>
      </c>
      <c r="N517">
        <f t="shared" si="380"/>
        <v>-1.5707963250000001</v>
      </c>
      <c r="O517">
        <f t="shared" si="381"/>
        <v>297.51882974616939</v>
      </c>
      <c r="P517">
        <f t="shared" si="382"/>
        <v>1.5674351886654863</v>
      </c>
      <c r="Q517">
        <f t="shared" si="383"/>
        <v>258.61482440346327</v>
      </c>
      <c r="R517">
        <f t="shared" si="384"/>
        <v>1.5669295627983302</v>
      </c>
      <c r="S517">
        <f t="shared" si="385"/>
        <v>0.13552543883335438</v>
      </c>
      <c r="T517">
        <f t="shared" si="386"/>
        <v>-1.4348525517933559</v>
      </c>
      <c r="U517">
        <f t="shared" si="387"/>
        <v>0.13379243317617015</v>
      </c>
      <c r="V517">
        <f t="shared" si="388"/>
        <v>-1.436601486971758</v>
      </c>
      <c r="X517">
        <f t="shared" si="405"/>
        <v>-67.799240552506745</v>
      </c>
      <c r="Y517">
        <f t="shared" si="389"/>
        <v>-244.31169529705946</v>
      </c>
      <c r="Z517">
        <f t="shared" si="406"/>
        <v>-64.311695297059458</v>
      </c>
      <c r="AC517">
        <v>1</v>
      </c>
      <c r="AD517">
        <f t="shared" si="390"/>
        <v>297.51714917552249</v>
      </c>
      <c r="AE517">
        <f t="shared" si="391"/>
        <v>-0.33984880775631471</v>
      </c>
      <c r="AF517">
        <f t="shared" si="392"/>
        <v>4.5881704016189996E-2</v>
      </c>
      <c r="AG517">
        <f t="shared" si="421"/>
        <v>113.18435196596604</v>
      </c>
      <c r="AH517">
        <f t="shared" si="422"/>
        <v>-860.15914008727043</v>
      </c>
      <c r="AJ517">
        <f t="shared" si="393"/>
        <v>26400</v>
      </c>
      <c r="AK517">
        <f t="shared" si="394"/>
        <v>193000.15047075841</v>
      </c>
      <c r="AL517">
        <v>1</v>
      </c>
      <c r="AM517">
        <f t="shared" si="395"/>
        <v>258.61289101905601</v>
      </c>
      <c r="AN517">
        <f t="shared" si="423"/>
        <v>746.67332152019605</v>
      </c>
      <c r="AO517">
        <f t="shared" si="424"/>
        <v>-99.195854380629171</v>
      </c>
      <c r="AQ517">
        <f t="shared" si="396"/>
        <v>1.0892177140348208E-3</v>
      </c>
      <c r="AR517">
        <f t="shared" si="397"/>
        <v>-3.300329673525507</v>
      </c>
      <c r="AT517">
        <f t="shared" si="418"/>
        <v>-2838.6854515830892</v>
      </c>
      <c r="AU517">
        <f t="shared" si="419"/>
        <v>-374.48257594430481</v>
      </c>
      <c r="AV517">
        <f t="shared" si="407"/>
        <v>-3.0104289189047471</v>
      </c>
      <c r="AW517">
        <f t="shared" si="408"/>
        <v>532.78413860537535</v>
      </c>
      <c r="AX517">
        <f t="shared" si="409"/>
        <v>-3832.1594727055422</v>
      </c>
      <c r="AY517">
        <f t="shared" si="417"/>
        <v>-1.4326521194044746</v>
      </c>
      <c r="BA517">
        <f t="shared" si="398"/>
        <v>0.74005329568892242</v>
      </c>
      <c r="BB517">
        <f t="shared" si="410"/>
        <v>-2.6147400597008534</v>
      </c>
      <c r="BC517">
        <f t="shared" si="411"/>
        <v>-1.5777767995002725</v>
      </c>
      <c r="BD517">
        <f t="shared" si="399"/>
        <v>-270.3999517283213</v>
      </c>
      <c r="BF517">
        <f t="shared" si="400"/>
        <v>-71.641516242455893</v>
      </c>
      <c r="BG517">
        <f t="shared" si="401"/>
        <v>-259.77532126900576</v>
      </c>
      <c r="BH517">
        <f t="shared" si="412"/>
        <v>-79.775321269005758</v>
      </c>
      <c r="BI517">
        <f t="shared" si="413"/>
        <v>-79.775321269005758</v>
      </c>
      <c r="BJ517">
        <f t="shared" si="402"/>
        <v>0</v>
      </c>
      <c r="BK517">
        <f t="shared" si="414"/>
        <v>0</v>
      </c>
      <c r="BM517">
        <f t="shared" si="415"/>
        <v>-69.026776182755029</v>
      </c>
      <c r="BN517">
        <f t="shared" si="403"/>
        <v>-169.37536954068443</v>
      </c>
      <c r="BQ517" s="56">
        <f t="shared" si="416"/>
        <v>14.287220740584283</v>
      </c>
    </row>
    <row r="518" spans="1:69" x14ac:dyDescent="0.2">
      <c r="A518">
        <f>A517+5000</f>
        <v>1520000</v>
      </c>
      <c r="B518">
        <f t="shared" si="404"/>
        <v>1520</v>
      </c>
      <c r="C518">
        <f t="shared" si="373"/>
        <v>1.0173689562328907</v>
      </c>
      <c r="D518">
        <f t="shared" si="374"/>
        <v>0.18504716343134558</v>
      </c>
      <c r="F518">
        <f t="shared" si="375"/>
        <v>2.3029142337166951E-5</v>
      </c>
      <c r="G518">
        <f t="shared" si="376"/>
        <v>9.7936037024876099E-4</v>
      </c>
      <c r="H518">
        <f t="shared" si="377"/>
        <v>-3.1406132896297514</v>
      </c>
      <c r="J518">
        <f t="shared" si="378"/>
        <v>15</v>
      </c>
      <c r="M518">
        <f t="shared" si="379"/>
        <v>8.2285929462316235E-4</v>
      </c>
      <c r="N518">
        <f t="shared" si="380"/>
        <v>-1.5707963250000001</v>
      </c>
      <c r="O518">
        <f t="shared" si="381"/>
        <v>298.50072900076509</v>
      </c>
      <c r="P518">
        <f t="shared" si="382"/>
        <v>1.5674462449580515</v>
      </c>
      <c r="Q518">
        <f t="shared" si="383"/>
        <v>259.46832593484544</v>
      </c>
      <c r="R518">
        <f t="shared" si="384"/>
        <v>1.5669422822905772</v>
      </c>
      <c r="S518">
        <f t="shared" si="385"/>
        <v>0.13508778005632199</v>
      </c>
      <c r="T518">
        <f t="shared" si="386"/>
        <v>-1.4352942727391527</v>
      </c>
      <c r="U518">
        <f t="shared" si="387"/>
        <v>0.13336016644231227</v>
      </c>
      <c r="V518">
        <f t="shared" si="388"/>
        <v>-1.4370376624820589</v>
      </c>
      <c r="X518">
        <f t="shared" si="405"/>
        <v>-67.883099533586119</v>
      </c>
      <c r="Y518">
        <f t="shared" si="389"/>
        <v>-244.32672856258998</v>
      </c>
      <c r="Z518">
        <f t="shared" si="406"/>
        <v>-64.326728562589977</v>
      </c>
      <c r="AC518">
        <v>1</v>
      </c>
      <c r="AD518">
        <f t="shared" si="390"/>
        <v>298.49905395828</v>
      </c>
      <c r="AE518">
        <f t="shared" si="391"/>
        <v>-0.34209573590396997</v>
      </c>
      <c r="AF518">
        <f t="shared" si="392"/>
        <v>4.6033128781920001E-2</v>
      </c>
      <c r="AG518">
        <f t="shared" si="421"/>
        <v>112.45416428123127</v>
      </c>
      <c r="AH518">
        <f t="shared" si="422"/>
        <v>-857.42792483738447</v>
      </c>
      <c r="AJ518">
        <f t="shared" si="393"/>
        <v>26400</v>
      </c>
      <c r="AK518">
        <f t="shared" si="394"/>
        <v>193637.11466373122</v>
      </c>
      <c r="AL518">
        <v>1</v>
      </c>
      <c r="AM518">
        <f t="shared" si="395"/>
        <v>259.46639891020806</v>
      </c>
      <c r="AN518">
        <f t="shared" si="423"/>
        <v>746.67080222866866</v>
      </c>
      <c r="AO518">
        <f t="shared" si="424"/>
        <v>-98.869561937571049</v>
      </c>
      <c r="AQ518">
        <f t="shared" si="396"/>
        <v>1.0820635948251822E-3</v>
      </c>
      <c r="AR518">
        <f t="shared" si="397"/>
        <v>-3.2894733282685542</v>
      </c>
      <c r="AT518">
        <f t="shared" si="418"/>
        <v>-2820.3646071079756</v>
      </c>
      <c r="AU518">
        <f t="shared" si="419"/>
        <v>-370.84276559849366</v>
      </c>
      <c r="AV518">
        <f t="shared" si="407"/>
        <v>-3.0108551237572443</v>
      </c>
      <c r="AW518">
        <f t="shared" si="408"/>
        <v>534.19957341614258</v>
      </c>
      <c r="AX518">
        <f t="shared" si="409"/>
        <v>-3819.6423403892377</v>
      </c>
      <c r="AY518">
        <f t="shared" si="417"/>
        <v>-1.4318417036045967</v>
      </c>
      <c r="BA518">
        <f t="shared" si="398"/>
        <v>0.73756177276916413</v>
      </c>
      <c r="BB518">
        <f t="shared" si="410"/>
        <v>-2.6440320100656001</v>
      </c>
      <c r="BC518">
        <f t="shared" si="411"/>
        <v>-1.5790134201526476</v>
      </c>
      <c r="BD518">
        <f t="shared" si="399"/>
        <v>-270.47080487264208</v>
      </c>
      <c r="BF518">
        <f t="shared" si="400"/>
        <v>-71.727081917217603</v>
      </c>
      <c r="BG518">
        <f t="shared" si="401"/>
        <v>-259.81227016914158</v>
      </c>
      <c r="BH518">
        <f t="shared" si="412"/>
        <v>-79.812270169141584</v>
      </c>
      <c r="BI518">
        <f t="shared" si="413"/>
        <v>-79.812270169141584</v>
      </c>
      <c r="BJ518">
        <f t="shared" si="402"/>
        <v>0</v>
      </c>
      <c r="BK518">
        <f t="shared" si="414"/>
        <v>0</v>
      </c>
      <c r="BM518">
        <f t="shared" si="415"/>
        <v>-69.083049907152002</v>
      </c>
      <c r="BN518">
        <f t="shared" si="403"/>
        <v>-169.34146529649951</v>
      </c>
      <c r="BQ518" s="56">
        <f t="shared" si="416"/>
        <v>14.257928790219536</v>
      </c>
    </row>
    <row r="519" spans="1:69" x14ac:dyDescent="0.2">
      <c r="A519">
        <f t="shared" si="420"/>
        <v>1525000</v>
      </c>
      <c r="B519">
        <f t="shared" si="404"/>
        <v>1525</v>
      </c>
      <c r="C519">
        <f t="shared" si="373"/>
        <v>1.0174824302640224</v>
      </c>
      <c r="D519">
        <f t="shared" si="374"/>
        <v>0.1856420039847613</v>
      </c>
      <c r="F519">
        <f t="shared" si="375"/>
        <v>2.2878375747042835E-5</v>
      </c>
      <c r="G519">
        <f t="shared" si="376"/>
        <v>9.7614920743390051E-4</v>
      </c>
      <c r="H519">
        <f t="shared" si="377"/>
        <v>-3.1406165007925662</v>
      </c>
      <c r="J519">
        <f t="shared" si="378"/>
        <v>15</v>
      </c>
      <c r="M519">
        <f t="shared" si="379"/>
        <v>8.2016139529652904E-4</v>
      </c>
      <c r="N519">
        <f t="shared" si="380"/>
        <v>-1.5707963250000001</v>
      </c>
      <c r="O519">
        <f t="shared" si="381"/>
        <v>299.48262829161069</v>
      </c>
      <c r="P519">
        <f t="shared" si="382"/>
        <v>1.5674572287511486</v>
      </c>
      <c r="Q519">
        <f t="shared" si="383"/>
        <v>260.32182750793055</v>
      </c>
      <c r="R519">
        <f t="shared" si="384"/>
        <v>1.5669549183775526</v>
      </c>
      <c r="S519">
        <f t="shared" si="385"/>
        <v>0.1346529128651224</v>
      </c>
      <c r="T519">
        <f t="shared" si="386"/>
        <v>-1.4357331498423169</v>
      </c>
      <c r="U519">
        <f t="shared" si="387"/>
        <v>0.13293065886716857</v>
      </c>
      <c r="V519">
        <f t="shared" si="388"/>
        <v>-1.4374710285294947</v>
      </c>
      <c r="X519">
        <f t="shared" si="405"/>
        <v>-67.966683604325482</v>
      </c>
      <c r="Y519">
        <f t="shared" si="389"/>
        <v>-244.3414532272873</v>
      </c>
      <c r="Z519">
        <f t="shared" si="406"/>
        <v>-64.341453227287303</v>
      </c>
      <c r="AC519">
        <v>1</v>
      </c>
      <c r="AD519">
        <f t="shared" si="390"/>
        <v>299.48095874103751</v>
      </c>
      <c r="AE519">
        <f t="shared" si="391"/>
        <v>-0.34435006743926166</v>
      </c>
      <c r="AF519">
        <f t="shared" si="392"/>
        <v>4.6184553547649998E-2</v>
      </c>
      <c r="AG519">
        <f t="shared" si="421"/>
        <v>111.73097777162774</v>
      </c>
      <c r="AH519">
        <f t="shared" si="422"/>
        <v>-854.71368019152885</v>
      </c>
      <c r="AJ519">
        <f t="shared" si="393"/>
        <v>26400</v>
      </c>
      <c r="AK519">
        <f t="shared" si="394"/>
        <v>194274.07885670403</v>
      </c>
      <c r="AL519">
        <v>1</v>
      </c>
      <c r="AM519">
        <f t="shared" si="395"/>
        <v>260.31990680136005</v>
      </c>
      <c r="AN519">
        <f t="shared" si="423"/>
        <v>746.66830767592523</v>
      </c>
      <c r="AO519">
        <f t="shared" si="424"/>
        <v>-98.545409022058124</v>
      </c>
      <c r="AQ519">
        <f t="shared" si="396"/>
        <v>1.0749797285697685E-3</v>
      </c>
      <c r="AR519">
        <f t="shared" si="397"/>
        <v>-3.2786881721377941</v>
      </c>
      <c r="AT519">
        <f t="shared" si="418"/>
        <v>-2802.2195252721731</v>
      </c>
      <c r="AU519">
        <f t="shared" si="419"/>
        <v>-367.24983516116384</v>
      </c>
      <c r="AV519">
        <f t="shared" si="407"/>
        <v>-3.0112785845274286</v>
      </c>
      <c r="AW519">
        <f t="shared" si="408"/>
        <v>535.60094106097642</v>
      </c>
      <c r="AX519">
        <f t="shared" si="409"/>
        <v>-3807.2064424434602</v>
      </c>
      <c r="AY519">
        <f t="shared" si="417"/>
        <v>-1.4310327110489816</v>
      </c>
      <c r="BA519">
        <f t="shared" si="398"/>
        <v>0.73508599155212939</v>
      </c>
      <c r="BB519">
        <f t="shared" si="410"/>
        <v>-2.673237069414955</v>
      </c>
      <c r="BC519">
        <f t="shared" si="411"/>
        <v>-1.580245873478447</v>
      </c>
      <c r="BD519">
        <f t="shared" si="399"/>
        <v>-270.54141924673792</v>
      </c>
      <c r="BF519">
        <f t="shared" si="400"/>
        <v>-71.812369747158073</v>
      </c>
      <c r="BG519">
        <f t="shared" si="401"/>
        <v>-259.84898667608138</v>
      </c>
      <c r="BH519">
        <f t="shared" si="412"/>
        <v>-79.848986676081381</v>
      </c>
      <c r="BI519">
        <f t="shared" si="413"/>
        <v>-79.848986676081381</v>
      </c>
      <c r="BJ519">
        <f t="shared" si="402"/>
        <v>0</v>
      </c>
      <c r="BK519">
        <f t="shared" si="414"/>
        <v>0</v>
      </c>
      <c r="BM519">
        <f t="shared" si="415"/>
        <v>-69.13913267774312</v>
      </c>
      <c r="BN519">
        <f t="shared" si="403"/>
        <v>-169.30756742934346</v>
      </c>
      <c r="BQ519" s="56">
        <f t="shared" si="416"/>
        <v>14.228723730870183</v>
      </c>
    </row>
    <row r="520" spans="1:69" x14ac:dyDescent="0.2">
      <c r="A520">
        <f t="shared" si="420"/>
        <v>1530000</v>
      </c>
      <c r="B520">
        <f t="shared" si="404"/>
        <v>1530</v>
      </c>
      <c r="C520">
        <f t="shared" si="373"/>
        <v>1.017596264235971</v>
      </c>
      <c r="D520">
        <f t="shared" si="374"/>
        <v>0.18623671166422787</v>
      </c>
      <c r="F520">
        <f t="shared" si="375"/>
        <v>2.2729084888106492E-5</v>
      </c>
      <c r="G520">
        <f t="shared" si="376"/>
        <v>9.7295903402796655E-4</v>
      </c>
      <c r="H520">
        <f t="shared" si="377"/>
        <v>-3.140619690965972</v>
      </c>
      <c r="J520">
        <f t="shared" si="378"/>
        <v>15</v>
      </c>
      <c r="M520">
        <f t="shared" si="379"/>
        <v>8.1748112929882783E-4</v>
      </c>
      <c r="N520">
        <f t="shared" si="380"/>
        <v>-1.5707963250000001</v>
      </c>
      <c r="O520">
        <f t="shared" si="381"/>
        <v>300.46452761835076</v>
      </c>
      <c r="P520">
        <f t="shared" si="382"/>
        <v>1.5674681407555462</v>
      </c>
      <c r="Q520">
        <f t="shared" si="383"/>
        <v>261.17532912230985</v>
      </c>
      <c r="R520">
        <f t="shared" si="384"/>
        <v>1.5669674718769389</v>
      </c>
      <c r="S520">
        <f t="shared" si="385"/>
        <v>0.13422081088687096</v>
      </c>
      <c r="T520">
        <f t="shared" si="386"/>
        <v>-1.4361692103106851</v>
      </c>
      <c r="U520">
        <f t="shared" si="387"/>
        <v>0.13250388435907154</v>
      </c>
      <c r="V520">
        <f t="shared" si="388"/>
        <v>-1.4379016120098806</v>
      </c>
      <c r="X520">
        <f t="shared" si="405"/>
        <v>-68.049994483870208</v>
      </c>
      <c r="Y520">
        <f t="shared" si="389"/>
        <v>-244.3558723369716</v>
      </c>
      <c r="Z520">
        <f t="shared" si="406"/>
        <v>-64.355872336971601</v>
      </c>
      <c r="AC520">
        <v>1</v>
      </c>
      <c r="AD520">
        <f t="shared" si="390"/>
        <v>300.46286352379502</v>
      </c>
      <c r="AE520">
        <f t="shared" si="391"/>
        <v>-0.3466118023621898</v>
      </c>
      <c r="AF520">
        <f t="shared" si="392"/>
        <v>4.6335978313380002E-2</v>
      </c>
      <c r="AG520">
        <f t="shared" si="421"/>
        <v>111.01470375723227</v>
      </c>
      <c r="AH520">
        <f t="shared" si="422"/>
        <v>-852.01625162619837</v>
      </c>
      <c r="AJ520">
        <f t="shared" si="393"/>
        <v>26400</v>
      </c>
      <c r="AK520">
        <f t="shared" si="394"/>
        <v>194911.04304967681</v>
      </c>
      <c r="AL520">
        <v>1</v>
      </c>
      <c r="AM520">
        <f t="shared" si="395"/>
        <v>261.17341469251204</v>
      </c>
      <c r="AN520">
        <f t="shared" si="423"/>
        <v>746.66583753911982</v>
      </c>
      <c r="AO520">
        <f t="shared" si="424"/>
        <v>-98.223374659566275</v>
      </c>
      <c r="AQ520">
        <f t="shared" si="396"/>
        <v>1.0679651984316718E-3</v>
      </c>
      <c r="AR520">
        <f t="shared" si="397"/>
        <v>-3.2679735072009155</v>
      </c>
      <c r="AT520">
        <f t="shared" si="418"/>
        <v>-2784.2479781789179</v>
      </c>
      <c r="AU520">
        <f t="shared" si="419"/>
        <v>-363.70303449362797</v>
      </c>
      <c r="AV520">
        <f t="shared" si="407"/>
        <v>-3.0116993274701405</v>
      </c>
      <c r="AW520">
        <f t="shared" si="408"/>
        <v>536.98842778820165</v>
      </c>
      <c r="AX520">
        <f t="shared" si="409"/>
        <v>-3794.8509930897026</v>
      </c>
      <c r="AY520">
        <f t="shared" si="417"/>
        <v>-1.4302251291678352</v>
      </c>
      <c r="BA520">
        <f t="shared" si="398"/>
        <v>0.73262580232049501</v>
      </c>
      <c r="BB520">
        <f t="shared" si="410"/>
        <v>-2.702355800022965</v>
      </c>
      <c r="BC520">
        <f t="shared" si="411"/>
        <v>-1.5814741983023053</v>
      </c>
      <c r="BD520">
        <f t="shared" si="399"/>
        <v>-270.61179707509655</v>
      </c>
      <c r="BF520">
        <f t="shared" si="400"/>
        <v>-71.897381527357084</v>
      </c>
      <c r="BG520">
        <f t="shared" si="401"/>
        <v>-259.88547304779587</v>
      </c>
      <c r="BH520">
        <f t="shared" si="412"/>
        <v>-79.88547304779587</v>
      </c>
      <c r="BI520">
        <f t="shared" si="413"/>
        <v>-79.88547304779587</v>
      </c>
      <c r="BJ520">
        <f t="shared" si="402"/>
        <v>0</v>
      </c>
      <c r="BK520">
        <f t="shared" si="414"/>
        <v>0</v>
      </c>
      <c r="BM520">
        <f t="shared" si="415"/>
        <v>-69.195025727334126</v>
      </c>
      <c r="BN520">
        <f t="shared" si="403"/>
        <v>-169.27367597269932</v>
      </c>
      <c r="BQ520" s="56">
        <f t="shared" si="416"/>
        <v>14.199605000262173</v>
      </c>
    </row>
    <row r="521" spans="1:69" x14ac:dyDescent="0.2">
      <c r="A521">
        <f t="shared" si="420"/>
        <v>1535000</v>
      </c>
      <c r="B521">
        <f t="shared" si="404"/>
        <v>1535</v>
      </c>
      <c r="C521">
        <f t="shared" ref="C521:C584" si="425">SQRT((A521/Fesr)^2+1)</f>
        <v>1.0177104580279557</v>
      </c>
      <c r="D521">
        <f t="shared" ref="D521:D584" si="426">ATAN(A521/Fesr)</f>
        <v>0.18683128609373389</v>
      </c>
      <c r="F521">
        <f t="shared" ref="F521:F584" si="427">(Ro/(Ro+Rdcr))/SQRT((A521/(Q*Fo))^2+(1-(A521^2/Fo^2))^2)</f>
        <v>2.2581250563229652E-5</v>
      </c>
      <c r="G521">
        <f t="shared" ref="G521:G584" si="428">-ATAN(A521*Fo/(Q*(Fo^2-A521^2)))</f>
        <v>9.697896449043596E-4</v>
      </c>
      <c r="H521">
        <f t="shared" ref="H521:H584" si="429">IF(G521&gt;0,G521-Pi,G521)</f>
        <v>-3.1406228603550956</v>
      </c>
      <c r="J521">
        <f t="shared" ref="J521:J584" si="430">Vin/Vramp</f>
        <v>15</v>
      </c>
      <c r="M521">
        <f t="shared" ref="M521:M584" si="431">1/(2*Pi*_Rfb1*(Cc1ea_u+Cc2ea_u)*A521)</f>
        <v>8.1481832431739849E-4</v>
      </c>
      <c r="N521">
        <f t="shared" ref="N521:N584" si="432">-Pi/2</f>
        <v>-1.5707963250000001</v>
      </c>
      <c r="O521">
        <f t="shared" ref="O521:O584" si="433">SQRT(1+(A521/Fz1_u)^2)</f>
        <v>301.44642698063473</v>
      </c>
      <c r="P521">
        <f t="shared" ref="P521:P584" si="434">ATAN2(Fz1_u,A521)</f>
        <v>1.5674789816727519</v>
      </c>
      <c r="Q521">
        <f t="shared" ref="Q521:Q584" si="435">SQRT(1+(A521/Fz2_u)^2)</f>
        <v>262.02883077757963</v>
      </c>
      <c r="R521">
        <f t="shared" ref="R521:R584" si="436">ATAN2(Fz2_u,A521)</f>
        <v>1.5669799435957652</v>
      </c>
      <c r="S521">
        <f t="shared" ref="S521:S584" si="437">1/SQRT(1+(A521/Fp1_u)^2)</f>
        <v>0.13379144807660387</v>
      </c>
      <c r="T521">
        <f t="shared" ref="T521:T584" si="438">-ATAN2(Fp1_u,A521)</f>
        <v>-1.436602481008266</v>
      </c>
      <c r="U521">
        <f t="shared" ref="U521:U584" si="439">1/SQRT(1+(A521/Fp2_u)^2)</f>
        <v>0.13207981715117847</v>
      </c>
      <c r="V521">
        <f t="shared" ref="V521:V584" si="440">-ATAN2(Fp2_u,A521)</f>
        <v>-1.4383294394788777</v>
      </c>
      <c r="X521">
        <f t="shared" si="405"/>
        <v>-68.133033875360226</v>
      </c>
      <c r="Y521">
        <f t="shared" ref="Y521:Y584" si="441">(180/Pi)*(D521+H521+N521+P521+R521+T521+V521)</f>
        <v>-244.3699888992285</v>
      </c>
      <c r="Z521">
        <f t="shared" si="406"/>
        <v>-64.369988899228503</v>
      </c>
      <c r="AC521">
        <v>1</v>
      </c>
      <c r="AD521">
        <f t="shared" ref="AD521:AD584" si="442">Rcea1_u*Cc1ea_u*A521*2*Pi</f>
        <v>301.44476830655253</v>
      </c>
      <c r="AE521">
        <f t="shared" ref="AE521:AE584" si="443">-Rcea1_u*Cc1ea_u*Cc2ea_u*(A521*2*Pi)^2</f>
        <v>-0.34888094067275438</v>
      </c>
      <c r="AF521">
        <f t="shared" ref="AF521:AF584" si="444">(Cc2ea_u+Cc1ea_u)*A521*2*Pi</f>
        <v>4.648740307911E-2</v>
      </c>
      <c r="AG521">
        <f t="shared" si="421"/>
        <v>110.3052549491325</v>
      </c>
      <c r="AH521">
        <f t="shared" si="422"/>
        <v>-849.33548644587484</v>
      </c>
      <c r="AJ521">
        <f t="shared" ref="AJ521:AJ584" si="445">_Rfb1</f>
        <v>26400</v>
      </c>
      <c r="AK521">
        <f t="shared" ref="AK521:AK584" si="446">_Rfb1*Rcea2_u*Cc3ea_u*A521*2*Pi</f>
        <v>195548.00724264962</v>
      </c>
      <c r="AL521">
        <v>1</v>
      </c>
      <c r="AM521">
        <f t="shared" ref="AM521:AM584" si="447">(_Rfb1+Rcea2_u)*Cc3ea_u*A521*2*Pi</f>
        <v>262.02692258366403</v>
      </c>
      <c r="AN521">
        <f t="shared" si="423"/>
        <v>746.66339150065619</v>
      </c>
      <c r="AO521">
        <f t="shared" si="424"/>
        <v>-97.903438148835065</v>
      </c>
      <c r="AQ521">
        <f t="shared" ref="AQ521:AQ584" si="448">Eadcg/(1+(Eadcg*A521/GBP)^2)</f>
        <v>1.0610191024818191E-3</v>
      </c>
      <c r="AR521">
        <f t="shared" ref="AR521:AR584" si="449">-(A521*Eadcg*Eadcg/GBP)/(1+(Eadcg*A521/GBP)^2)</f>
        <v>-3.2573286446191849</v>
      </c>
      <c r="AT521">
        <f t="shared" si="418"/>
        <v>-2766.4477729091127</v>
      </c>
      <c r="AU521">
        <f t="shared" si="419"/>
        <v>-360.20162777336617</v>
      </c>
      <c r="AV521">
        <f t="shared" si="407"/>
        <v>-3.0121173785084165</v>
      </c>
      <c r="AW521">
        <f t="shared" si="408"/>
        <v>538.3622167672662</v>
      </c>
      <c r="AX521">
        <f t="shared" si="409"/>
        <v>-3782.5752166219681</v>
      </c>
      <c r="AY521">
        <f t="shared" si="417"/>
        <v>-1.4294189455684716</v>
      </c>
      <c r="BA521">
        <f t="shared" ref="BA521:BA584" si="450">SQRT(AT521^2+AU521^2)/SQRT(AW521^2+AX521^2)</f>
        <v>0.73018105723859583</v>
      </c>
      <c r="BB521">
        <f t="shared" si="410"/>
        <v>-2.7313887589627543</v>
      </c>
      <c r="BC521">
        <f t="shared" si="411"/>
        <v>-1.5826984329399449</v>
      </c>
      <c r="BD521">
        <f t="shared" ref="BD521:BD584" si="451">BC521*180/Pi-180</f>
        <v>-270.68194055304718</v>
      </c>
      <c r="BF521">
        <f t="shared" ref="BF521:BF584" si="452">20*LOG(BA521*J521*F521*C521)</f>
        <v>-71.982119035650825</v>
      </c>
      <c r="BG521">
        <f t="shared" ref="BG521:BG584" si="453">(180/Pi)*(D521+H521+BC521)</f>
        <v>-259.92173151291115</v>
      </c>
      <c r="BH521">
        <f t="shared" si="412"/>
        <v>-79.921731512911151</v>
      </c>
      <c r="BI521">
        <f t="shared" si="413"/>
        <v>-79.921731512911151</v>
      </c>
      <c r="BJ521">
        <f t="shared" ref="BJ521:BJ584" si="454">SUM((BF522&lt;0)*(BF521&gt;0))*A521</f>
        <v>0</v>
      </c>
      <c r="BK521">
        <f t="shared" si="414"/>
        <v>0</v>
      </c>
      <c r="BM521">
        <f t="shared" si="415"/>
        <v>-69.250730276688074</v>
      </c>
      <c r="BN521">
        <f t="shared" ref="BN521:BN584" si="455">(H521+D521)*180/Pi</f>
        <v>-169.239790959864</v>
      </c>
      <c r="BQ521" s="56">
        <f t="shared" si="416"/>
        <v>14.170572041322382</v>
      </c>
    </row>
    <row r="522" spans="1:69" x14ac:dyDescent="0.2">
      <c r="A522">
        <f t="shared" si="420"/>
        <v>1540000</v>
      </c>
      <c r="B522">
        <f t="shared" ref="B522:B585" si="456">A522/1000</f>
        <v>1540</v>
      </c>
      <c r="C522">
        <f t="shared" si="425"/>
        <v>1.017825011518867</v>
      </c>
      <c r="D522">
        <f t="shared" si="426"/>
        <v>0.18742572689781348</v>
      </c>
      <c r="F522">
        <f t="shared" si="427"/>
        <v>2.2434853886432772E-5</v>
      </c>
      <c r="G522">
        <f t="shared" si="428"/>
        <v>9.6664083760075888E-4</v>
      </c>
      <c r="H522">
        <f t="shared" si="429"/>
        <v>-3.1406260091623994</v>
      </c>
      <c r="J522">
        <f t="shared" si="430"/>
        <v>15</v>
      </c>
      <c r="M522">
        <f t="shared" si="431"/>
        <v>8.1217281027740691E-4</v>
      </c>
      <c r="N522">
        <f t="shared" si="432"/>
        <v>-1.5707963250000001</v>
      </c>
      <c r="O522">
        <f t="shared" si="433"/>
        <v>302.42832637811625</v>
      </c>
      <c r="P522">
        <f t="shared" si="434"/>
        <v>1.5674897521951638</v>
      </c>
      <c r="Q522">
        <f t="shared" si="435"/>
        <v>262.88233247334171</v>
      </c>
      <c r="R522">
        <f t="shared" si="436"/>
        <v>1.5669923343305803</v>
      </c>
      <c r="S522">
        <f t="shared" si="437"/>
        <v>0.13336479871224952</v>
      </c>
      <c r="T522">
        <f t="shared" si="438"/>
        <v>-1.4370329884606201</v>
      </c>
      <c r="U522">
        <f t="shared" si="439"/>
        <v>0.13165843179648257</v>
      </c>
      <c r="V522">
        <f t="shared" si="440"/>
        <v>-1.4387545371573212</v>
      </c>
      <c r="X522">
        <f t="shared" ref="X522:X585" si="457">20*LOG(C522*J522*O522*Q522*F522*M522*S522*U522)</f>
        <v>-68.215803466125934</v>
      </c>
      <c r="Y522">
        <f t="shared" si="441"/>
        <v>-244.38380588400625</v>
      </c>
      <c r="Z522">
        <f t="shared" ref="Z522:Z585" si="458">Y522+180</f>
        <v>-64.38380588400625</v>
      </c>
      <c r="AC522">
        <v>1</v>
      </c>
      <c r="AD522">
        <f t="shared" si="442"/>
        <v>302.42667308931004</v>
      </c>
      <c r="AE522">
        <f t="shared" si="443"/>
        <v>-0.35115748237095518</v>
      </c>
      <c r="AF522">
        <f t="shared" si="444"/>
        <v>4.6638827844839997E-2</v>
      </c>
      <c r="AG522">
        <f t="shared" si="421"/>
        <v>109.60254542349162</v>
      </c>
      <c r="AH522">
        <f t="shared" si="422"/>
        <v>-846.67123375679773</v>
      </c>
      <c r="AJ522">
        <f t="shared" si="445"/>
        <v>26400</v>
      </c>
      <c r="AK522">
        <f t="shared" si="446"/>
        <v>196184.97143562243</v>
      </c>
      <c r="AL522">
        <v>1</v>
      </c>
      <c r="AM522">
        <f t="shared" si="447"/>
        <v>262.88043047481602</v>
      </c>
      <c r="AN522">
        <f t="shared" si="423"/>
        <v>746.6609692480846</v>
      </c>
      <c r="AO522">
        <f t="shared" si="424"/>
        <v>-97.585579057432</v>
      </c>
      <c r="AQ522">
        <f t="shared" si="448"/>
        <v>1.0541405534090326E-3</v>
      </c>
      <c r="AR522">
        <f t="shared" si="449"/>
        <v>-3.2467529044998202</v>
      </c>
      <c r="AT522">
        <f t="shared" si="418"/>
        <v>-2748.8167508684414</v>
      </c>
      <c r="AU522">
        <f t="shared" si="419"/>
        <v>-356.74489317720275</v>
      </c>
      <c r="AV522">
        <f t="shared" ref="AV522:AV585" si="459">ATAN2(AT522,AU522)</f>
        <v>-3.0125327632386836</v>
      </c>
      <c r="AW522">
        <f t="shared" ref="AW522:AW585" si="460">AG522-AH522*AO522/_Rfb2+AG522*AN522/_Rfb2+AN522-AO522*AR522+AQ522*AN522</f>
        <v>539.72248814972784</v>
      </c>
      <c r="AX522">
        <f t="shared" ref="AX522:AX585" si="461">AH522+AH522*AN522/_Rfb2+AG522*AO522/_Rfb2+AO522+AO522*AQ522+AN522*AR522</f>
        <v>-3770.3783472463128</v>
      </c>
      <c r="AY522">
        <f t="shared" si="417"/>
        <v>-1.4286141480322685</v>
      </c>
      <c r="BA522">
        <f t="shared" si="450"/>
        <v>0.72775161032322655</v>
      </c>
      <c r="BB522">
        <f t="shared" ref="BB522:BB585" si="462">20*LOG(BA522)</f>
        <v>-2.7603364981686696</v>
      </c>
      <c r="BC522">
        <f t="shared" ref="BC522:BC585" si="463">AV522-AY522</f>
        <v>-1.5839186152064151</v>
      </c>
      <c r="BD522">
        <f t="shared" si="451"/>
        <v>-270.75185184723256</v>
      </c>
      <c r="BF522">
        <f t="shared" si="452"/>
        <v>-72.066584032850741</v>
      </c>
      <c r="BG522">
        <f t="shared" si="453"/>
        <v>-259.95776427118267</v>
      </c>
      <c r="BH522">
        <f t="shared" ref="BH522:BH585" si="464">IF(BG522&gt;180,BG522-180,BG522+180)</f>
        <v>-79.957764271182668</v>
      </c>
      <c r="BI522">
        <f t="shared" ref="BI522:BI585" si="465">IF(BH522&gt;180,BH522-360,BH522)</f>
        <v>-79.957764271182668</v>
      </c>
      <c r="BJ522">
        <f t="shared" si="454"/>
        <v>0</v>
      </c>
      <c r="BK522">
        <f t="shared" ref="BK522:BK585" si="466">IF(BJ522&gt;0,BI522,0)</f>
        <v>0</v>
      </c>
      <c r="BM522">
        <f t="shared" ref="BM522:BM585" si="467">20*LOG(J522*F522*C522)</f>
        <v>-69.306247534682072</v>
      </c>
      <c r="BN522">
        <f t="shared" si="455"/>
        <v>-169.20591242395011</v>
      </c>
      <c r="BQ522" s="56">
        <f t="shared" ref="BQ522:BQ585" si="468">20*LOG(BA522*7)</f>
        <v>14.141624302116467</v>
      </c>
    </row>
    <row r="523" spans="1:69" x14ac:dyDescent="0.2">
      <c r="A523">
        <f t="shared" si="420"/>
        <v>1545000</v>
      </c>
      <c r="B523">
        <f t="shared" si="456"/>
        <v>1545</v>
      </c>
      <c r="C523">
        <f t="shared" si="425"/>
        <v>1.0179399245872696</v>
      </c>
      <c r="D523">
        <f t="shared" si="426"/>
        <v>0.18802003370154707</v>
      </c>
      <c r="F523">
        <f t="shared" si="427"/>
        <v>2.2289876276852732E-5</v>
      </c>
      <c r="G523">
        <f t="shared" si="428"/>
        <v>9.6351241227600535E-4</v>
      </c>
      <c r="H523">
        <f t="shared" si="429"/>
        <v>-3.140629137587724</v>
      </c>
      <c r="J523">
        <f t="shared" si="430"/>
        <v>15</v>
      </c>
      <c r="M523">
        <f t="shared" si="431"/>
        <v>8.0954441930563539E-4</v>
      </c>
      <c r="N523">
        <f t="shared" si="432"/>
        <v>-1.5707963250000001</v>
      </c>
      <c r="O523">
        <f t="shared" si="433"/>
        <v>303.41022581045365</v>
      </c>
      <c r="P523">
        <f t="shared" si="434"/>
        <v>1.5675004530062162</v>
      </c>
      <c r="Q523">
        <f t="shared" si="435"/>
        <v>263.73583420920301</v>
      </c>
      <c r="R523">
        <f t="shared" si="436"/>
        <v>1.5670046448676209</v>
      </c>
      <c r="S523">
        <f t="shared" si="437"/>
        <v>0.13294083738969123</v>
      </c>
      <c r="T523">
        <f t="shared" si="438"/>
        <v>-1.4374607588601398</v>
      </c>
      <c r="U523">
        <f t="shared" si="439"/>
        <v>0.13123970316291492</v>
      </c>
      <c r="V523">
        <f t="shared" si="440"/>
        <v>-1.4391769309364479</v>
      </c>
      <c r="X523">
        <f t="shared" si="457"/>
        <v>-68.298304927880935</v>
      </c>
      <c r="Y523">
        <f t="shared" si="441"/>
        <v>-244.39732622420249</v>
      </c>
      <c r="Z523">
        <f t="shared" si="458"/>
        <v>-64.397326224202487</v>
      </c>
      <c r="AC523">
        <v>1</v>
      </c>
      <c r="AD523">
        <f t="shared" si="442"/>
        <v>303.4085778720675</v>
      </c>
      <c r="AE523">
        <f t="shared" si="443"/>
        <v>-0.35344142745679263</v>
      </c>
      <c r="AF523">
        <f t="shared" si="444"/>
        <v>4.6790252610570002E-2</v>
      </c>
      <c r="AG523">
        <f t="shared" si="421"/>
        <v>108.90649059617063</v>
      </c>
      <c r="AH523">
        <f t="shared" si="422"/>
        <v>-844.02334444116639</v>
      </c>
      <c r="AJ523">
        <f t="shared" si="445"/>
        <v>26400</v>
      </c>
      <c r="AK523">
        <f t="shared" si="446"/>
        <v>196821.93562859521</v>
      </c>
      <c r="AL523">
        <v>1</v>
      </c>
      <c r="AM523">
        <f t="shared" si="447"/>
        <v>263.73393836596802</v>
      </c>
      <c r="AN523">
        <f t="shared" si="423"/>
        <v>746.65857047400334</v>
      </c>
      <c r="AO523">
        <f t="shared" si="424"/>
        <v>-97.269777217402961</v>
      </c>
      <c r="AQ523">
        <f t="shared" si="448"/>
        <v>1.0473286782366462E-3</v>
      </c>
      <c r="AR523">
        <f t="shared" si="449"/>
        <v>-3.2362456157512369</v>
      </c>
      <c r="AT523">
        <f t="shared" si="418"/>
        <v>-2731.352787148573</v>
      </c>
      <c r="AU523">
        <f t="shared" si="419"/>
        <v>-353.33212257244492</v>
      </c>
      <c r="AV523">
        <f t="shared" si="459"/>
        <v>-3.0129455069358535</v>
      </c>
      <c r="AW523">
        <f t="shared" si="460"/>
        <v>541.0694191288361</v>
      </c>
      <c r="AX523">
        <f t="shared" si="461"/>
        <v>-3758.2596289234461</v>
      </c>
      <c r="AY523">
        <f t="shared" ref="AY523:AY586" si="469">ATAN2(AW523,AX523)</f>
        <v>-1.4278107245116858</v>
      </c>
      <c r="BA523">
        <f t="shared" si="450"/>
        <v>0.72533731741498009</v>
      </c>
      <c r="BB523">
        <f t="shared" si="462"/>
        <v>-2.7891995644975349</v>
      </c>
      <c r="BC523">
        <f t="shared" si="463"/>
        <v>-1.5851347824241677</v>
      </c>
      <c r="BD523">
        <f t="shared" si="451"/>
        <v>-270.82153309607156</v>
      </c>
      <c r="BF523">
        <f t="shared" si="452"/>
        <v>-72.150778262958994</v>
      </c>
      <c r="BG523">
        <f t="shared" si="453"/>
        <v>-259.99357349396075</v>
      </c>
      <c r="BH523">
        <f t="shared" si="464"/>
        <v>-79.993573493960753</v>
      </c>
      <c r="BI523">
        <f t="shared" si="465"/>
        <v>-79.993573493960753</v>
      </c>
      <c r="BJ523">
        <f t="shared" si="454"/>
        <v>0</v>
      </c>
      <c r="BK523">
        <f t="shared" si="466"/>
        <v>0</v>
      </c>
      <c r="BM523">
        <f t="shared" si="467"/>
        <v>-69.361578698461472</v>
      </c>
      <c r="BN523">
        <f t="shared" si="455"/>
        <v>-169.17204039788922</v>
      </c>
      <c r="BQ523" s="56">
        <f t="shared" si="468"/>
        <v>14.112761235787602</v>
      </c>
    </row>
    <row r="524" spans="1:69" x14ac:dyDescent="0.2">
      <c r="A524">
        <f t="shared" si="420"/>
        <v>1550000</v>
      </c>
      <c r="B524">
        <f t="shared" si="456"/>
        <v>1550</v>
      </c>
      <c r="C524">
        <f t="shared" si="425"/>
        <v>1.0180551971114011</v>
      </c>
      <c r="D524">
        <f t="shared" si="426"/>
        <v>0.18861420613056282</v>
      </c>
      <c r="F524">
        <f t="shared" si="427"/>
        <v>2.2146299452846669E-5</v>
      </c>
      <c r="G524">
        <f t="shared" si="428"/>
        <v>9.6040417166781884E-4</v>
      </c>
      <c r="H524">
        <f t="shared" si="429"/>
        <v>-3.1406322458283324</v>
      </c>
      <c r="J524">
        <f t="shared" si="430"/>
        <v>15</v>
      </c>
      <c r="M524">
        <f t="shared" si="431"/>
        <v>8.0693298569497216E-4</v>
      </c>
      <c r="N524">
        <f t="shared" si="432"/>
        <v>-1.5707963250000001</v>
      </c>
      <c r="O524">
        <f t="shared" si="433"/>
        <v>304.39212527730962</v>
      </c>
      <c r="P524">
        <f t="shared" si="434"/>
        <v>1.5675110847805254</v>
      </c>
      <c r="Q524">
        <f t="shared" si="435"/>
        <v>264.5893359847754</v>
      </c>
      <c r="R524">
        <f t="shared" si="436"/>
        <v>1.5670168759829803</v>
      </c>
      <c r="S524">
        <f t="shared" si="437"/>
        <v>0.13251953901791902</v>
      </c>
      <c r="T524">
        <f t="shared" si="438"/>
        <v>-1.4378858180712315</v>
      </c>
      <c r="U524">
        <f t="shared" si="439"/>
        <v>0.13082360642853505</v>
      </c>
      <c r="V524">
        <f t="shared" si="440"/>
        <v>-1.4395966463830283</v>
      </c>
      <c r="X524">
        <f t="shared" si="457"/>
        <v>-68.380539916912269</v>
      </c>
      <c r="Y524">
        <f t="shared" si="441"/>
        <v>-244.41055281623932</v>
      </c>
      <c r="Z524">
        <f t="shared" si="458"/>
        <v>-64.410552816239317</v>
      </c>
      <c r="AC524">
        <v>1</v>
      </c>
      <c r="AD524">
        <f t="shared" si="442"/>
        <v>304.39048265482501</v>
      </c>
      <c r="AE524">
        <f t="shared" si="443"/>
        <v>-0.35573277593026642</v>
      </c>
      <c r="AF524">
        <f t="shared" si="444"/>
        <v>4.6941677376299999E-2</v>
      </c>
      <c r="AG524">
        <f t="shared" si="421"/>
        <v>108.21700719789764</v>
      </c>
      <c r="AH524">
        <f t="shared" si="422"/>
        <v>-841.39167113177643</v>
      </c>
      <c r="AJ524">
        <f t="shared" si="445"/>
        <v>26400</v>
      </c>
      <c r="AK524">
        <f t="shared" si="446"/>
        <v>197458.89982156802</v>
      </c>
      <c r="AL524">
        <v>1</v>
      </c>
      <c r="AM524">
        <f t="shared" si="447"/>
        <v>264.58744625712006</v>
      </c>
      <c r="AN524">
        <f t="shared" si="423"/>
        <v>746.65619487596075</v>
      </c>
      <c r="AO524">
        <f t="shared" si="424"/>
        <v>-96.956012721006829</v>
      </c>
      <c r="AQ524">
        <f t="shared" si="448"/>
        <v>1.0405826180455132E-3</v>
      </c>
      <c r="AR524">
        <f t="shared" si="449"/>
        <v>-3.2258061159410909</v>
      </c>
      <c r="AT524">
        <f t="shared" si="418"/>
        <v>-2714.0537899021124</v>
      </c>
      <c r="AU524">
        <f t="shared" si="419"/>
        <v>-349.96262121576729</v>
      </c>
      <c r="AV524">
        <f t="shared" si="459"/>
        <v>-3.0133556345583239</v>
      </c>
      <c r="AW524">
        <f t="shared" si="460"/>
        <v>542.40318399774446</v>
      </c>
      <c r="AX524">
        <f t="shared" si="461"/>
        <v>-3746.218315214317</v>
      </c>
      <c r="AY524">
        <f t="shared" si="469"/>
        <v>-1.4270086631273451</v>
      </c>
      <c r="BA524">
        <f t="shared" si="450"/>
        <v>0.7229380361501121</v>
      </c>
      <c r="BB524">
        <f t="shared" si="462"/>
        <v>-2.8179784997890041</v>
      </c>
      <c r="BC524">
        <f t="shared" si="463"/>
        <v>-1.5863469714309788</v>
      </c>
      <c r="BD524">
        <f t="shared" si="451"/>
        <v>-270.89098641021337</v>
      </c>
      <c r="BF524">
        <f t="shared" si="452"/>
        <v>-72.234703453380476</v>
      </c>
      <c r="BG524">
        <f t="shared" si="453"/>
        <v>-260.02916132464679</v>
      </c>
      <c r="BH524">
        <f t="shared" si="464"/>
        <v>-80.029161324646793</v>
      </c>
      <c r="BI524">
        <f t="shared" si="465"/>
        <v>-80.029161324646793</v>
      </c>
      <c r="BJ524">
        <f t="shared" si="454"/>
        <v>0</v>
      </c>
      <c r="BK524">
        <f t="shared" si="466"/>
        <v>0</v>
      </c>
      <c r="BM524">
        <f t="shared" si="467"/>
        <v>-69.416724953591469</v>
      </c>
      <c r="BN524">
        <f t="shared" si="455"/>
        <v>-169.13817491443345</v>
      </c>
      <c r="BQ524" s="56">
        <f t="shared" si="468"/>
        <v>14.083982300496132</v>
      </c>
    </row>
    <row r="525" spans="1:69" x14ac:dyDescent="0.2">
      <c r="A525">
        <f t="shared" si="420"/>
        <v>1555000</v>
      </c>
      <c r="B525">
        <f t="shared" si="456"/>
        <v>1555</v>
      </c>
      <c r="C525">
        <f t="shared" si="425"/>
        <v>1.0181708289691742</v>
      </c>
      <c r="D525">
        <f t="shared" si="426"/>
        <v>0.18920824381103762</v>
      </c>
      <c r="F525">
        <f t="shared" si="427"/>
        <v>2.2004105426228214E-5</v>
      </c>
      <c r="G525">
        <f t="shared" si="428"/>
        <v>9.573159210513317E-4</v>
      </c>
      <c r="H525">
        <f t="shared" si="429"/>
        <v>-3.140635334078949</v>
      </c>
      <c r="J525">
        <f t="shared" si="430"/>
        <v>15</v>
      </c>
      <c r="M525">
        <f t="shared" si="431"/>
        <v>8.0433834586958637E-4</v>
      </c>
      <c r="N525">
        <f t="shared" si="432"/>
        <v>-1.5707963250000001</v>
      </c>
      <c r="O525">
        <f t="shared" si="433"/>
        <v>305.3740247783511</v>
      </c>
      <c r="P525">
        <f t="shared" si="434"/>
        <v>1.5675216481840311</v>
      </c>
      <c r="Q525">
        <f t="shared" si="435"/>
        <v>265.44283779967589</v>
      </c>
      <c r="R525">
        <f t="shared" si="436"/>
        <v>1.5670290284427693</v>
      </c>
      <c r="S525">
        <f t="shared" si="437"/>
        <v>0.13210087881426918</v>
      </c>
      <c r="T525">
        <f t="shared" si="438"/>
        <v>-1.4383081916354012</v>
      </c>
      <c r="U525">
        <f t="shared" si="439"/>
        <v>0.13041011707680883</v>
      </c>
      <c r="V525">
        <f t="shared" si="440"/>
        <v>-1.4400137087444034</v>
      </c>
      <c r="X525">
        <f t="shared" si="457"/>
        <v>-68.462510074267328</v>
      </c>
      <c r="Y525">
        <f t="shared" si="441"/>
        <v>-244.42348852062813</v>
      </c>
      <c r="Z525">
        <f t="shared" si="458"/>
        <v>-64.423488520628126</v>
      </c>
      <c r="AC525">
        <v>1</v>
      </c>
      <c r="AD525">
        <f t="shared" si="442"/>
        <v>305.37238743758252</v>
      </c>
      <c r="AE525">
        <f t="shared" si="443"/>
        <v>-0.3580315277913767</v>
      </c>
      <c r="AF525">
        <f t="shared" si="444"/>
        <v>4.7093102142029997E-2</v>
      </c>
      <c r="AG525">
        <f t="shared" si="421"/>
        <v>107.53401324996705</v>
      </c>
      <c r="AH525">
        <f t="shared" si="422"/>
        <v>-838.77606818706658</v>
      </c>
      <c r="AJ525">
        <f t="shared" si="445"/>
        <v>26400</v>
      </c>
      <c r="AK525">
        <f t="shared" si="446"/>
        <v>198095.86401454083</v>
      </c>
      <c r="AL525">
        <v>1</v>
      </c>
      <c r="AM525">
        <f t="shared" si="447"/>
        <v>265.440954148272</v>
      </c>
      <c r="AN525">
        <f t="shared" si="423"/>
        <v>746.65384215635947</v>
      </c>
      <c r="AO525">
        <f t="shared" si="424"/>
        <v>-96.644265916532234</v>
      </c>
      <c r="AQ525">
        <f t="shared" si="448"/>
        <v>1.0339015277032364E-3</v>
      </c>
      <c r="AR525">
        <f t="shared" si="449"/>
        <v>-3.215433751157065</v>
      </c>
      <c r="AT525">
        <f t="shared" si="418"/>
        <v>-2696.9176997309346</v>
      </c>
      <c r="AU525">
        <f t="shared" si="419"/>
        <v>-346.63570745961459</v>
      </c>
      <c r="AV525">
        <f t="shared" si="459"/>
        <v>-3.0137631707528865</v>
      </c>
      <c r="AW525">
        <f t="shared" si="460"/>
        <v>543.72395420638543</v>
      </c>
      <c r="AX525">
        <f t="shared" si="461"/>
        <v>-3734.2536691286068</v>
      </c>
      <c r="AY525">
        <f t="shared" si="469"/>
        <v>-1.4262079521651683</v>
      </c>
      <c r="BA525">
        <f t="shared" si="450"/>
        <v>0.72055362593291794</v>
      </c>
      <c r="BB525">
        <f t="shared" si="462"/>
        <v>-2.8466738409250656</v>
      </c>
      <c r="BC525">
        <f t="shared" si="463"/>
        <v>-1.5875552185877182</v>
      </c>
      <c r="BD525">
        <f t="shared" si="451"/>
        <v>-270.96021387298231</v>
      </c>
      <c r="BF525">
        <f t="shared" si="452"/>
        <v>-72.318361315131554</v>
      </c>
      <c r="BG525">
        <f t="shared" si="453"/>
        <v>-260.06452987914054</v>
      </c>
      <c r="BH525">
        <f t="shared" si="464"/>
        <v>-80.064529879140537</v>
      </c>
      <c r="BI525">
        <f t="shared" si="465"/>
        <v>-80.064529879140537</v>
      </c>
      <c r="BJ525">
        <f t="shared" si="454"/>
        <v>0</v>
      </c>
      <c r="BK525">
        <f t="shared" si="466"/>
        <v>0</v>
      </c>
      <c r="BM525">
        <f t="shared" si="467"/>
        <v>-69.47168747420649</v>
      </c>
      <c r="BN525">
        <f t="shared" si="455"/>
        <v>-169.1043160061582</v>
      </c>
      <c r="BQ525" s="56">
        <f t="shared" si="468"/>
        <v>14.055286959360071</v>
      </c>
    </row>
    <row r="526" spans="1:69" x14ac:dyDescent="0.2">
      <c r="A526">
        <f t="shared" si="420"/>
        <v>1560000</v>
      </c>
      <c r="B526">
        <f t="shared" si="456"/>
        <v>1560</v>
      </c>
      <c r="C526">
        <f t="shared" si="425"/>
        <v>1.0182868200381758</v>
      </c>
      <c r="D526">
        <f t="shared" si="426"/>
        <v>0.18980214636969842</v>
      </c>
      <c r="F526">
        <f t="shared" si="427"/>
        <v>2.1863276496632885E-5</v>
      </c>
      <c r="G526">
        <f t="shared" si="428"/>
        <v>9.5424746819841989E-4</v>
      </c>
      <c r="H526">
        <f t="shared" si="429"/>
        <v>-3.1406384025318017</v>
      </c>
      <c r="J526">
        <f t="shared" si="430"/>
        <v>15</v>
      </c>
      <c r="M526">
        <f t="shared" si="431"/>
        <v>8.017603383507735E-4</v>
      </c>
      <c r="N526">
        <f t="shared" si="432"/>
        <v>-1.5707963250000001</v>
      </c>
      <c r="O526">
        <f t="shared" si="433"/>
        <v>306.35592431324955</v>
      </c>
      <c r="P526">
        <f t="shared" si="434"/>
        <v>1.5675321438741356</v>
      </c>
      <c r="Q526">
        <f t="shared" si="435"/>
        <v>266.29633965352627</v>
      </c>
      <c r="R526">
        <f t="shared" si="436"/>
        <v>1.5670411030032769</v>
      </c>
      <c r="S526">
        <f t="shared" si="437"/>
        <v>0.13168483229974925</v>
      </c>
      <c r="T526">
        <f t="shared" si="438"/>
        <v>-1.438727904776248</v>
      </c>
      <c r="U526">
        <f t="shared" si="439"/>
        <v>0.12999921089197086</v>
      </c>
      <c r="V526">
        <f t="shared" si="440"/>
        <v>-1.4404281429534262</v>
      </c>
      <c r="X526">
        <f t="shared" si="457"/>
        <v>-68.544217025938352</v>
      </c>
      <c r="Y526">
        <f t="shared" si="441"/>
        <v>-244.43613616252438</v>
      </c>
      <c r="Z526">
        <f t="shared" si="458"/>
        <v>-64.436136162524377</v>
      </c>
      <c r="AC526">
        <v>1</v>
      </c>
      <c r="AD526">
        <f t="shared" si="442"/>
        <v>306.35429222033997</v>
      </c>
      <c r="AE526">
        <f t="shared" si="443"/>
        <v>-0.36033768304012342</v>
      </c>
      <c r="AF526">
        <f t="shared" si="444"/>
        <v>4.7244526907760001E-2</v>
      </c>
      <c r="AG526">
        <f t="shared" si="421"/>
        <v>106.85742804045898</v>
      </c>
      <c r="AH526">
        <f t="shared" si="422"/>
        <v>-836.17639166658648</v>
      </c>
      <c r="AJ526">
        <f t="shared" si="445"/>
        <v>26400</v>
      </c>
      <c r="AK526">
        <f t="shared" si="446"/>
        <v>198732.82820751364</v>
      </c>
      <c r="AL526">
        <v>1</v>
      </c>
      <c r="AM526">
        <f t="shared" si="447"/>
        <v>266.29446203942405</v>
      </c>
      <c r="AN526">
        <f t="shared" si="423"/>
        <v>746.65151202236348</v>
      </c>
      <c r="AO526">
        <f t="shared" si="424"/>
        <v>-96.334517404194997</v>
      </c>
      <c r="AQ526">
        <f t="shared" si="448"/>
        <v>1.0272845755994642E-3</v>
      </c>
      <c r="AR526">
        <f t="shared" si="449"/>
        <v>-3.2051278758703283</v>
      </c>
      <c r="AT526">
        <f t="shared" si="418"/>
        <v>-2679.942489087628</v>
      </c>
      <c r="AU526">
        <f t="shared" si="419"/>
        <v>-343.35071246592224</v>
      </c>
      <c r="AV526">
        <f t="shared" si="459"/>
        <v>-3.0141681398595459</v>
      </c>
      <c r="AW526">
        <f t="shared" si="460"/>
        <v>545.03189841705023</v>
      </c>
      <c r="AX526">
        <f t="shared" si="461"/>
        <v>-3722.3649629760848</v>
      </c>
      <c r="AY526">
        <f t="shared" si="469"/>
        <v>-1.425408580073575</v>
      </c>
      <c r="BA526">
        <f t="shared" si="450"/>
        <v>0.71818394790861517</v>
      </c>
      <c r="BB526">
        <f t="shared" si="462"/>
        <v>-2.8752861198886617</v>
      </c>
      <c r="BC526">
        <f t="shared" si="463"/>
        <v>-1.5887595597859709</v>
      </c>
      <c r="BD526">
        <f t="shared" si="451"/>
        <v>-271.02921754081478</v>
      </c>
      <c r="BF526">
        <f t="shared" si="452"/>
        <v>-72.401753543045572</v>
      </c>
      <c r="BG526">
        <f t="shared" si="453"/>
        <v>-260.09968124627909</v>
      </c>
      <c r="BH526">
        <f t="shared" si="464"/>
        <v>-80.09968124627909</v>
      </c>
      <c r="BI526">
        <f t="shared" si="465"/>
        <v>-80.09968124627909</v>
      </c>
      <c r="BJ526">
        <f t="shared" si="454"/>
        <v>0</v>
      </c>
      <c r="BK526">
        <f t="shared" si="466"/>
        <v>0</v>
      </c>
      <c r="BM526">
        <f t="shared" si="467"/>
        <v>-69.526467423156916</v>
      </c>
      <c r="BN526">
        <f t="shared" si="455"/>
        <v>-169.07046370546436</v>
      </c>
      <c r="BQ526" s="56">
        <f t="shared" si="468"/>
        <v>14.026674680396475</v>
      </c>
    </row>
    <row r="527" spans="1:69" x14ac:dyDescent="0.2">
      <c r="A527">
        <f t="shared" si="420"/>
        <v>1565000</v>
      </c>
      <c r="B527">
        <f t="shared" si="456"/>
        <v>1565</v>
      </c>
      <c r="C527">
        <f t="shared" si="425"/>
        <v>1.0184031701956691</v>
      </c>
      <c r="D527">
        <f t="shared" si="426"/>
        <v>0.19039591343382306</v>
      </c>
      <c r="F527">
        <f t="shared" si="427"/>
        <v>2.1723795246009285E-5</v>
      </c>
      <c r="G527">
        <f t="shared" si="428"/>
        <v>9.511986233378142E-4</v>
      </c>
      <c r="H527">
        <f t="shared" si="429"/>
        <v>-3.1406414513766623</v>
      </c>
      <c r="J527">
        <f t="shared" si="430"/>
        <v>15</v>
      </c>
      <c r="M527">
        <f t="shared" si="431"/>
        <v>7.9919880372345475E-4</v>
      </c>
      <c r="N527">
        <f t="shared" si="432"/>
        <v>-1.5707963250000001</v>
      </c>
      <c r="O527">
        <f t="shared" si="433"/>
        <v>307.33782388168038</v>
      </c>
      <c r="P527">
        <f t="shared" si="434"/>
        <v>1.56754257249984</v>
      </c>
      <c r="Q527">
        <f t="shared" si="435"/>
        <v>267.14984154595328</v>
      </c>
      <c r="R527">
        <f t="shared" si="436"/>
        <v>1.5670531004111279</v>
      </c>
      <c r="S527">
        <f t="shared" si="437"/>
        <v>0.13127137529444716</v>
      </c>
      <c r="T527">
        <f t="shared" si="438"/>
        <v>-1.4391449824043636</v>
      </c>
      <c r="U527">
        <f t="shared" si="439"/>
        <v>0.12959086395447092</v>
      </c>
      <c r="V527">
        <f t="shared" si="440"/>
        <v>-1.4408399736333164</v>
      </c>
      <c r="X527">
        <f t="shared" si="457"/>
        <v>-68.625662383043988</v>
      </c>
      <c r="Y527">
        <f t="shared" si="441"/>
        <v>-244.44849853227129</v>
      </c>
      <c r="Z527">
        <f t="shared" si="458"/>
        <v>-64.448498532271287</v>
      </c>
      <c r="AC527">
        <v>1</v>
      </c>
      <c r="AD527">
        <f t="shared" si="442"/>
        <v>307.33619700309748</v>
      </c>
      <c r="AE527">
        <f t="shared" si="443"/>
        <v>-0.36265124167650653</v>
      </c>
      <c r="AF527">
        <f t="shared" si="444"/>
        <v>4.7395951673489999E-2</v>
      </c>
      <c r="AG527">
        <f t="shared" si="421"/>
        <v>106.18717210096467</v>
      </c>
      <c r="AH527">
        <f t="shared" si="422"/>
        <v>-833.5924993068611</v>
      </c>
      <c r="AJ527">
        <f t="shared" si="445"/>
        <v>26400</v>
      </c>
      <c r="AK527">
        <f t="shared" si="446"/>
        <v>199369.79240048642</v>
      </c>
      <c r="AL527">
        <v>1</v>
      </c>
      <c r="AM527">
        <f t="shared" si="447"/>
        <v>267.14796993057604</v>
      </c>
      <c r="AN527">
        <f t="shared" si="423"/>
        <v>746.64920418580721</v>
      </c>
      <c r="AO527">
        <f t="shared" si="424"/>
        <v>-96.026748032114</v>
      </c>
      <c r="AQ527">
        <f t="shared" si="448"/>
        <v>1.0207309433870977E-3</v>
      </c>
      <c r="AR527">
        <f t="shared" si="449"/>
        <v>-3.1948878528016156</v>
      </c>
      <c r="AT527">
        <f t="shared" si="418"/>
        <v>-2663.1261616896754</v>
      </c>
      <c r="AU527">
        <f t="shared" si="419"/>
        <v>-340.10697992694452</v>
      </c>
      <c r="AV527">
        <f t="shared" si="459"/>
        <v>-3.0145705659162485</v>
      </c>
      <c r="AW527">
        <f t="shared" si="460"/>
        <v>546.32718255870134</v>
      </c>
      <c r="AX527">
        <f t="shared" si="461"/>
        <v>-3710.5514782207556</v>
      </c>
      <c r="AY527">
        <f t="shared" si="469"/>
        <v>-1.4246105354607361</v>
      </c>
      <c r="BA527">
        <f t="shared" si="450"/>
        <v>0.7158288649367156</v>
      </c>
      <c r="BB527">
        <f t="shared" si="462"/>
        <v>-2.9038158638215057</v>
      </c>
      <c r="BC527">
        <f t="shared" si="463"/>
        <v>-1.5899600304555124</v>
      </c>
      <c r="BD527">
        <f t="shared" si="451"/>
        <v>-271.09799944368734</v>
      </c>
      <c r="BF527">
        <f t="shared" si="452"/>
        <v>-72.4848818159752</v>
      </c>
      <c r="BG527">
        <f t="shared" si="453"/>
        <v>-260.13461748826768</v>
      </c>
      <c r="BH527">
        <f t="shared" si="464"/>
        <v>-80.134617488267679</v>
      </c>
      <c r="BI527">
        <f t="shared" si="465"/>
        <v>-80.134617488267679</v>
      </c>
      <c r="BJ527">
        <f t="shared" si="454"/>
        <v>0</v>
      </c>
      <c r="BK527">
        <f t="shared" si="466"/>
        <v>0</v>
      </c>
      <c r="BM527">
        <f t="shared" si="467"/>
        <v>-69.581065952153708</v>
      </c>
      <c r="BN527">
        <f t="shared" si="455"/>
        <v>-169.03661804458036</v>
      </c>
      <c r="BQ527" s="56">
        <f t="shared" si="468"/>
        <v>13.998144936463632</v>
      </c>
    </row>
    <row r="528" spans="1:69" x14ac:dyDescent="0.2">
      <c r="A528">
        <f t="shared" si="420"/>
        <v>1570000</v>
      </c>
      <c r="B528">
        <f t="shared" si="456"/>
        <v>1570</v>
      </c>
      <c r="C528">
        <f t="shared" si="425"/>
        <v>1.018519879318593</v>
      </c>
      <c r="D528">
        <f t="shared" si="426"/>
        <v>0.19098954463124176</v>
      </c>
      <c r="F528">
        <f t="shared" si="427"/>
        <v>2.1585644533232935E-5</v>
      </c>
      <c r="G528">
        <f t="shared" si="428"/>
        <v>9.4816919911597285E-4</v>
      </c>
      <c r="H528">
        <f t="shared" si="429"/>
        <v>-3.1406444808008844</v>
      </c>
      <c r="J528">
        <f t="shared" si="430"/>
        <v>15</v>
      </c>
      <c r="M528">
        <f t="shared" si="431"/>
        <v>7.9665358460331631E-4</v>
      </c>
      <c r="N528">
        <f t="shared" si="432"/>
        <v>-1.5707963250000001</v>
      </c>
      <c r="O528">
        <f t="shared" si="433"/>
        <v>308.31972348332323</v>
      </c>
      <c r="P528">
        <f t="shared" si="434"/>
        <v>1.567552934701878</v>
      </c>
      <c r="Q528">
        <f t="shared" si="435"/>
        <v>268.00334347658833</v>
      </c>
      <c r="R528">
        <f t="shared" si="436"/>
        <v>1.5670650214034356</v>
      </c>
      <c r="S528">
        <f t="shared" si="437"/>
        <v>0.13086048391302216</v>
      </c>
      <c r="T528">
        <f t="shared" si="438"/>
        <v>-1.4395594491221444</v>
      </c>
      <c r="U528">
        <f t="shared" si="439"/>
        <v>0.12918505263650154</v>
      </c>
      <c r="V528">
        <f t="shared" si="440"/>
        <v>-1.4412492251024225</v>
      </c>
      <c r="X528">
        <f t="shared" si="457"/>
        <v>-68.706847742008264</v>
      </c>
      <c r="Y528">
        <f t="shared" si="441"/>
        <v>-244.46057838593472</v>
      </c>
      <c r="Z528">
        <f t="shared" si="458"/>
        <v>-64.460578385934724</v>
      </c>
      <c r="AC528">
        <v>1</v>
      </c>
      <c r="AD528">
        <f t="shared" si="442"/>
        <v>308.31810178585499</v>
      </c>
      <c r="AE528">
        <f t="shared" si="443"/>
        <v>-0.36497220370052602</v>
      </c>
      <c r="AF528">
        <f t="shared" si="444"/>
        <v>4.7547376439219996E-2</v>
      </c>
      <c r="AG528">
        <f t="shared" si="421"/>
        <v>105.52316718380612</v>
      </c>
      <c r="AH528">
        <f t="shared" si="422"/>
        <v>-831.02425049765691</v>
      </c>
      <c r="AJ528">
        <f t="shared" si="445"/>
        <v>26400</v>
      </c>
      <c r="AK528">
        <f t="shared" si="446"/>
        <v>200006.7565934592</v>
      </c>
      <c r="AL528">
        <v>1</v>
      </c>
      <c r="AM528">
        <f t="shared" si="447"/>
        <v>268.00147782172803</v>
      </c>
      <c r="AN528">
        <f t="shared" si="423"/>
        <v>746.64691836310612</v>
      </c>
      <c r="AO528">
        <f t="shared" si="424"/>
        <v>-95.720938892364074</v>
      </c>
      <c r="AQ528">
        <f t="shared" si="448"/>
        <v>1.0142398257292561E-3</v>
      </c>
      <c r="AR528">
        <f t="shared" si="449"/>
        <v>-3.1847130527898644</v>
      </c>
      <c r="AT528">
        <f t="shared" si="418"/>
        <v>-2646.4667519461073</v>
      </c>
      <c r="AU528">
        <f t="shared" si="419"/>
        <v>-336.90386579299599</v>
      </c>
      <c r="AV528">
        <f t="shared" si="459"/>
        <v>-3.0149704726635251</v>
      </c>
      <c r="AW528">
        <f t="shared" si="460"/>
        <v>547.60996988005184</v>
      </c>
      <c r="AX528">
        <f t="shared" si="461"/>
        <v>-3698.8125053377235</v>
      </c>
      <c r="AY528">
        <f t="shared" si="469"/>
        <v>-1.423813807091882</v>
      </c>
      <c r="BA528">
        <f t="shared" si="450"/>
        <v>0.71348824156488411</v>
      </c>
      <c r="BB528">
        <f t="shared" si="462"/>
        <v>-2.9322635950810234</v>
      </c>
      <c r="BC528">
        <f t="shared" si="463"/>
        <v>-1.5911566655716431</v>
      </c>
      <c r="BD528">
        <f t="shared" si="451"/>
        <v>-271.16656158553712</v>
      </c>
      <c r="BF528">
        <f t="shared" si="452"/>
        <v>-72.567747796991497</v>
      </c>
      <c r="BG528">
        <f t="shared" si="453"/>
        <v>-260.16934064110171</v>
      </c>
      <c r="BH528">
        <f t="shared" si="464"/>
        <v>-80.169340641101712</v>
      </c>
      <c r="BI528">
        <f t="shared" si="465"/>
        <v>-80.169340641101712</v>
      </c>
      <c r="BJ528">
        <f t="shared" si="454"/>
        <v>0</v>
      </c>
      <c r="BK528">
        <f t="shared" si="466"/>
        <v>0</v>
      </c>
      <c r="BM528">
        <f t="shared" si="467"/>
        <v>-69.635484201910472</v>
      </c>
      <c r="BN528">
        <f t="shared" si="455"/>
        <v>-169.00277905556459</v>
      </c>
      <c r="BQ528" s="56">
        <f t="shared" si="468"/>
        <v>13.969697205204113</v>
      </c>
    </row>
    <row r="529" spans="1:69" x14ac:dyDescent="0.2">
      <c r="A529">
        <f t="shared" si="420"/>
        <v>1575000</v>
      </c>
      <c r="B529">
        <f t="shared" si="456"/>
        <v>1575</v>
      </c>
      <c r="C529">
        <f t="shared" si="425"/>
        <v>1.0186369472835632</v>
      </c>
      <c r="D529">
        <f t="shared" si="426"/>
        <v>0.19158303959033801</v>
      </c>
      <c r="F529">
        <f t="shared" si="427"/>
        <v>2.1448807488839603E-5</v>
      </c>
      <c r="G529">
        <f t="shared" si="428"/>
        <v>9.4515901055869909E-4</v>
      </c>
      <c r="H529">
        <f t="shared" si="429"/>
        <v>-3.1406474909894415</v>
      </c>
      <c r="J529">
        <f t="shared" si="430"/>
        <v>15</v>
      </c>
      <c r="M529">
        <f t="shared" si="431"/>
        <v>7.9412452560457571E-4</v>
      </c>
      <c r="N529">
        <f t="shared" si="432"/>
        <v>-1.5707963250000001</v>
      </c>
      <c r="O529">
        <f t="shared" si="433"/>
        <v>309.30162311786171</v>
      </c>
      <c r="P529">
        <f t="shared" si="434"/>
        <v>1.5675632311128467</v>
      </c>
      <c r="Q529">
        <f t="shared" si="435"/>
        <v>268.85684544506751</v>
      </c>
      <c r="R529">
        <f t="shared" si="436"/>
        <v>1.5670768667079538</v>
      </c>
      <c r="S529">
        <f t="shared" si="437"/>
        <v>0.13045213456027668</v>
      </c>
      <c r="T529">
        <f t="shared" si="438"/>
        <v>-1.4399713292285128</v>
      </c>
      <c r="U529">
        <f t="shared" si="439"/>
        <v>0.12878175359760582</v>
      </c>
      <c r="V529">
        <f t="shared" si="440"/>
        <v>-1.4416559213788982</v>
      </c>
      <c r="X529">
        <f t="shared" si="457"/>
        <v>-68.78777468473686</v>
      </c>
      <c r="Y529">
        <f t="shared" si="441"/>
        <v>-244.47237844582699</v>
      </c>
      <c r="Z529">
        <f t="shared" si="458"/>
        <v>-64.47237844582699</v>
      </c>
      <c r="AC529">
        <v>1</v>
      </c>
      <c r="AD529">
        <f t="shared" si="442"/>
        <v>309.3000065686125</v>
      </c>
      <c r="AE529">
        <f t="shared" si="443"/>
        <v>-0.36730056911218201</v>
      </c>
      <c r="AF529">
        <f t="shared" si="444"/>
        <v>4.769880120495E-2</v>
      </c>
      <c r="AG529">
        <f t="shared" si="421"/>
        <v>104.86533623973797</v>
      </c>
      <c r="AH529">
        <f t="shared" si="422"/>
        <v>-828.47150625863424</v>
      </c>
      <c r="AJ529">
        <f t="shared" si="445"/>
        <v>26400</v>
      </c>
      <c r="AK529">
        <f t="shared" si="446"/>
        <v>200643.72078643201</v>
      </c>
      <c r="AL529">
        <v>1</v>
      </c>
      <c r="AM529">
        <f t="shared" si="447"/>
        <v>268.85498571288002</v>
      </c>
      <c r="AN529">
        <f t="shared" si="423"/>
        <v>746.64465427517018</v>
      </c>
      <c r="AO529">
        <f t="shared" si="424"/>
        <v>-95.417071317103918</v>
      </c>
      <c r="AQ529">
        <f t="shared" si="448"/>
        <v>1.007810430051859E-3</v>
      </c>
      <c r="AR529">
        <f t="shared" si="449"/>
        <v>-3.1746028546633553</v>
      </c>
      <c r="AT529">
        <f t="shared" si="418"/>
        <v>-2629.9623243962969</v>
      </c>
      <c r="AU529">
        <f t="shared" si="419"/>
        <v>-333.74073800691298</v>
      </c>
      <c r="AV529">
        <f t="shared" si="459"/>
        <v>-3.0153678835490489</v>
      </c>
      <c r="AW529">
        <f t="shared" si="460"/>
        <v>548.88042100144651</v>
      </c>
      <c r="AX529">
        <f t="shared" si="461"/>
        <v>-3687.1473436727474</v>
      </c>
      <c r="AY529">
        <f t="shared" si="469"/>
        <v>-1.423018383886667</v>
      </c>
      <c r="BA529">
        <f t="shared" si="450"/>
        <v>0.71116194400326482</v>
      </c>
      <c r="BB529">
        <f t="shared" si="462"/>
        <v>-2.9606298312965351</v>
      </c>
      <c r="BC529">
        <f t="shared" si="463"/>
        <v>-1.5923494996623819</v>
      </c>
      <c r="BD529">
        <f t="shared" si="451"/>
        <v>-271.23490594467387</v>
      </c>
      <c r="BF529">
        <f t="shared" si="452"/>
        <v>-72.650353133580069</v>
      </c>
      <c r="BG529">
        <f t="shared" si="453"/>
        <v>-260.20385271498111</v>
      </c>
      <c r="BH529">
        <f t="shared" si="464"/>
        <v>-80.20385271498111</v>
      </c>
      <c r="BI529">
        <f t="shared" si="465"/>
        <v>-80.20385271498111</v>
      </c>
      <c r="BJ529">
        <f t="shared" si="454"/>
        <v>0</v>
      </c>
      <c r="BK529">
        <f t="shared" si="466"/>
        <v>0</v>
      </c>
      <c r="BM529">
        <f t="shared" si="467"/>
        <v>-69.689723302283525</v>
      </c>
      <c r="BN529">
        <f t="shared" si="455"/>
        <v>-168.96894677030727</v>
      </c>
      <c r="BQ529" s="56">
        <f t="shared" si="468"/>
        <v>13.941330968988602</v>
      </c>
    </row>
    <row r="530" spans="1:69" x14ac:dyDescent="0.2">
      <c r="A530">
        <f t="shared" si="420"/>
        <v>1580000</v>
      </c>
      <c r="B530">
        <f t="shared" si="456"/>
        <v>1580</v>
      </c>
      <c r="C530">
        <f t="shared" si="425"/>
        <v>1.0187543739668734</v>
      </c>
      <c r="D530">
        <f t="shared" si="426"/>
        <v>0.1921763979400497</v>
      </c>
      <c r="F530">
        <f t="shared" si="427"/>
        <v>2.1313267509875129E-5</v>
      </c>
      <c r="G530">
        <f t="shared" si="428"/>
        <v>9.4216787503349048E-4</v>
      </c>
      <c r="H530">
        <f t="shared" si="429"/>
        <v>-3.1406504821249666</v>
      </c>
      <c r="J530">
        <f t="shared" si="430"/>
        <v>15</v>
      </c>
      <c r="M530">
        <f t="shared" si="431"/>
        <v>7.9161147330835866E-4</v>
      </c>
      <c r="N530">
        <f t="shared" si="432"/>
        <v>-1.5707963250000001</v>
      </c>
      <c r="O530">
        <f t="shared" si="433"/>
        <v>310.28352278498363</v>
      </c>
      <c r="P530">
        <f t="shared" si="434"/>
        <v>1.5675734623573363</v>
      </c>
      <c r="Q530">
        <f t="shared" si="435"/>
        <v>269.71034745103157</v>
      </c>
      <c r="R530">
        <f t="shared" si="436"/>
        <v>1.5670886370432242</v>
      </c>
      <c r="S530">
        <f t="shared" si="437"/>
        <v>0.13004630392680652</v>
      </c>
      <c r="T530">
        <f t="shared" si="438"/>
        <v>-1.440380646723556</v>
      </c>
      <c r="U530">
        <f t="shared" si="439"/>
        <v>0.12838094378036341</v>
      </c>
      <c r="V530">
        <f t="shared" si="440"/>
        <v>-1.4420600861852939</v>
      </c>
      <c r="X530">
        <f t="shared" si="457"/>
        <v>-68.868444778790746</v>
      </c>
      <c r="Y530">
        <f t="shared" si="441"/>
        <v>-244.48390140102254</v>
      </c>
      <c r="Z530">
        <f t="shared" si="458"/>
        <v>-64.483901401022536</v>
      </c>
      <c r="AC530">
        <v>1</v>
      </c>
      <c r="AD530">
        <f t="shared" si="442"/>
        <v>310.28191135137001</v>
      </c>
      <c r="AE530">
        <f t="shared" si="443"/>
        <v>-0.36963633791147438</v>
      </c>
      <c r="AF530">
        <f t="shared" si="444"/>
        <v>4.7850225970679998E-2</v>
      </c>
      <c r="AG530">
        <f t="shared" si="421"/>
        <v>104.21360339612062</v>
      </c>
      <c r="AH530">
        <f t="shared" si="422"/>
        <v>-825.93412921638446</v>
      </c>
      <c r="AJ530">
        <f t="shared" si="445"/>
        <v>26400</v>
      </c>
      <c r="AK530">
        <f t="shared" si="446"/>
        <v>201280.68497940482</v>
      </c>
      <c r="AL530">
        <v>1</v>
      </c>
      <c r="AM530">
        <f t="shared" si="447"/>
        <v>269.70849360403201</v>
      </c>
      <c r="AN530">
        <f t="shared" si="423"/>
        <v>746.64241164731754</v>
      </c>
      <c r="AO530">
        <f t="shared" si="424"/>
        <v>-95.115126874777729</v>
      </c>
      <c r="AQ530">
        <f t="shared" si="448"/>
        <v>1.0014419763016767E-3</v>
      </c>
      <c r="AR530">
        <f t="shared" si="449"/>
        <v>-3.1645566451132985</v>
      </c>
      <c r="AT530">
        <f t="shared" si="418"/>
        <v>-2613.6109731606325</v>
      </c>
      <c r="AU530">
        <f t="shared" si="419"/>
        <v>-330.61697624505274</v>
      </c>
      <c r="AV530">
        <f t="shared" si="459"/>
        <v>-3.0157628217321117</v>
      </c>
      <c r="AW530">
        <f t="shared" si="460"/>
        <v>550.13869396557106</v>
      </c>
      <c r="AX530">
        <f t="shared" si="461"/>
        <v>-3675.5553013043886</v>
      </c>
      <c r="AY530">
        <f t="shared" si="469"/>
        <v>-1.422224254916584</v>
      </c>
      <c r="BA530">
        <f t="shared" si="450"/>
        <v>0.70884984009927532</v>
      </c>
      <c r="BB530">
        <f t="shared" si="462"/>
        <v>-2.9889150854245745</v>
      </c>
      <c r="BC530">
        <f t="shared" si="463"/>
        <v>-1.5935385668155277</v>
      </c>
      <c r="BD530">
        <f t="shared" si="451"/>
        <v>-271.30303447418459</v>
      </c>
      <c r="BF530">
        <f t="shared" si="452"/>
        <v>-72.732699457834102</v>
      </c>
      <c r="BG530">
        <f t="shared" si="453"/>
        <v>-260.23815569471742</v>
      </c>
      <c r="BH530">
        <f t="shared" si="464"/>
        <v>-80.23815569471742</v>
      </c>
      <c r="BI530">
        <f t="shared" si="465"/>
        <v>-80.23815569471742</v>
      </c>
      <c r="BJ530">
        <f t="shared" si="454"/>
        <v>0</v>
      </c>
      <c r="BK530">
        <f t="shared" si="466"/>
        <v>0</v>
      </c>
      <c r="BM530">
        <f t="shared" si="467"/>
        <v>-69.743784372409522</v>
      </c>
      <c r="BN530">
        <f t="shared" si="455"/>
        <v>-168.93512122053286</v>
      </c>
      <c r="BQ530" s="56">
        <f t="shared" si="468"/>
        <v>13.913045714860562</v>
      </c>
    </row>
    <row r="531" spans="1:69" x14ac:dyDescent="0.2">
      <c r="A531">
        <f t="shared" si="420"/>
        <v>1585000</v>
      </c>
      <c r="B531">
        <f t="shared" si="456"/>
        <v>1585</v>
      </c>
      <c r="C531">
        <f t="shared" si="425"/>
        <v>1.0188721592444949</v>
      </c>
      <c r="D531">
        <f t="shared" si="426"/>
        <v>0.19276961930987035</v>
      </c>
      <c r="F531">
        <f t="shared" si="427"/>
        <v>2.1179008254858783E-5</v>
      </c>
      <c r="G531">
        <f t="shared" si="428"/>
        <v>9.3919561221259787E-4</v>
      </c>
      <c r="H531">
        <f t="shared" si="429"/>
        <v>-3.1406534543877878</v>
      </c>
      <c r="J531">
        <f t="shared" si="430"/>
        <v>15</v>
      </c>
      <c r="M531">
        <f t="shared" si="431"/>
        <v>7.8911427623167625E-4</v>
      </c>
      <c r="N531">
        <f t="shared" si="432"/>
        <v>-1.5707963250000001</v>
      </c>
      <c r="O531">
        <f t="shared" si="433"/>
        <v>311.26542248438057</v>
      </c>
      <c r="P531">
        <f t="shared" si="434"/>
        <v>1.5675836290520562</v>
      </c>
      <c r="Q531">
        <f t="shared" si="435"/>
        <v>270.5638494941258</v>
      </c>
      <c r="R531">
        <f t="shared" si="436"/>
        <v>1.5671003331187217</v>
      </c>
      <c r="S531">
        <f t="shared" si="437"/>
        <v>0.12964296898472863</v>
      </c>
      <c r="T531">
        <f t="shared" si="438"/>
        <v>-1.4407874253130772</v>
      </c>
      <c r="U531">
        <f t="shared" si="439"/>
        <v>0.12798260040615336</v>
      </c>
      <c r="V531">
        <f t="shared" si="440"/>
        <v>-1.4424617429530637</v>
      </c>
      <c r="X531">
        <f t="shared" si="457"/>
        <v>-68.948859577557329</v>
      </c>
      <c r="Y531">
        <f t="shared" si="441"/>
        <v>-244.49514990786298</v>
      </c>
      <c r="Z531">
        <f t="shared" si="458"/>
        <v>-64.495149907862981</v>
      </c>
      <c r="AC531">
        <v>1</v>
      </c>
      <c r="AD531">
        <f t="shared" si="442"/>
        <v>311.26381613412752</v>
      </c>
      <c r="AE531">
        <f t="shared" si="443"/>
        <v>-0.37197951009840319</v>
      </c>
      <c r="AF531">
        <f t="shared" si="444"/>
        <v>4.8001650736409995E-2</v>
      </c>
      <c r="AG531">
        <f t="shared" si="421"/>
        <v>103.56789393555218</v>
      </c>
      <c r="AH531">
        <f t="shared" si="422"/>
        <v>-823.4119835818409</v>
      </c>
      <c r="AJ531">
        <f t="shared" si="445"/>
        <v>26400</v>
      </c>
      <c r="AK531">
        <f t="shared" si="446"/>
        <v>201917.6491723776</v>
      </c>
      <c r="AL531">
        <v>1</v>
      </c>
      <c r="AM531">
        <f t="shared" si="447"/>
        <v>270.56200149518406</v>
      </c>
      <c r="AN531">
        <f t="shared" si="423"/>
        <v>746.64019020919216</v>
      </c>
      <c r="AO531">
        <f t="shared" si="424"/>
        <v>-94.815087366388468</v>
      </c>
      <c r="AQ531">
        <f t="shared" si="448"/>
        <v>9.9513369670971991E-4</v>
      </c>
      <c r="AR531">
        <f t="shared" si="449"/>
        <v>-3.1545738185698116</v>
      </c>
      <c r="AT531">
        <f t="shared" si="418"/>
        <v>-2597.4108214027583</v>
      </c>
      <c r="AU531">
        <f t="shared" si="419"/>
        <v>-327.53197166464497</v>
      </c>
      <c r="AV531">
        <f t="shared" si="459"/>
        <v>-3.0161553100880156</v>
      </c>
      <c r="AW531">
        <f t="shared" si="460"/>
        <v>551.38494428702256</v>
      </c>
      <c r="AX531">
        <f t="shared" si="461"/>
        <v>-3664.0356949087295</v>
      </c>
      <c r="AY531">
        <f t="shared" si="469"/>
        <v>-1.421431409402433</v>
      </c>
      <c r="BA531">
        <f t="shared" si="450"/>
        <v>0.70655179931284917</v>
      </c>
      <c r="BB531">
        <f t="shared" si="462"/>
        <v>-3.0171198658034779</v>
      </c>
      <c r="BC531">
        <f t="shared" si="463"/>
        <v>-1.5947239006855827</v>
      </c>
      <c r="BD531">
        <f t="shared" si="451"/>
        <v>-271.37094910233026</v>
      </c>
      <c r="BF531">
        <f t="shared" si="452"/>
        <v>-72.814788386644523</v>
      </c>
      <c r="BG531">
        <f t="shared" si="453"/>
        <v>-260.272251540132</v>
      </c>
      <c r="BH531">
        <f t="shared" si="464"/>
        <v>-80.272251540132004</v>
      </c>
      <c r="BI531">
        <f t="shared" si="465"/>
        <v>-80.272251540132004</v>
      </c>
      <c r="BJ531">
        <f t="shared" si="454"/>
        <v>0</v>
      </c>
      <c r="BK531">
        <f t="shared" si="466"/>
        <v>0</v>
      </c>
      <c r="BM531">
        <f t="shared" si="467"/>
        <v>-69.797668520841043</v>
      </c>
      <c r="BN531">
        <f t="shared" si="455"/>
        <v>-168.90130243780177</v>
      </c>
      <c r="BQ531" s="56">
        <f t="shared" si="468"/>
        <v>13.884840934481659</v>
      </c>
    </row>
    <row r="532" spans="1:69" x14ac:dyDescent="0.2">
      <c r="A532">
        <f t="shared" si="420"/>
        <v>1590000</v>
      </c>
      <c r="B532">
        <f t="shared" si="456"/>
        <v>1590</v>
      </c>
      <c r="C532">
        <f t="shared" si="425"/>
        <v>1.0189903029920775</v>
      </c>
      <c r="D532">
        <f t="shared" si="426"/>
        <v>0.1933627033298502</v>
      </c>
      <c r="F532">
        <f t="shared" si="427"/>
        <v>2.1046013638857355E-5</v>
      </c>
      <c r="G532">
        <f t="shared" si="428"/>
        <v>9.3624204403678203E-4</v>
      </c>
      <c r="H532">
        <f t="shared" si="429"/>
        <v>-3.1406564079559636</v>
      </c>
      <c r="J532">
        <f t="shared" si="430"/>
        <v>15</v>
      </c>
      <c r="M532">
        <f t="shared" si="431"/>
        <v>7.8663278479698532E-4</v>
      </c>
      <c r="N532">
        <f t="shared" si="432"/>
        <v>-1.5707963250000001</v>
      </c>
      <c r="O532">
        <f t="shared" si="433"/>
        <v>312.24732221574817</v>
      </c>
      <c r="P532">
        <f t="shared" si="434"/>
        <v>1.5675937318059574</v>
      </c>
      <c r="Q532">
        <f t="shared" si="435"/>
        <v>271.41735157399984</v>
      </c>
      <c r="R532">
        <f t="shared" si="436"/>
        <v>1.5671119556349977</v>
      </c>
      <c r="S532">
        <f t="shared" si="437"/>
        <v>0.12924210698348435</v>
      </c>
      <c r="T532">
        <f t="shared" si="438"/>
        <v>-1.4411916884130667</v>
      </c>
      <c r="U532">
        <f t="shared" si="439"/>
        <v>0.12758670097099178</v>
      </c>
      <c r="V532">
        <f t="shared" si="440"/>
        <v>-1.4428609148269917</v>
      </c>
      <c r="X532">
        <f t="shared" si="457"/>
        <v>-69.029020620419132</v>
      </c>
      <c r="Y532">
        <f t="shared" si="441"/>
        <v>-244.50612659045368</v>
      </c>
      <c r="Z532">
        <f t="shared" si="458"/>
        <v>-64.506126590453675</v>
      </c>
      <c r="AC532">
        <v>1</v>
      </c>
      <c r="AD532">
        <f t="shared" si="442"/>
        <v>312.24572091688498</v>
      </c>
      <c r="AE532">
        <f t="shared" si="443"/>
        <v>-0.37433008567296844</v>
      </c>
      <c r="AF532">
        <f t="shared" si="444"/>
        <v>4.815307550214E-2</v>
      </c>
      <c r="AG532">
        <f t="shared" si="421"/>
        <v>102.9281342749498</v>
      </c>
      <c r="AH532">
        <f t="shared" si="422"/>
        <v>-820.90493512805904</v>
      </c>
      <c r="AJ532">
        <f t="shared" si="445"/>
        <v>26400</v>
      </c>
      <c r="AK532">
        <f t="shared" si="446"/>
        <v>202554.61336535041</v>
      </c>
      <c r="AL532">
        <v>1</v>
      </c>
      <c r="AM532">
        <f t="shared" si="447"/>
        <v>271.41550938633605</v>
      </c>
      <c r="AN532">
        <f t="shared" si="423"/>
        <v>746.6379896946828</v>
      </c>
      <c r="AO532">
        <f t="shared" si="424"/>
        <v>-94.516934821841801</v>
      </c>
      <c r="AQ532">
        <f t="shared" si="448"/>
        <v>9.8888483555982401E-4</v>
      </c>
      <c r="AR532">
        <f t="shared" si="449"/>
        <v>-3.1446537770802405</v>
      </c>
      <c r="AT532">
        <f t="shared" si="418"/>
        <v>-2581.3600208031235</v>
      </c>
      <c r="AU532">
        <f t="shared" si="419"/>
        <v>-324.48512665732744</v>
      </c>
      <c r="AV532">
        <f t="shared" si="459"/>
        <v>-3.0165453712123877</v>
      </c>
      <c r="AW532">
        <f t="shared" si="460"/>
        <v>552.61932500077148</v>
      </c>
      <c r="AX532">
        <f t="shared" si="461"/>
        <v>-3652.5878496265923</v>
      </c>
      <c r="AY532">
        <f t="shared" si="469"/>
        <v>-1.4206398367118378</v>
      </c>
      <c r="BA532">
        <f t="shared" si="450"/>
        <v>0.70426769269212397</v>
      </c>
      <c r="BB532">
        <f t="shared" si="462"/>
        <v>-3.0452446762071741</v>
      </c>
      <c r="BC532">
        <f t="shared" si="463"/>
        <v>-1.5959055345005499</v>
      </c>
      <c r="BD532">
        <f t="shared" si="451"/>
        <v>-271.43865173293523</v>
      </c>
      <c r="BF532">
        <f t="shared" si="452"/>
        <v>-72.896621521887127</v>
      </c>
      <c r="BG532">
        <f t="shared" si="453"/>
        <v>-260.30614218644774</v>
      </c>
      <c r="BH532">
        <f t="shared" si="464"/>
        <v>-80.306142186447744</v>
      </c>
      <c r="BI532">
        <f t="shared" si="465"/>
        <v>-80.306142186447744</v>
      </c>
      <c r="BJ532">
        <f t="shared" si="454"/>
        <v>0</v>
      </c>
      <c r="BK532">
        <f t="shared" si="466"/>
        <v>0</v>
      </c>
      <c r="BM532">
        <f t="shared" si="467"/>
        <v>-69.851376845679951</v>
      </c>
      <c r="BN532">
        <f t="shared" si="455"/>
        <v>-168.8674904535126</v>
      </c>
      <c r="BQ532" s="56">
        <f t="shared" si="468"/>
        <v>13.856716124077963</v>
      </c>
    </row>
    <row r="533" spans="1:69" x14ac:dyDescent="0.2">
      <c r="A533">
        <f t="shared" si="420"/>
        <v>1595000</v>
      </c>
      <c r="B533">
        <f t="shared" si="456"/>
        <v>1595</v>
      </c>
      <c r="C533">
        <f t="shared" si="425"/>
        <v>1.0191088050849508</v>
      </c>
      <c r="D533">
        <f t="shared" si="426"/>
        <v>0.19395564963059719</v>
      </c>
      <c r="F533">
        <f t="shared" si="427"/>
        <v>2.0914267828667152E-5</v>
      </c>
      <c r="G533">
        <f t="shared" si="428"/>
        <v>9.3330699467975378E-4</v>
      </c>
      <c r="H533">
        <f t="shared" si="429"/>
        <v>-3.1406593430053205</v>
      </c>
      <c r="J533">
        <f t="shared" si="430"/>
        <v>15</v>
      </c>
      <c r="M533">
        <f t="shared" si="431"/>
        <v>7.8416685130232387E-4</v>
      </c>
      <c r="N533">
        <f t="shared" si="432"/>
        <v>-1.5707963250000001</v>
      </c>
      <c r="O533">
        <f t="shared" si="433"/>
        <v>313.22922197878563</v>
      </c>
      <c r="P533">
        <f t="shared" si="434"/>
        <v>1.5676037712203565</v>
      </c>
      <c r="Q533">
        <f t="shared" si="435"/>
        <v>272.27085369030789</v>
      </c>
      <c r="R533">
        <f t="shared" si="436"/>
        <v>1.5671235052838193</v>
      </c>
      <c r="S533">
        <f t="shared" si="437"/>
        <v>0.12884369544571672</v>
      </c>
      <c r="T533">
        <f t="shared" si="438"/>
        <v>-1.4415934591540904</v>
      </c>
      <c r="U533">
        <f t="shared" si="439"/>
        <v>0.12719322324144364</v>
      </c>
      <c r="V533">
        <f t="shared" si="440"/>
        <v>-1.4432576246695368</v>
      </c>
      <c r="X533">
        <f t="shared" si="457"/>
        <v>-69.108929432919822</v>
      </c>
      <c r="Y533">
        <f t="shared" si="441"/>
        <v>-244.5168340411515</v>
      </c>
      <c r="Z533">
        <f t="shared" si="458"/>
        <v>-64.516834041151498</v>
      </c>
      <c r="AC533">
        <v>1</v>
      </c>
      <c r="AD533">
        <f t="shared" si="442"/>
        <v>313.22762569964249</v>
      </c>
      <c r="AE533">
        <f t="shared" si="443"/>
        <v>-0.37668806463517013</v>
      </c>
      <c r="AF533">
        <f t="shared" si="444"/>
        <v>4.8304500267869997E-2</v>
      </c>
      <c r="AG533">
        <f t="shared" si="421"/>
        <v>102.29425194506813</v>
      </c>
      <c r="AH533">
        <f t="shared" si="422"/>
        <v>-818.41285116835809</v>
      </c>
      <c r="AJ533">
        <f t="shared" si="445"/>
        <v>26400</v>
      </c>
      <c r="AK533">
        <f t="shared" si="446"/>
        <v>203191.57755832322</v>
      </c>
      <c r="AL533">
        <v>1</v>
      </c>
      <c r="AM533">
        <f t="shared" si="447"/>
        <v>272.26901727748799</v>
      </c>
      <c r="AN533">
        <f t="shared" si="423"/>
        <v>746.63580984184148</v>
      </c>
      <c r="AO533">
        <f t="shared" si="424"/>
        <v>-94.220651496358329</v>
      </c>
      <c r="AQ533">
        <f t="shared" si="448"/>
        <v>9.8269464896230891E-4</v>
      </c>
      <c r="AR533">
        <f t="shared" si="449"/>
        <v>-3.1347959301897652</v>
      </c>
      <c r="AT533">
        <f t="shared" si="418"/>
        <v>-2565.456751043565</v>
      </c>
      <c r="AU533">
        <f t="shared" si="419"/>
        <v>-321.47585460869118</v>
      </c>
      <c r="AV533">
        <f t="shared" si="459"/>
        <v>-3.0169330274254174</v>
      </c>
      <c r="AW533">
        <f t="shared" si="460"/>
        <v>553.84198670953788</v>
      </c>
      <c r="AX533">
        <f t="shared" si="461"/>
        <v>-3641.2110989331923</v>
      </c>
      <c r="AY533">
        <f t="shared" si="469"/>
        <v>-1.4198495263568143</v>
      </c>
      <c r="BA533">
        <f t="shared" si="450"/>
        <v>0.70199739284956542</v>
      </c>
      <c r="BB533">
        <f t="shared" si="462"/>
        <v>-3.0732900158981908</v>
      </c>
      <c r="BC533">
        <f t="shared" si="463"/>
        <v>-1.5970835010686031</v>
      </c>
      <c r="BD533">
        <f t="shared" si="451"/>
        <v>-271.50614424576929</v>
      </c>
      <c r="BF533">
        <f t="shared" si="452"/>
        <v>-72.978200450606977</v>
      </c>
      <c r="BG533">
        <f t="shared" si="453"/>
        <v>-260.33982954467336</v>
      </c>
      <c r="BH533">
        <f t="shared" si="464"/>
        <v>-80.339829544673364</v>
      </c>
      <c r="BI533">
        <f t="shared" si="465"/>
        <v>-80.339829544673364</v>
      </c>
      <c r="BJ533">
        <f t="shared" si="454"/>
        <v>0</v>
      </c>
      <c r="BK533">
        <f t="shared" si="466"/>
        <v>0</v>
      </c>
      <c r="BM533">
        <f t="shared" si="467"/>
        <v>-69.904910434708782</v>
      </c>
      <c r="BN533">
        <f t="shared" si="455"/>
        <v>-168.8336852989041</v>
      </c>
      <c r="BQ533" s="56">
        <f t="shared" si="468"/>
        <v>13.828670784386945</v>
      </c>
    </row>
    <row r="534" spans="1:69" x14ac:dyDescent="0.2">
      <c r="A534">
        <f t="shared" si="420"/>
        <v>1600000</v>
      </c>
      <c r="B534">
        <f t="shared" si="456"/>
        <v>1600</v>
      </c>
      <c r="C534">
        <f t="shared" si="425"/>
        <v>1.019227665398124</v>
      </c>
      <c r="D534">
        <f t="shared" si="426"/>
        <v>0.19454845784327823</v>
      </c>
      <c r="F534">
        <f t="shared" si="427"/>
        <v>2.0783755238101235E-5</v>
      </c>
      <c r="G534">
        <f t="shared" si="428"/>
        <v>9.3039029051327892E-4</v>
      </c>
      <c r="H534">
        <f t="shared" si="429"/>
        <v>-3.1406622597094871</v>
      </c>
      <c r="J534">
        <f t="shared" si="430"/>
        <v>15</v>
      </c>
      <c r="M534">
        <f t="shared" si="431"/>
        <v>7.8171632989200413E-4</v>
      </c>
      <c r="N534">
        <f t="shared" si="432"/>
        <v>-1.5707963250000001</v>
      </c>
      <c r="O534">
        <f t="shared" si="433"/>
        <v>314.21112177319611</v>
      </c>
      <c r="P534">
        <f t="shared" si="434"/>
        <v>1.5676137478890533</v>
      </c>
      <c r="Q534">
        <f t="shared" si="435"/>
        <v>273.12435584270844</v>
      </c>
      <c r="R534">
        <f t="shared" si="436"/>
        <v>1.5671349827483063</v>
      </c>
      <c r="S534">
        <f t="shared" si="437"/>
        <v>0.12844771216322043</v>
      </c>
      <c r="T534">
        <f t="shared" si="438"/>
        <v>-1.441992760385602</v>
      </c>
      <c r="U534">
        <f t="shared" si="439"/>
        <v>0.1268021452506061</v>
      </c>
      <c r="V534">
        <f t="shared" si="440"/>
        <v>-1.4436518950651009</v>
      </c>
      <c r="X534">
        <f t="shared" si="457"/>
        <v>-69.188587526928018</v>
      </c>
      <c r="Y534">
        <f t="shared" si="441"/>
        <v>-244.52727482104319</v>
      </c>
      <c r="Z534">
        <f t="shared" si="458"/>
        <v>-64.527274821043193</v>
      </c>
      <c r="AC534">
        <v>1</v>
      </c>
      <c r="AD534">
        <f t="shared" si="442"/>
        <v>314.2095304824</v>
      </c>
      <c r="AE534">
        <f t="shared" si="443"/>
        <v>-0.3790534469850082</v>
      </c>
      <c r="AF534">
        <f t="shared" si="444"/>
        <v>4.8455925033600002E-2</v>
      </c>
      <c r="AG534">
        <f t="shared" si="421"/>
        <v>101.66617557044593</v>
      </c>
      <c r="AH534">
        <f t="shared" si="422"/>
        <v>-815.93560053481849</v>
      </c>
      <c r="AJ534">
        <f t="shared" si="445"/>
        <v>26400</v>
      </c>
      <c r="AK534">
        <f t="shared" si="446"/>
        <v>203828.541751296</v>
      </c>
      <c r="AL534">
        <v>1</v>
      </c>
      <c r="AM534">
        <f t="shared" si="447"/>
        <v>273.12252516864004</v>
      </c>
      <c r="AN534">
        <f t="shared" si="423"/>
        <v>746.63365039280689</v>
      </c>
      <c r="AO534">
        <f t="shared" si="424"/>
        <v>-93.926219866953389</v>
      </c>
      <c r="AQ534">
        <f t="shared" si="448"/>
        <v>9.7656240463257771E-4</v>
      </c>
      <c r="AR534">
        <f t="shared" si="449"/>
        <v>-3.1249996948242487</v>
      </c>
      <c r="AT534">
        <f t="shared" ref="AT534:AT597" si="470">-AR534*AH534+AG534*AQ534</f>
        <v>-2549.6992193026631</v>
      </c>
      <c r="AU534">
        <f t="shared" ref="AU534:AU597" si="471">AQ534*AH534+AG534*AR534</f>
        <v>-318.50357966367562</v>
      </c>
      <c r="AV534">
        <f t="shared" si="459"/>
        <v>-3.0173183007760134</v>
      </c>
      <c r="AW534">
        <f t="shared" si="460"/>
        <v>555.05307763011672</v>
      </c>
      <c r="AX534">
        <f t="shared" si="461"/>
        <v>-3629.9047845102023</v>
      </c>
      <c r="AY534">
        <f t="shared" si="469"/>
        <v>-1.4190604679913847</v>
      </c>
      <c r="BA534">
        <f t="shared" si="450"/>
        <v>0.69974077393851442</v>
      </c>
      <c r="BB534">
        <f t="shared" si="462"/>
        <v>-3.1012563796799508</v>
      </c>
      <c r="BC534">
        <f t="shared" si="463"/>
        <v>-1.5982578327846286</v>
      </c>
      <c r="BD534">
        <f t="shared" si="451"/>
        <v>-271.57342849692276</v>
      </c>
      <c r="BF534">
        <f t="shared" si="452"/>
        <v>-73.059526745199875</v>
      </c>
      <c r="BG534">
        <f t="shared" si="453"/>
        <v>-260.37331550197973</v>
      </c>
      <c r="BH534">
        <f t="shared" si="464"/>
        <v>-80.373315501979732</v>
      </c>
      <c r="BI534">
        <f t="shared" si="465"/>
        <v>-80.373315501979732</v>
      </c>
      <c r="BJ534">
        <f t="shared" si="454"/>
        <v>0</v>
      </c>
      <c r="BK534">
        <f t="shared" si="466"/>
        <v>0</v>
      </c>
      <c r="BM534">
        <f t="shared" si="467"/>
        <v>-69.958270365519923</v>
      </c>
      <c r="BN534">
        <f t="shared" si="455"/>
        <v>-168.799887005057</v>
      </c>
      <c r="BQ534" s="56">
        <f t="shared" si="468"/>
        <v>13.800704420605186</v>
      </c>
    </row>
    <row r="535" spans="1:69" x14ac:dyDescent="0.2">
      <c r="A535">
        <f t="shared" si="420"/>
        <v>1605000</v>
      </c>
      <c r="B535">
        <f t="shared" si="456"/>
        <v>1605</v>
      </c>
      <c r="C535">
        <f t="shared" si="425"/>
        <v>1.0193468838062869</v>
      </c>
      <c r="D535">
        <f t="shared" si="426"/>
        <v>0.19514112759962016</v>
      </c>
      <c r="F535">
        <f t="shared" si="427"/>
        <v>2.065446052337926E-5</v>
      </c>
      <c r="G535">
        <f t="shared" si="428"/>
        <v>9.2749176007293755E-4</v>
      </c>
      <c r="H535">
        <f t="shared" si="429"/>
        <v>-3.1406651582399272</v>
      </c>
      <c r="J535">
        <f t="shared" si="430"/>
        <v>15</v>
      </c>
      <c r="M535">
        <f t="shared" si="431"/>
        <v>7.7928107652785463E-4</v>
      </c>
      <c r="N535">
        <f t="shared" si="432"/>
        <v>-1.5707963250000001</v>
      </c>
      <c r="O535">
        <f t="shared" si="433"/>
        <v>315.19302159868641</v>
      </c>
      <c r="P535">
        <f t="shared" si="434"/>
        <v>1.5676236623984481</v>
      </c>
      <c r="Q535">
        <f t="shared" si="435"/>
        <v>273.97785803086396</v>
      </c>
      <c r="R535">
        <f t="shared" si="436"/>
        <v>1.5671463887030668</v>
      </c>
      <c r="S535">
        <f t="shared" si="437"/>
        <v>0.12805413519296288</v>
      </c>
      <c r="T535">
        <f t="shared" si="438"/>
        <v>-1.4423896146801731</v>
      </c>
      <c r="U535">
        <f t="shared" si="439"/>
        <v>0.12641344529416296</v>
      </c>
      <c r="V535">
        <f t="shared" si="440"/>
        <v>-1.4440437483242197</v>
      </c>
      <c r="X535">
        <f t="shared" si="457"/>
        <v>-69.267996400798651</v>
      </c>
      <c r="Y535">
        <f t="shared" si="441"/>
        <v>-244.5374514604155</v>
      </c>
      <c r="Z535">
        <f t="shared" si="458"/>
        <v>-64.537451460415497</v>
      </c>
      <c r="AC535">
        <v>1</v>
      </c>
      <c r="AD535">
        <f t="shared" si="442"/>
        <v>315.19143526515751</v>
      </c>
      <c r="AE535">
        <f t="shared" si="443"/>
        <v>-0.38142623272248272</v>
      </c>
      <c r="AF535">
        <f t="shared" si="444"/>
        <v>4.8607349799329999E-2</v>
      </c>
      <c r="AG535">
        <f t="shared" si="421"/>
        <v>101.04383484976961</v>
      </c>
      <c r="AH535">
        <f t="shared" si="422"/>
        <v>-813.47305355712615</v>
      </c>
      <c r="AJ535">
        <f t="shared" si="445"/>
        <v>26400</v>
      </c>
      <c r="AK535">
        <f t="shared" si="446"/>
        <v>204465.50594426881</v>
      </c>
      <c r="AL535">
        <v>1</v>
      </c>
      <c r="AM535">
        <f t="shared" si="447"/>
        <v>273.97603305979203</v>
      </c>
      <c r="AN535">
        <f t="shared" si="423"/>
        <v>746.63151109372825</v>
      </c>
      <c r="AO535">
        <f t="shared" si="424"/>
        <v>-93.633622628982749</v>
      </c>
      <c r="AQ535">
        <f t="shared" si="448"/>
        <v>9.7048738167453911E-4</v>
      </c>
      <c r="AR535">
        <f t="shared" si="449"/>
        <v>-3.1152644951752704</v>
      </c>
      <c r="AT535">
        <f t="shared" si="470"/>
        <v>-2534.0856597616084</v>
      </c>
      <c r="AU535">
        <f t="shared" si="471"/>
        <v>-315.5677364976504</v>
      </c>
      <c r="AV535">
        <f t="shared" si="459"/>
        <v>-3.0177012130458918</v>
      </c>
      <c r="AW535">
        <f t="shared" si="460"/>
        <v>556.25274363867425</v>
      </c>
      <c r="AX535">
        <f t="shared" si="461"/>
        <v>-3618.6682561201578</v>
      </c>
      <c r="AY535">
        <f t="shared" si="469"/>
        <v>-1.4182726514092399</v>
      </c>
      <c r="BA535">
        <f t="shared" si="450"/>
        <v>0.69749771163015151</v>
      </c>
      <c r="BB535">
        <f t="shared" si="462"/>
        <v>-3.1291442579483157</v>
      </c>
      <c r="BC535">
        <f t="shared" si="463"/>
        <v>-1.5994285616366519</v>
      </c>
      <c r="BD535">
        <f t="shared" si="451"/>
        <v>-271.64050631917456</v>
      </c>
      <c r="BF535">
        <f t="shared" si="452"/>
        <v>-73.140601963591209</v>
      </c>
      <c r="BG535">
        <f t="shared" si="453"/>
        <v>-260.40660192207048</v>
      </c>
      <c r="BH535">
        <f t="shared" si="464"/>
        <v>-80.406601922070479</v>
      </c>
      <c r="BI535">
        <f t="shared" si="465"/>
        <v>-80.406601922070479</v>
      </c>
      <c r="BJ535">
        <f t="shared" si="454"/>
        <v>0</v>
      </c>
      <c r="BK535">
        <f t="shared" si="466"/>
        <v>0</v>
      </c>
      <c r="BM535">
        <f t="shared" si="467"/>
        <v>-70.011457705642897</v>
      </c>
      <c r="BN535">
        <f t="shared" si="455"/>
        <v>-168.76609560289594</v>
      </c>
      <c r="BQ535" s="56">
        <f t="shared" si="468"/>
        <v>13.772816542336821</v>
      </c>
    </row>
    <row r="536" spans="1:69" x14ac:dyDescent="0.2">
      <c r="A536">
        <f t="shared" si="420"/>
        <v>1610000</v>
      </c>
      <c r="B536">
        <f t="shared" si="456"/>
        <v>1610</v>
      </c>
      <c r="C536">
        <f t="shared" si="425"/>
        <v>1.0194664601838104</v>
      </c>
      <c r="D536">
        <f t="shared" si="426"/>
        <v>0.19573365853191094</v>
      </c>
      <c r="F536">
        <f t="shared" si="427"/>
        <v>2.0526368578617428E-5</v>
      </c>
      <c r="G536">
        <f t="shared" si="428"/>
        <v>9.246112340245185E-4</v>
      </c>
      <c r="H536">
        <f t="shared" si="429"/>
        <v>-3.1406680387659756</v>
      </c>
      <c r="J536">
        <f t="shared" si="430"/>
        <v>15</v>
      </c>
      <c r="M536">
        <f t="shared" si="431"/>
        <v>7.7686094896099798E-4</v>
      </c>
      <c r="N536">
        <f t="shared" si="432"/>
        <v>-1.5707963250000001</v>
      </c>
      <c r="O536">
        <f t="shared" si="433"/>
        <v>316.17492145496692</v>
      </c>
      <c r="P536">
        <f t="shared" si="434"/>
        <v>1.567633515327657</v>
      </c>
      <c r="Q536">
        <f t="shared" si="435"/>
        <v>274.83136025444151</v>
      </c>
      <c r="R536">
        <f t="shared" si="436"/>
        <v>1.5671577238143286</v>
      </c>
      <c r="S536">
        <f t="shared" si="437"/>
        <v>0.12766294285317489</v>
      </c>
      <c r="T536">
        <f t="shared" si="438"/>
        <v>-1.4427840443376538</v>
      </c>
      <c r="U536">
        <f t="shared" si="439"/>
        <v>0.12602710192650793</v>
      </c>
      <c r="V536">
        <f t="shared" si="440"/>
        <v>-1.4444332064876775</v>
      </c>
      <c r="X536">
        <f t="shared" si="457"/>
        <v>-69.347157539531878</v>
      </c>
      <c r="Y536">
        <f t="shared" si="441"/>
        <v>-244.54736645921736</v>
      </c>
      <c r="Z536">
        <f t="shared" si="458"/>
        <v>-64.547366459217358</v>
      </c>
      <c r="AC536">
        <v>1</v>
      </c>
      <c r="AD536">
        <f t="shared" si="442"/>
        <v>316.17334004791502</v>
      </c>
      <c r="AE536">
        <f t="shared" si="443"/>
        <v>-0.38380642184759367</v>
      </c>
      <c r="AF536">
        <f t="shared" si="444"/>
        <v>4.8758774565059997E-2</v>
      </c>
      <c r="AG536">
        <f t="shared" si="421"/>
        <v>100.42716053664491</v>
      </c>
      <c r="AH536">
        <f t="shared" si="422"/>
        <v>-811.02508204176172</v>
      </c>
      <c r="AJ536">
        <f t="shared" si="445"/>
        <v>26400</v>
      </c>
      <c r="AK536">
        <f t="shared" si="446"/>
        <v>205102.47013724162</v>
      </c>
      <c r="AL536">
        <v>1</v>
      </c>
      <c r="AM536">
        <f t="shared" si="447"/>
        <v>274.82954095094408</v>
      </c>
      <c r="AN536">
        <f t="shared" si="423"/>
        <v>746.6293916946903</v>
      </c>
      <c r="AO536">
        <f t="shared" si="424"/>
        <v>-93.342842692752342</v>
      </c>
      <c r="AQ536">
        <f t="shared" si="448"/>
        <v>9.6446887036872903E-4</v>
      </c>
      <c r="AR536">
        <f t="shared" si="449"/>
        <v>-3.1055897625873072</v>
      </c>
      <c r="AT536">
        <f t="shared" si="470"/>
        <v>-2518.6143331203489</v>
      </c>
      <c r="AU536">
        <f t="shared" si="471"/>
        <v>-312.66777009303399</v>
      </c>
      <c r="AV536">
        <f t="shared" si="459"/>
        <v>-3.0180817857535862</v>
      </c>
      <c r="AW536">
        <f t="shared" si="460"/>
        <v>557.44112831504265</v>
      </c>
      <c r="AX536">
        <f t="shared" si="461"/>
        <v>-3607.5008714831497</v>
      </c>
      <c r="AY536">
        <f t="shared" si="469"/>
        <v>-1.417486066541447</v>
      </c>
      <c r="BA536">
        <f t="shared" si="450"/>
        <v>0.69526808309087096</v>
      </c>
      <c r="BB536">
        <f t="shared" si="462"/>
        <v>-3.1569541367423923</v>
      </c>
      <c r="BC536">
        <f t="shared" si="463"/>
        <v>-1.6005957192121392</v>
      </c>
      <c r="BD536">
        <f t="shared" si="451"/>
        <v>-271.70737952235311</v>
      </c>
      <c r="BF536">
        <f t="shared" si="452"/>
        <v>-73.221427649412021</v>
      </c>
      <c r="BG536">
        <f t="shared" si="453"/>
        <v>-260.43969064554454</v>
      </c>
      <c r="BH536">
        <f t="shared" si="464"/>
        <v>-80.439690645544545</v>
      </c>
      <c r="BI536">
        <f t="shared" si="465"/>
        <v>-80.439690645544545</v>
      </c>
      <c r="BJ536">
        <f t="shared" si="454"/>
        <v>0</v>
      </c>
      <c r="BK536">
        <f t="shared" si="466"/>
        <v>0</v>
      </c>
      <c r="BM536">
        <f t="shared" si="467"/>
        <v>-70.064473512669622</v>
      </c>
      <c r="BN536">
        <f t="shared" si="455"/>
        <v>-168.73231112319147</v>
      </c>
      <c r="BQ536" s="56">
        <f t="shared" si="468"/>
        <v>13.745006663542744</v>
      </c>
    </row>
    <row r="537" spans="1:69" x14ac:dyDescent="0.2">
      <c r="A537">
        <f t="shared" si="420"/>
        <v>1615000</v>
      </c>
      <c r="B537">
        <f t="shared" si="456"/>
        <v>1615</v>
      </c>
      <c r="C537">
        <f t="shared" si="425"/>
        <v>1.0195863944047476</v>
      </c>
      <c r="D537">
        <f t="shared" si="426"/>
        <v>0.19632605027300068</v>
      </c>
      <c r="F537">
        <f t="shared" si="427"/>
        <v>2.0399464531415971E-5</v>
      </c>
      <c r="G537">
        <f t="shared" si="428"/>
        <v>9.2174854513104199E-4</v>
      </c>
      <c r="H537">
        <f t="shared" si="429"/>
        <v>-3.140670901454869</v>
      </c>
      <c r="J537">
        <f t="shared" si="430"/>
        <v>15</v>
      </c>
      <c r="M537">
        <f t="shared" si="431"/>
        <v>7.7445580670415287E-4</v>
      </c>
      <c r="N537">
        <f t="shared" si="432"/>
        <v>-1.5707963250000001</v>
      </c>
      <c r="O537">
        <f t="shared" si="433"/>
        <v>317.15682134175177</v>
      </c>
      <c r="P537">
        <f t="shared" si="434"/>
        <v>1.5676433072486249</v>
      </c>
      <c r="Q537">
        <f t="shared" si="435"/>
        <v>275.68486251311208</v>
      </c>
      <c r="R537">
        <f t="shared" si="436"/>
        <v>1.5671689887400695</v>
      </c>
      <c r="S537">
        <f t="shared" si="437"/>
        <v>0.12727411371950975</v>
      </c>
      <c r="T537">
        <f t="shared" si="438"/>
        <v>-1.4431760713892523</v>
      </c>
      <c r="U537">
        <f t="shared" si="439"/>
        <v>0.12564309395693599</v>
      </c>
      <c r="V537">
        <f t="shared" si="440"/>
        <v>-1.4448202913305492</v>
      </c>
      <c r="X537">
        <f t="shared" si="457"/>
        <v>-69.42607241492982</v>
      </c>
      <c r="Y537">
        <f t="shared" si="441"/>
        <v>-244.5570222875125</v>
      </c>
      <c r="Z537">
        <f t="shared" si="458"/>
        <v>-64.557022287512495</v>
      </c>
      <c r="AC537">
        <v>1</v>
      </c>
      <c r="AD537">
        <f t="shared" si="442"/>
        <v>317.15524483067253</v>
      </c>
      <c r="AE537">
        <f t="shared" si="443"/>
        <v>-0.38619401436034101</v>
      </c>
      <c r="AF537">
        <f t="shared" si="444"/>
        <v>4.8910199330790001E-2</v>
      </c>
      <c r="AG537">
        <f t="shared" si="421"/>
        <v>99.816084420766131</v>
      </c>
      <c r="AH537">
        <f t="shared" si="422"/>
        <v>-808.5915592515247</v>
      </c>
      <c r="AJ537">
        <f t="shared" si="445"/>
        <v>26400</v>
      </c>
      <c r="AK537">
        <f t="shared" si="446"/>
        <v>205739.43433021443</v>
      </c>
      <c r="AL537">
        <v>1</v>
      </c>
      <c r="AM537">
        <f t="shared" si="447"/>
        <v>275.68304884209601</v>
      </c>
      <c r="AN537">
        <f t="shared" si="423"/>
        <v>746.62729194964049</v>
      </c>
      <c r="AO537">
        <f t="shared" si="424"/>
        <v>-93.053863180191158</v>
      </c>
      <c r="AQ537">
        <f t="shared" si="448"/>
        <v>9.5850617196501723E-4</v>
      </c>
      <c r="AR537">
        <f t="shared" si="449"/>
        <v>-3.0959749354470056</v>
      </c>
      <c r="AT537">
        <f t="shared" si="470"/>
        <v>-2503.2835261237537</v>
      </c>
      <c r="AU537">
        <f t="shared" si="471"/>
        <v>-309.8031355212957</v>
      </c>
      <c r="AV537">
        <f t="shared" si="459"/>
        <v>-3.0184600401583892</v>
      </c>
      <c r="AW537">
        <f t="shared" si="460"/>
        <v>558.61837298603893</v>
      </c>
      <c r="AX537">
        <f t="shared" si="461"/>
        <v>-3596.4019961557697</v>
      </c>
      <c r="AY537">
        <f t="shared" si="469"/>
        <v>-1.4167007034542036</v>
      </c>
      <c r="BA537">
        <f t="shared" si="450"/>
        <v>0.69305176696005266</v>
      </c>
      <c r="BB537">
        <f t="shared" si="462"/>
        <v>-3.1846864977946518</v>
      </c>
      <c r="BC537">
        <f t="shared" si="463"/>
        <v>-1.6017593367041856</v>
      </c>
      <c r="BD537">
        <f t="shared" si="451"/>
        <v>-271.77404989369114</v>
      </c>
      <c r="BF537">
        <f t="shared" si="452"/>
        <v>-73.302005332172357</v>
      </c>
      <c r="BG537">
        <f t="shared" si="453"/>
        <v>-260.47258349025282</v>
      </c>
      <c r="BH537">
        <f t="shared" si="464"/>
        <v>-80.472583490252816</v>
      </c>
      <c r="BI537">
        <f t="shared" si="465"/>
        <v>-80.472583490252816</v>
      </c>
      <c r="BJ537">
        <f t="shared" si="454"/>
        <v>0</v>
      </c>
      <c r="BK537">
        <f t="shared" si="466"/>
        <v>0</v>
      </c>
      <c r="BM537">
        <f t="shared" si="467"/>
        <v>-70.117318834377713</v>
      </c>
      <c r="BN537">
        <f t="shared" si="455"/>
        <v>-168.69853359656167</v>
      </c>
      <c r="BQ537" s="56">
        <f t="shared" si="468"/>
        <v>13.717274302490486</v>
      </c>
    </row>
    <row r="538" spans="1:69" x14ac:dyDescent="0.2">
      <c r="A538">
        <f t="shared" ref="A538:A591" si="472">A537+5000</f>
        <v>1620000</v>
      </c>
      <c r="B538">
        <f t="shared" si="456"/>
        <v>1620</v>
      </c>
      <c r="C538">
        <f t="shared" si="425"/>
        <v>1.0197066863428335</v>
      </c>
      <c r="D538">
        <f t="shared" si="426"/>
        <v>0.19691830245630274</v>
      </c>
      <c r="F538">
        <f t="shared" si="427"/>
        <v>2.0273733738541876E-5</v>
      </c>
      <c r="G538">
        <f t="shared" si="428"/>
        <v>9.1890352822038951E-4</v>
      </c>
      <c r="H538">
        <f t="shared" si="429"/>
        <v>-3.14067374647178</v>
      </c>
      <c r="J538">
        <f t="shared" si="430"/>
        <v>15</v>
      </c>
      <c r="M538">
        <f t="shared" si="431"/>
        <v>7.7206551100444856E-4</v>
      </c>
      <c r="N538">
        <f t="shared" si="432"/>
        <v>-1.5707963250000001</v>
      </c>
      <c r="O538">
        <f t="shared" si="433"/>
        <v>318.13872125875838</v>
      </c>
      <c r="P538">
        <f t="shared" si="434"/>
        <v>1.5676530387262351</v>
      </c>
      <c r="Q538">
        <f t="shared" si="435"/>
        <v>276.53836480655065</v>
      </c>
      <c r="R538">
        <f t="shared" si="436"/>
        <v>1.5671801841301438</v>
      </c>
      <c r="S538">
        <f t="shared" si="437"/>
        <v>0.12688762662126901</v>
      </c>
      <c r="T538">
        <f t="shared" si="438"/>
        <v>-1.4435657176015482</v>
      </c>
      <c r="U538">
        <f t="shared" si="439"/>
        <v>0.12526140044590123</v>
      </c>
      <c r="V538">
        <f t="shared" si="440"/>
        <v>-1.4452050243661712</v>
      </c>
      <c r="X538">
        <f t="shared" si="457"/>
        <v>-69.504742485751038</v>
      </c>
      <c r="Y538">
        <f t="shared" si="441"/>
        <v>-244.56642138592571</v>
      </c>
      <c r="Z538">
        <f t="shared" si="458"/>
        <v>-64.566421385925707</v>
      </c>
      <c r="AC538">
        <v>1</v>
      </c>
      <c r="AD538">
        <f t="shared" si="442"/>
        <v>318.13714961343004</v>
      </c>
      <c r="AE538">
        <f t="shared" si="443"/>
        <v>-0.38858901026072479</v>
      </c>
      <c r="AF538">
        <f t="shared" si="444"/>
        <v>4.9061624096519998E-2</v>
      </c>
      <c r="AG538">
        <f t="shared" si="421"/>
        <v>99.210539309474242</v>
      </c>
      <c r="AH538">
        <f t="shared" si="422"/>
        <v>-806.17235988538766</v>
      </c>
      <c r="AJ538">
        <f t="shared" si="445"/>
        <v>26400</v>
      </c>
      <c r="AK538">
        <f t="shared" si="446"/>
        <v>206376.39852318721</v>
      </c>
      <c r="AL538">
        <v>1</v>
      </c>
      <c r="AM538">
        <f t="shared" si="447"/>
        <v>276.53655673324801</v>
      </c>
      <c r="AN538">
        <f t="shared" si="423"/>
        <v>746.62521161631639</v>
      </c>
      <c r="AO538">
        <f t="shared" si="424"/>
        <v>-92.766667421585694</v>
      </c>
      <c r="AQ538">
        <f t="shared" si="448"/>
        <v>9.5259859847978605E-4</v>
      </c>
      <c r="AR538">
        <f t="shared" si="449"/>
        <v>-3.0864194590745067</v>
      </c>
      <c r="AT538">
        <f t="shared" si="470"/>
        <v>-2488.091551097576</v>
      </c>
      <c r="AU538">
        <f t="shared" si="471"/>
        <v>-306.97329773019749</v>
      </c>
      <c r="AV538">
        <f t="shared" si="459"/>
        <v>-3.0188359972642211</v>
      </c>
      <c r="AW538">
        <f t="shared" si="460"/>
        <v>559.7846167678299</v>
      </c>
      <c r="AX538">
        <f t="shared" si="461"/>
        <v>-3585.3710034122469</v>
      </c>
      <c r="AY538">
        <f t="shared" si="469"/>
        <v>-1.4159165523466322</v>
      </c>
      <c r="BA538">
        <f t="shared" si="450"/>
        <v>0.69084864332822993</v>
      </c>
      <c r="BB538">
        <f t="shared" si="462"/>
        <v>-3.2123418185802959</v>
      </c>
      <c r="BC538">
        <f t="shared" si="463"/>
        <v>-1.602919444917589</v>
      </c>
      <c r="BD538">
        <f t="shared" si="451"/>
        <v>-271.84051919817358</v>
      </c>
      <c r="BF538">
        <f t="shared" si="452"/>
        <v>-73.382336527432173</v>
      </c>
      <c r="BG538">
        <f t="shared" si="453"/>
        <v>-260.50528225164766</v>
      </c>
      <c r="BH538">
        <f t="shared" si="464"/>
        <v>-80.505282251647657</v>
      </c>
      <c r="BI538">
        <f t="shared" si="465"/>
        <v>-80.505282251647657</v>
      </c>
      <c r="BJ538">
        <f t="shared" si="454"/>
        <v>0</v>
      </c>
      <c r="BK538">
        <f t="shared" si="466"/>
        <v>0</v>
      </c>
      <c r="BM538">
        <f t="shared" si="467"/>
        <v>-70.169994708851874</v>
      </c>
      <c r="BN538">
        <f t="shared" si="455"/>
        <v>-168.6647630534741</v>
      </c>
      <c r="BQ538" s="56">
        <f t="shared" si="468"/>
        <v>13.689618981704841</v>
      </c>
    </row>
    <row r="539" spans="1:69" x14ac:dyDescent="0.2">
      <c r="A539">
        <f t="shared" si="472"/>
        <v>1625000</v>
      </c>
      <c r="B539">
        <f t="shared" si="456"/>
        <v>1625</v>
      </c>
      <c r="C539">
        <f t="shared" si="425"/>
        <v>1.0198273358714864</v>
      </c>
      <c r="D539">
        <f t="shared" si="426"/>
        <v>0.19751041471579475</v>
      </c>
      <c r="F539">
        <f t="shared" si="427"/>
        <v>2.0149161781704444E-5</v>
      </c>
      <c r="G539">
        <f t="shared" si="428"/>
        <v>9.1607602015353383E-4</v>
      </c>
      <c r="H539">
        <f t="shared" si="429"/>
        <v>-3.1406765739798468</v>
      </c>
      <c r="J539">
        <f t="shared" si="430"/>
        <v>15</v>
      </c>
      <c r="M539">
        <f t="shared" si="431"/>
        <v>7.6968992481674255E-4</v>
      </c>
      <c r="N539">
        <f t="shared" si="432"/>
        <v>-1.5707963250000001</v>
      </c>
      <c r="O539">
        <f t="shared" si="433"/>
        <v>319.12062120570789</v>
      </c>
      <c r="P539">
        <f t="shared" si="434"/>
        <v>1.5676627103184193</v>
      </c>
      <c r="Q539">
        <f t="shared" si="435"/>
        <v>277.39186713443638</v>
      </c>
      <c r="R539">
        <f t="shared" si="436"/>
        <v>1.5671913106264079</v>
      </c>
      <c r="S539">
        <f t="shared" si="437"/>
        <v>0.12650346063769397</v>
      </c>
      <c r="T539">
        <f t="shared" si="438"/>
        <v>-1.4439530044804285</v>
      </c>
      <c r="U539">
        <f t="shared" si="439"/>
        <v>0.12488200070133942</v>
      </c>
      <c r="V539">
        <f t="shared" si="440"/>
        <v>-1.4455874268500399</v>
      </c>
      <c r="X539">
        <f t="shared" si="457"/>
        <v>-69.583169197862674</v>
      </c>
      <c r="Y539">
        <f t="shared" si="441"/>
        <v>-244.57556616607974</v>
      </c>
      <c r="Z539">
        <f t="shared" si="458"/>
        <v>-64.575566166079739</v>
      </c>
      <c r="AC539">
        <v>1</v>
      </c>
      <c r="AD539">
        <f t="shared" si="442"/>
        <v>319.11905439618749</v>
      </c>
      <c r="AE539">
        <f t="shared" si="443"/>
        <v>-0.39099140954874506</v>
      </c>
      <c r="AF539">
        <f t="shared" si="444"/>
        <v>4.9213048862249996E-2</v>
      </c>
      <c r="AG539">
        <f t="shared" si="421"/>
        <v>98.61045900969448</v>
      </c>
      <c r="AH539">
        <f t="shared" si="422"/>
        <v>-803.7673600586736</v>
      </c>
      <c r="AJ539">
        <f t="shared" si="445"/>
        <v>26400</v>
      </c>
      <c r="AK539">
        <f t="shared" si="446"/>
        <v>207013.36271615999</v>
      </c>
      <c r="AL539">
        <v>1</v>
      </c>
      <c r="AM539">
        <f t="shared" si="447"/>
        <v>277.39006462440005</v>
      </c>
      <c r="AN539">
        <f t="shared" si="423"/>
        <v>746.623150456178</v>
      </c>
      <c r="AO539">
        <f t="shared" si="424"/>
        <v>-92.481238952374781</v>
      </c>
      <c r="AQ539">
        <f t="shared" si="448"/>
        <v>9.4674547249747011E-4</v>
      </c>
      <c r="AR539">
        <f t="shared" si="449"/>
        <v>-3.0769227856167776</v>
      </c>
      <c r="AT539">
        <f t="shared" si="470"/>
        <v>-2473.0367454939692</v>
      </c>
      <c r="AU539">
        <f t="shared" si="471"/>
        <v>-304.17773133613497</v>
      </c>
      <c r="AV539">
        <f t="shared" si="459"/>
        <v>-3.0192096778234316</v>
      </c>
      <c r="AW539">
        <f t="shared" si="460"/>
        <v>560.93999660737325</v>
      </c>
      <c r="AX539">
        <f t="shared" si="461"/>
        <v>-3574.4072741277473</v>
      </c>
      <c r="AY539">
        <f t="shared" si="469"/>
        <v>-1.4151336035486215</v>
      </c>
      <c r="BA539">
        <f t="shared" si="450"/>
        <v>0.68865859371563387</v>
      </c>
      <c r="BB539">
        <f t="shared" si="462"/>
        <v>-3.2399205723660227</v>
      </c>
      <c r="BC539">
        <f t="shared" si="463"/>
        <v>-1.6040760742748101</v>
      </c>
      <c r="BD539">
        <f t="shared" si="451"/>
        <v>-271.90678917887897</v>
      </c>
      <c r="BF539">
        <f t="shared" si="452"/>
        <v>-73.462422736969529</v>
      </c>
      <c r="BG539">
        <f t="shared" si="453"/>
        <v>-260.53778870312641</v>
      </c>
      <c r="BH539">
        <f t="shared" si="464"/>
        <v>-80.537788703126409</v>
      </c>
      <c r="BI539">
        <f t="shared" si="465"/>
        <v>-80.537788703126409</v>
      </c>
      <c r="BJ539">
        <f t="shared" si="454"/>
        <v>0</v>
      </c>
      <c r="BK539">
        <f t="shared" si="466"/>
        <v>0</v>
      </c>
      <c r="BM539">
        <f t="shared" si="467"/>
        <v>-70.222502164603497</v>
      </c>
      <c r="BN539">
        <f t="shared" si="455"/>
        <v>-168.63099952424744</v>
      </c>
      <c r="BQ539" s="56">
        <f t="shared" si="468"/>
        <v>13.662040227919112</v>
      </c>
    </row>
    <row r="540" spans="1:69" x14ac:dyDescent="0.2">
      <c r="A540">
        <f t="shared" si="472"/>
        <v>1630000</v>
      </c>
      <c r="B540">
        <f t="shared" si="456"/>
        <v>1630</v>
      </c>
      <c r="C540">
        <f t="shared" si="425"/>
        <v>1.0199483428638085</v>
      </c>
      <c r="D540">
        <f t="shared" si="426"/>
        <v>0.19810238668601982</v>
      </c>
      <c r="F540">
        <f t="shared" si="427"/>
        <v>2.0025734463421402E-5</v>
      </c>
      <c r="G540">
        <f t="shared" si="428"/>
        <v>9.1326585979335242E-4</v>
      </c>
      <c r="H540">
        <f t="shared" si="429"/>
        <v>-3.1406793841402068</v>
      </c>
      <c r="J540">
        <f t="shared" si="430"/>
        <v>15</v>
      </c>
      <c r="M540">
        <f t="shared" si="431"/>
        <v>7.6732891277742738E-4</v>
      </c>
      <c r="N540">
        <f t="shared" si="432"/>
        <v>-1.5707963250000001</v>
      </c>
      <c r="O540">
        <f t="shared" si="433"/>
        <v>320.10252118232472</v>
      </c>
      <c r="P540">
        <f t="shared" si="434"/>
        <v>1.5676723225762628</v>
      </c>
      <c r="Q540">
        <f t="shared" si="435"/>
        <v>278.24536949645233</v>
      </c>
      <c r="R540">
        <f t="shared" si="436"/>
        <v>1.5672023688628434</v>
      </c>
      <c r="S540">
        <f t="shared" si="437"/>
        <v>0.12612159509432153</v>
      </c>
      <c r="T540">
        <f t="shared" si="438"/>
        <v>-1.4443379532749601</v>
      </c>
      <c r="U540">
        <f t="shared" si="439"/>
        <v>0.12450487427505486</v>
      </c>
      <c r="V540">
        <f t="shared" si="440"/>
        <v>-1.4459675197836417</v>
      </c>
      <c r="X540">
        <f t="shared" si="457"/>
        <v>-69.661353984390487</v>
      </c>
      <c r="Y540">
        <f t="shared" si="441"/>
        <v>-244.58445901102516</v>
      </c>
      <c r="Z540">
        <f t="shared" si="458"/>
        <v>-64.58445901102516</v>
      </c>
      <c r="AC540">
        <v>1</v>
      </c>
      <c r="AD540">
        <f t="shared" si="442"/>
        <v>320.100959178945</v>
      </c>
      <c r="AE540">
        <f t="shared" si="443"/>
        <v>-0.39340121222440166</v>
      </c>
      <c r="AF540">
        <f t="shared" si="444"/>
        <v>4.9364473627979993E-2</v>
      </c>
      <c r="AG540">
        <f t="shared" si="421"/>
        <v>98.015778310245111</v>
      </c>
      <c r="AH540">
        <f t="shared" si="422"/>
        <v>-801.37643728355567</v>
      </c>
      <c r="AJ540">
        <f t="shared" si="445"/>
        <v>26400</v>
      </c>
      <c r="AK540">
        <f t="shared" si="446"/>
        <v>207650.32690913283</v>
      </c>
      <c r="AL540">
        <v>1</v>
      </c>
      <c r="AM540">
        <f t="shared" si="447"/>
        <v>278.24357251555205</v>
      </c>
      <c r="AN540">
        <f t="shared" si="423"/>
        <v>746.62110823433784</v>
      </c>
      <c r="AO540">
        <f t="shared" si="424"/>
        <v>-92.197561510003254</v>
      </c>
      <c r="AQ540">
        <f t="shared" si="448"/>
        <v>9.4094612697635143E-4</v>
      </c>
      <c r="AR540">
        <f t="shared" si="449"/>
        <v>-3.0674843739429059</v>
      </c>
      <c r="AT540">
        <f t="shared" si="470"/>
        <v>-2458.1174714463605</v>
      </c>
      <c r="AU540">
        <f t="shared" si="471"/>
        <v>-301.41592042144094</v>
      </c>
      <c r="AV540">
        <f t="shared" si="459"/>
        <v>-3.0195811023405357</v>
      </c>
      <c r="AW540">
        <f t="shared" si="460"/>
        <v>562.08464732295022</v>
      </c>
      <c r="AX540">
        <f t="shared" si="461"/>
        <v>-3563.5101966637721</v>
      </c>
      <c r="AY540">
        <f t="shared" si="469"/>
        <v>-1.4143518475187067</v>
      </c>
      <c r="BA540">
        <f t="shared" si="450"/>
        <v>0.68648150105112216</v>
      </c>
      <c r="BB540">
        <f t="shared" si="462"/>
        <v>-3.2674232282580133</v>
      </c>
      <c r="BC540">
        <f t="shared" si="463"/>
        <v>-1.605229254821829</v>
      </c>
      <c r="BD540">
        <f t="shared" si="451"/>
        <v>-271.9728615573153</v>
      </c>
      <c r="BF540">
        <f t="shared" si="452"/>
        <v>-73.542265448946324</v>
      </c>
      <c r="BG540">
        <f t="shared" si="453"/>
        <v>-260.57010459636859</v>
      </c>
      <c r="BH540">
        <f t="shared" si="464"/>
        <v>-80.570104596368594</v>
      </c>
      <c r="BI540">
        <f t="shared" si="465"/>
        <v>-80.570104596368594</v>
      </c>
      <c r="BJ540">
        <f t="shared" si="454"/>
        <v>0</v>
      </c>
      <c r="BK540">
        <f t="shared" si="466"/>
        <v>0</v>
      </c>
      <c r="BM540">
        <f t="shared" si="467"/>
        <v>-70.274842220688328</v>
      </c>
      <c r="BN540">
        <f t="shared" si="455"/>
        <v>-168.59724303905335</v>
      </c>
      <c r="BQ540" s="56">
        <f t="shared" si="468"/>
        <v>13.634537572027124</v>
      </c>
    </row>
    <row r="541" spans="1:69" x14ac:dyDescent="0.2">
      <c r="A541">
        <f t="shared" si="472"/>
        <v>1635000</v>
      </c>
      <c r="B541">
        <f t="shared" si="456"/>
        <v>1635</v>
      </c>
      <c r="C541">
        <f t="shared" si="425"/>
        <v>1.0200697071925862</v>
      </c>
      <c r="D541">
        <f t="shared" si="426"/>
        <v>0.19869421800208739</v>
      </c>
      <c r="F541">
        <f t="shared" si="427"/>
        <v>1.9903437802973412E-5</v>
      </c>
      <c r="G541">
        <f t="shared" si="428"/>
        <v>9.1047288797401339E-4</v>
      </c>
      <c r="H541">
        <f t="shared" si="429"/>
        <v>-3.1406821771120264</v>
      </c>
      <c r="J541">
        <f t="shared" si="430"/>
        <v>15</v>
      </c>
      <c r="M541">
        <f t="shared" si="431"/>
        <v>7.649823411787197E-4</v>
      </c>
      <c r="N541">
        <f t="shared" si="432"/>
        <v>-1.5707963250000001</v>
      </c>
      <c r="O541">
        <f t="shared" si="433"/>
        <v>321.08442118833671</v>
      </c>
      <c r="P541">
        <f t="shared" si="434"/>
        <v>1.5676818760441105</v>
      </c>
      <c r="Q541">
        <f t="shared" si="435"/>
        <v>279.09887189228516</v>
      </c>
      <c r="R541">
        <f t="shared" si="436"/>
        <v>1.5672133594656761</v>
      </c>
      <c r="S541">
        <f t="shared" si="437"/>
        <v>0.12574200955940257</v>
      </c>
      <c r="T541">
        <f t="shared" si="438"/>
        <v>-1.4447205849811877</v>
      </c>
      <c r="U541">
        <f t="shared" si="439"/>
        <v>0.12413000095916954</v>
      </c>
      <c r="V541">
        <f t="shared" si="440"/>
        <v>-1.4463453239182162</v>
      </c>
      <c r="X541">
        <f t="shared" si="457"/>
        <v>-69.739298265866807</v>
      </c>
      <c r="Y541">
        <f t="shared" si="441"/>
        <v>-244.59310227566263</v>
      </c>
      <c r="Z541">
        <f t="shared" si="458"/>
        <v>-64.593102275662631</v>
      </c>
      <c r="AC541">
        <v>1</v>
      </c>
      <c r="AD541">
        <f t="shared" si="442"/>
        <v>321.08286396170246</v>
      </c>
      <c r="AE541">
        <f t="shared" si="443"/>
        <v>-0.39581841828769476</v>
      </c>
      <c r="AF541">
        <f t="shared" si="444"/>
        <v>4.9515898393709998E-2</v>
      </c>
      <c r="AG541">
        <f t="shared" si="421"/>
        <v>97.426432964507512</v>
      </c>
      <c r="AH541">
        <f t="shared" si="422"/>
        <v>-798.99947044986254</v>
      </c>
      <c r="AJ541">
        <f t="shared" si="445"/>
        <v>26400</v>
      </c>
      <c r="AK541">
        <f t="shared" si="446"/>
        <v>208287.29110210561</v>
      </c>
      <c r="AL541">
        <v>1</v>
      </c>
      <c r="AM541">
        <f t="shared" si="447"/>
        <v>279.09708040670404</v>
      </c>
      <c r="AN541">
        <f t="shared" si="423"/>
        <v>746.61908471949414</v>
      </c>
      <c r="AO541">
        <f t="shared" si="424"/>
        <v>-91.915619030833483</v>
      </c>
      <c r="AQ541">
        <f t="shared" si="448"/>
        <v>9.3519990505850563E-4</v>
      </c>
      <c r="AR541">
        <f t="shared" si="449"/>
        <v>-3.0581036895413134</v>
      </c>
      <c r="AT541">
        <f t="shared" si="470"/>
        <v>-2443.3321153334214</v>
      </c>
      <c r="AU541">
        <f t="shared" si="471"/>
        <v>-298.68735833651641</v>
      </c>
      <c r="AV541">
        <f t="shared" si="459"/>
        <v>-3.0199502910758786</v>
      </c>
      <c r="AW541">
        <f t="shared" si="460"/>
        <v>563.2187016438171</v>
      </c>
      <c r="AX541">
        <f t="shared" si="461"/>
        <v>-3552.6791667556154</v>
      </c>
      <c r="AY541">
        <f t="shared" si="469"/>
        <v>-1.413571274841992</v>
      </c>
      <c r="BA541">
        <f t="shared" si="450"/>
        <v>0.68431724965147023</v>
      </c>
      <c r="BB541">
        <f t="shared" si="462"/>
        <v>-3.2948502512493199</v>
      </c>
      <c r="BC541">
        <f t="shared" si="463"/>
        <v>-1.6063790162338867</v>
      </c>
      <c r="BD541">
        <f t="shared" si="451"/>
        <v>-272.03873803374847</v>
      </c>
      <c r="BF541">
        <f t="shared" si="452"/>
        <v>-73.621866138071638</v>
      </c>
      <c r="BG541">
        <f t="shared" si="453"/>
        <v>-260.60223166166645</v>
      </c>
      <c r="BH541">
        <f t="shared" si="464"/>
        <v>-80.602231661666451</v>
      </c>
      <c r="BI541">
        <f t="shared" si="465"/>
        <v>-80.602231661666451</v>
      </c>
      <c r="BJ541">
        <f t="shared" si="454"/>
        <v>0</v>
      </c>
      <c r="BK541">
        <f t="shared" si="466"/>
        <v>0</v>
      </c>
      <c r="BM541">
        <f t="shared" si="467"/>
        <v>-70.327015886822323</v>
      </c>
      <c r="BN541">
        <f t="shared" si="455"/>
        <v>-168.56349362791798</v>
      </c>
      <c r="BQ541" s="56">
        <f t="shared" si="468"/>
        <v>13.607110549035816</v>
      </c>
    </row>
    <row r="542" spans="1:69" x14ac:dyDescent="0.2">
      <c r="A542">
        <f t="shared" si="472"/>
        <v>1640000</v>
      </c>
      <c r="B542">
        <f t="shared" si="456"/>
        <v>1640</v>
      </c>
      <c r="C542">
        <f t="shared" si="425"/>
        <v>1.0201914287302905</v>
      </c>
      <c r="D542">
        <f t="shared" si="426"/>
        <v>0.19928590829967449</v>
      </c>
      <c r="F542">
        <f t="shared" si="427"/>
        <v>1.9782258032444767E-5</v>
      </c>
      <c r="G542">
        <f t="shared" si="428"/>
        <v>9.0769694747092284E-4</v>
      </c>
      <c r="H542">
        <f t="shared" si="429"/>
        <v>-3.1406849530525291</v>
      </c>
      <c r="J542">
        <f t="shared" si="430"/>
        <v>15</v>
      </c>
      <c r="M542">
        <f t="shared" si="431"/>
        <v>7.6265007794341878E-4</v>
      </c>
      <c r="N542">
        <f t="shared" si="432"/>
        <v>-1.5707963250000001</v>
      </c>
      <c r="O542">
        <f t="shared" si="433"/>
        <v>322.06632122347492</v>
      </c>
      <c r="P542">
        <f t="shared" si="434"/>
        <v>1.5676913712596687</v>
      </c>
      <c r="Q542">
        <f t="shared" si="435"/>
        <v>279.95237432162583</v>
      </c>
      <c r="R542">
        <f t="shared" si="436"/>
        <v>1.5672242830534957</v>
      </c>
      <c r="S542">
        <f t="shared" si="437"/>
        <v>0.12536468384038266</v>
      </c>
      <c r="T542">
        <f t="shared" si="438"/>
        <v>-1.4451009203458702</v>
      </c>
      <c r="U542">
        <f t="shared" si="439"/>
        <v>0.12375736078263357</v>
      </c>
      <c r="V542">
        <f t="shared" si="440"/>
        <v>-1.4467208597584529</v>
      </c>
      <c r="X542">
        <f t="shared" si="457"/>
        <v>-69.817003450376205</v>
      </c>
      <c r="Y542">
        <f t="shared" si="441"/>
        <v>-244.60149828715777</v>
      </c>
      <c r="Z542">
        <f t="shared" si="458"/>
        <v>-64.601498287157767</v>
      </c>
      <c r="AC542">
        <v>1</v>
      </c>
      <c r="AD542">
        <f t="shared" si="442"/>
        <v>322.06476874445997</v>
      </c>
      <c r="AE542">
        <f t="shared" si="443"/>
        <v>-0.3982430277386243</v>
      </c>
      <c r="AF542">
        <f t="shared" si="444"/>
        <v>4.9667323159440002E-2</v>
      </c>
      <c r="AG542">
        <f t="shared" si="421"/>
        <v>96.842359673450829</v>
      </c>
      <c r="AH542">
        <f t="shared" si="422"/>
        <v>-796.63633980619841</v>
      </c>
      <c r="AJ542">
        <f t="shared" si="445"/>
        <v>26400</v>
      </c>
      <c r="AK542">
        <f t="shared" si="446"/>
        <v>208924.25529507842</v>
      </c>
      <c r="AL542">
        <v>1</v>
      </c>
      <c r="AM542">
        <f t="shared" si="447"/>
        <v>279.95058829785603</v>
      </c>
      <c r="AN542">
        <f t="shared" si="423"/>
        <v>746.61707968386588</v>
      </c>
      <c r="AO542">
        <f t="shared" si="424"/>
        <v>-91.635395647113199</v>
      </c>
      <c r="AQ542">
        <f t="shared" si="448"/>
        <v>9.2950615988379682E-4</v>
      </c>
      <c r="AR542">
        <f t="shared" si="449"/>
        <v>-3.0487802044188537</v>
      </c>
      <c r="AT542">
        <f t="shared" si="470"/>
        <v>-2428.6790873519749</v>
      </c>
      <c r="AU542">
        <f t="shared" si="471"/>
        <v>-295.99154750666469</v>
      </c>
      <c r="AV542">
        <f t="shared" si="459"/>
        <v>-3.0203172640492428</v>
      </c>
      <c r="AW542">
        <f t="shared" si="460"/>
        <v>564.34229024899741</v>
      </c>
      <c r="AX542">
        <f t="shared" si="461"/>
        <v>-3541.9135874018539</v>
      </c>
      <c r="AY542">
        <f t="shared" si="469"/>
        <v>-1.4127918762281131</v>
      </c>
      <c r="BA542">
        <f t="shared" si="450"/>
        <v>0.68216572520102692</v>
      </c>
      <c r="BB542">
        <f t="shared" si="462"/>
        <v>-3.32220210226656</v>
      </c>
      <c r="BC542">
        <f t="shared" si="463"/>
        <v>-1.6075253878211297</v>
      </c>
      <c r="BD542">
        <f t="shared" si="451"/>
        <v>-272.10442028752624</v>
      </c>
      <c r="BF542">
        <f t="shared" si="452"/>
        <v>-73.701226265762443</v>
      </c>
      <c r="BG542">
        <f t="shared" si="453"/>
        <v>-260.63417160825009</v>
      </c>
      <c r="BH542">
        <f t="shared" si="464"/>
        <v>-80.634171608250085</v>
      </c>
      <c r="BI542">
        <f t="shared" si="465"/>
        <v>-80.634171608250085</v>
      </c>
      <c r="BJ542">
        <f t="shared" si="454"/>
        <v>0</v>
      </c>
      <c r="BK542">
        <f t="shared" si="466"/>
        <v>0</v>
      </c>
      <c r="BM542">
        <f t="shared" si="467"/>
        <v>-70.379024163495885</v>
      </c>
      <c r="BN542">
        <f t="shared" si="455"/>
        <v>-168.52975132072385</v>
      </c>
      <c r="BQ542" s="56">
        <f t="shared" si="468"/>
        <v>13.579758698018578</v>
      </c>
    </row>
    <row r="543" spans="1:69" x14ac:dyDescent="0.2">
      <c r="A543">
        <f t="shared" si="472"/>
        <v>1645000</v>
      </c>
      <c r="B543">
        <f t="shared" si="456"/>
        <v>1645</v>
      </c>
      <c r="C543">
        <f t="shared" si="425"/>
        <v>1.0203135073490783</v>
      </c>
      <c r="D543">
        <f t="shared" si="426"/>
        <v>0.1998774572150267</v>
      </c>
      <c r="F543">
        <f t="shared" si="427"/>
        <v>1.9662181592848207E-5</v>
      </c>
      <c r="G543">
        <f t="shared" si="428"/>
        <v>9.0493788297121836E-4</v>
      </c>
      <c r="H543">
        <f t="shared" si="429"/>
        <v>-3.1406877121170291</v>
      </c>
      <c r="J543">
        <f t="shared" si="430"/>
        <v>15</v>
      </c>
      <c r="M543">
        <f t="shared" si="431"/>
        <v>7.6033199260012573E-4</v>
      </c>
      <c r="N543">
        <f t="shared" si="432"/>
        <v>-1.5707963250000001</v>
      </c>
      <c r="O543">
        <f t="shared" si="433"/>
        <v>323.04822128747384</v>
      </c>
      <c r="P543">
        <f t="shared" si="434"/>
        <v>1.5677008087541069</v>
      </c>
      <c r="Q543">
        <f t="shared" si="435"/>
        <v>280.80587678416856</v>
      </c>
      <c r="R543">
        <f t="shared" si="436"/>
        <v>1.5672351402373705</v>
      </c>
      <c r="S543">
        <f t="shared" si="437"/>
        <v>0.12498959798044271</v>
      </c>
      <c r="T543">
        <f t="shared" si="438"/>
        <v>-1.4454789798701477</v>
      </c>
      <c r="U543">
        <f t="shared" si="439"/>
        <v>0.12338693400779563</v>
      </c>
      <c r="V543">
        <f t="shared" si="440"/>
        <v>-1.4470941475661203</v>
      </c>
      <c r="X543">
        <f t="shared" si="457"/>
        <v>-69.894470933699196</v>
      </c>
      <c r="Y543">
        <f t="shared" si="441"/>
        <v>-244.609649345348</v>
      </c>
      <c r="Z543">
        <f t="shared" si="458"/>
        <v>-64.609649345348004</v>
      </c>
      <c r="AC543">
        <v>1</v>
      </c>
      <c r="AD543">
        <f t="shared" si="442"/>
        <v>323.04667352721748</v>
      </c>
      <c r="AE543">
        <f t="shared" si="443"/>
        <v>-0.40067504057719022</v>
      </c>
      <c r="AF543">
        <f t="shared" si="444"/>
        <v>4.981874792517E-2</v>
      </c>
      <c r="AG543">
        <f t="shared" si="421"/>
        <v>96.263496069001647</v>
      </c>
      <c r="AH543">
        <f t="shared" si="422"/>
        <v>-794.28692694135782</v>
      </c>
      <c r="AJ543">
        <f t="shared" si="445"/>
        <v>26400</v>
      </c>
      <c r="AK543">
        <f t="shared" si="446"/>
        <v>209561.2194880512</v>
      </c>
      <c r="AL543">
        <v>1</v>
      </c>
      <c r="AM543">
        <f t="shared" si="447"/>
        <v>280.80409618900802</v>
      </c>
      <c r="AN543">
        <f t="shared" si="423"/>
        <v>746.61509290312836</v>
      </c>
      <c r="AO543">
        <f t="shared" si="424"/>
        <v>-91.356875683998894</v>
      </c>
      <c r="AQ543">
        <f t="shared" si="448"/>
        <v>9.2386425440782569E-4</v>
      </c>
      <c r="AR543">
        <f t="shared" si="449"/>
        <v>-3.0395133970017465</v>
      </c>
      <c r="AT543">
        <f t="shared" si="470"/>
        <v>-2414.156821098582</v>
      </c>
      <c r="AU543">
        <f t="shared" si="471"/>
        <v>-293.32799924350007</v>
      </c>
      <c r="AV543">
        <f t="shared" si="459"/>
        <v>-3.0206820410433859</v>
      </c>
      <c r="AW543">
        <f t="shared" si="460"/>
        <v>565.45554180523334</v>
      </c>
      <c r="AX543">
        <f t="shared" si="461"/>
        <v>-3531.2128687557979</v>
      </c>
      <c r="AY543">
        <f t="shared" si="469"/>
        <v>-1.4120136425092382</v>
      </c>
      <c r="BA543">
        <f t="shared" si="450"/>
        <v>0.680026814731722</v>
      </c>
      <c r="BB543">
        <f t="shared" si="462"/>
        <v>-3.3494792382159848</v>
      </c>
      <c r="BC543">
        <f t="shared" si="463"/>
        <v>-1.6086683985341477</v>
      </c>
      <c r="BD543">
        <f t="shared" si="451"/>
        <v>-272.16990997739526</v>
      </c>
      <c r="BF543">
        <f t="shared" si="452"/>
        <v>-73.780347280302138</v>
      </c>
      <c r="BG543">
        <f t="shared" si="453"/>
        <v>-260.66592612460653</v>
      </c>
      <c r="BH543">
        <f t="shared" si="464"/>
        <v>-80.665926124606528</v>
      </c>
      <c r="BI543">
        <f t="shared" si="465"/>
        <v>-80.665926124606528</v>
      </c>
      <c r="BJ543">
        <f t="shared" si="454"/>
        <v>0</v>
      </c>
      <c r="BK543">
        <f t="shared" si="466"/>
        <v>0</v>
      </c>
      <c r="BM543">
        <f t="shared" si="467"/>
        <v>-70.430868042086161</v>
      </c>
      <c r="BN543">
        <f t="shared" si="455"/>
        <v>-168.49601614721132</v>
      </c>
      <c r="BQ543" s="56">
        <f t="shared" si="468"/>
        <v>13.552481562069152</v>
      </c>
    </row>
    <row r="544" spans="1:69" x14ac:dyDescent="0.2">
      <c r="A544">
        <f t="shared" si="472"/>
        <v>1650000</v>
      </c>
      <c r="B544">
        <f t="shared" si="456"/>
        <v>1650</v>
      </c>
      <c r="C544">
        <f t="shared" si="425"/>
        <v>1.0204359429207928</v>
      </c>
      <c r="D544">
        <f t="shared" si="426"/>
        <v>0.20046886438495914</v>
      </c>
      <c r="F544">
        <f t="shared" si="427"/>
        <v>1.9543195130331817E-5</v>
      </c>
      <c r="G544">
        <f t="shared" si="428"/>
        <v>9.0219554104479995E-4</v>
      </c>
      <c r="H544">
        <f t="shared" si="429"/>
        <v>-3.1406904544589556</v>
      </c>
      <c r="J544">
        <f t="shared" si="430"/>
        <v>15</v>
      </c>
      <c r="M544">
        <f t="shared" si="431"/>
        <v>7.5802795625891308E-4</v>
      </c>
      <c r="N544">
        <f t="shared" si="432"/>
        <v>-1.5707963250000001</v>
      </c>
      <c r="O544">
        <f t="shared" si="433"/>
        <v>324.03012138007114</v>
      </c>
      <c r="P544">
        <f t="shared" si="434"/>
        <v>1.5677101890521552</v>
      </c>
      <c r="Q544">
        <f t="shared" si="435"/>
        <v>281.6593792796117</v>
      </c>
      <c r="R544">
        <f t="shared" si="436"/>
        <v>1.5672459316209633</v>
      </c>
      <c r="S544">
        <f t="shared" si="437"/>
        <v>0.12461673225509919</v>
      </c>
      <c r="T544">
        <f t="shared" si="438"/>
        <v>-1.4458547838131466</v>
      </c>
      <c r="U544">
        <f t="shared" si="439"/>
        <v>0.12301870112703268</v>
      </c>
      <c r="V544">
        <f t="shared" si="440"/>
        <v>-1.4474652073636363</v>
      </c>
      <c r="X544">
        <f t="shared" si="457"/>
        <v>-69.971702099453921</v>
      </c>
      <c r="Y544">
        <f t="shared" si="441"/>
        <v>-244.61755772314365</v>
      </c>
      <c r="Z544">
        <f t="shared" si="458"/>
        <v>-64.617557723143648</v>
      </c>
      <c r="AC544">
        <v>1</v>
      </c>
      <c r="AD544">
        <f t="shared" si="442"/>
        <v>324.02857830997499</v>
      </c>
      <c r="AE544">
        <f t="shared" si="443"/>
        <v>-0.40311445680339258</v>
      </c>
      <c r="AF544">
        <f t="shared" si="444"/>
        <v>4.9970172690900004E-2</v>
      </c>
      <c r="AG544">
        <f t="shared" si="421"/>
        <v>95.689780697751488</v>
      </c>
      <c r="AH544">
        <f t="shared" si="422"/>
        <v>-791.95111476604131</v>
      </c>
      <c r="AJ544">
        <f t="shared" si="445"/>
        <v>26400</v>
      </c>
      <c r="AK544">
        <f t="shared" si="446"/>
        <v>210198.18368102403</v>
      </c>
      <c r="AL544">
        <v>1</v>
      </c>
      <c r="AM544">
        <f t="shared" si="447"/>
        <v>281.65760408016007</v>
      </c>
      <c r="AN544">
        <f t="shared" si="423"/>
        <v>746.61312415635018</v>
      </c>
      <c r="AO544">
        <f t="shared" si="424"/>
        <v>-91.080043656633066</v>
      </c>
      <c r="AQ544">
        <f t="shared" si="448"/>
        <v>9.1827356122373171E-4</v>
      </c>
      <c r="AR544">
        <f t="shared" si="449"/>
        <v>-3.0303027520383146</v>
      </c>
      <c r="AT544">
        <f t="shared" si="470"/>
        <v>-2399.7637731596524</v>
      </c>
      <c r="AU544">
        <f t="shared" si="471"/>
        <v>-290.69623356081041</v>
      </c>
      <c r="AV544">
        <f t="shared" si="459"/>
        <v>-3.0210446416075194</v>
      </c>
      <c r="AW544">
        <f t="shared" si="460"/>
        <v>566.55858300412081</v>
      </c>
      <c r="AX544">
        <f t="shared" si="461"/>
        <v>-3520.576428018896</v>
      </c>
      <c r="AY544">
        <f t="shared" si="469"/>
        <v>-1.4112365646381071</v>
      </c>
      <c r="BA544">
        <f t="shared" si="450"/>
        <v>0.67790040660342032</v>
      </c>
      <c r="BB544">
        <f t="shared" si="462"/>
        <v>-3.3766821120289165</v>
      </c>
      <c r="BC544">
        <f t="shared" si="463"/>
        <v>-1.6098080769694123</v>
      </c>
      <c r="BD544">
        <f t="shared" si="451"/>
        <v>-272.23520874181258</v>
      </c>
      <c r="BF544">
        <f t="shared" si="452"/>
        <v>-73.859230616996697</v>
      </c>
      <c r="BG544">
        <f t="shared" si="453"/>
        <v>-260.69749687879283</v>
      </c>
      <c r="BH544">
        <f t="shared" si="464"/>
        <v>-80.697496878792833</v>
      </c>
      <c r="BI544">
        <f t="shared" si="465"/>
        <v>-80.697496878792833</v>
      </c>
      <c r="BJ544">
        <f t="shared" si="454"/>
        <v>0</v>
      </c>
      <c r="BK544">
        <f t="shared" si="466"/>
        <v>0</v>
      </c>
      <c r="BM544">
        <f t="shared" si="467"/>
        <v>-70.482548504967781</v>
      </c>
      <c r="BN544">
        <f t="shared" si="455"/>
        <v>-168.46228813698022</v>
      </c>
      <c r="BQ544" s="56">
        <f t="shared" si="468"/>
        <v>13.525278688256218</v>
      </c>
    </row>
    <row r="545" spans="1:69" x14ac:dyDescent="0.2">
      <c r="A545">
        <f t="shared" si="472"/>
        <v>1655000</v>
      </c>
      <c r="B545">
        <f t="shared" si="456"/>
        <v>1655</v>
      </c>
      <c r="C545">
        <f t="shared" si="425"/>
        <v>1.0205587353169641</v>
      </c>
      <c r="D545">
        <f t="shared" si="426"/>
        <v>0.20106012944685769</v>
      </c>
      <c r="F545">
        <f t="shared" si="427"/>
        <v>1.942528549246602E-5</v>
      </c>
      <c r="G545">
        <f t="shared" si="428"/>
        <v>8.9946977011588715E-4</v>
      </c>
      <c r="H545">
        <f t="shared" si="429"/>
        <v>-3.1406931802298845</v>
      </c>
      <c r="J545">
        <f t="shared" si="430"/>
        <v>15</v>
      </c>
      <c r="M545">
        <f t="shared" si="431"/>
        <v>7.5573784158743606E-4</v>
      </c>
      <c r="N545">
        <f t="shared" si="432"/>
        <v>-1.5707963250000001</v>
      </c>
      <c r="O545">
        <f t="shared" si="433"/>
        <v>325.01202150100755</v>
      </c>
      <c r="P545">
        <f t="shared" si="434"/>
        <v>1.5677195126722037</v>
      </c>
      <c r="Q545">
        <f t="shared" si="435"/>
        <v>282.51288180765704</v>
      </c>
      <c r="R545">
        <f t="shared" si="436"/>
        <v>1.5672566578006406</v>
      </c>
      <c r="S545">
        <f t="shared" si="437"/>
        <v>0.12424606716886248</v>
      </c>
      <c r="T545">
        <f t="shared" si="438"/>
        <v>-1.4462283521955206</v>
      </c>
      <c r="U545">
        <f t="shared" si="439"/>
        <v>0.12265264285943671</v>
      </c>
      <c r="V545">
        <f t="shared" si="440"/>
        <v>-1.4478340589375718</v>
      </c>
      <c r="X545">
        <f t="shared" si="457"/>
        <v>-70.048698319235754</v>
      </c>
      <c r="Y545">
        <f t="shared" si="441"/>
        <v>-244.6252256669207</v>
      </c>
      <c r="Z545">
        <f t="shared" si="458"/>
        <v>-64.625225666920699</v>
      </c>
      <c r="AC545">
        <v>1</v>
      </c>
      <c r="AD545">
        <f t="shared" si="442"/>
        <v>325.0104830927325</v>
      </c>
      <c r="AE545">
        <f t="shared" si="443"/>
        <v>-0.40556127641723133</v>
      </c>
      <c r="AF545">
        <f t="shared" si="444"/>
        <v>5.0121597456629995E-2</v>
      </c>
      <c r="AG545">
        <f t="shared" si="421"/>
        <v>95.121153004994042</v>
      </c>
      <c r="AH545">
        <f t="shared" si="422"/>
        <v>-789.62878749485878</v>
      </c>
      <c r="AJ545">
        <f t="shared" si="445"/>
        <v>26400</v>
      </c>
      <c r="AK545">
        <f t="shared" si="446"/>
        <v>210835.14787399682</v>
      </c>
      <c r="AL545">
        <v>1</v>
      </c>
      <c r="AM545">
        <f t="shared" si="447"/>
        <v>282.511111971312</v>
      </c>
      <c r="AN545">
        <f t="shared" si="423"/>
        <v>746.6111732259327</v>
      </c>
      <c r="AO545">
        <f t="shared" si="424"/>
        <v>-90.804884267274687</v>
      </c>
      <c r="AQ545">
        <f t="shared" si="448"/>
        <v>9.1273346238776002E-4</v>
      </c>
      <c r="AR545">
        <f t="shared" si="449"/>
        <v>-3.0211477605034855</v>
      </c>
      <c r="AT545">
        <f t="shared" si="470"/>
        <v>-2385.4984227098466</v>
      </c>
      <c r="AU545">
        <f t="shared" si="471"/>
        <v>-288.09577899475835</v>
      </c>
      <c r="AV545">
        <f t="shared" si="459"/>
        <v>-3.0214050850607275</v>
      </c>
      <c r="AW545">
        <f t="shared" si="460"/>
        <v>567.6515385984444</v>
      </c>
      <c r="AX545">
        <f t="shared" si="461"/>
        <v>-3510.0036893360184</v>
      </c>
      <c r="AY545">
        <f t="shared" si="469"/>
        <v>-1.4104606336861085</v>
      </c>
      <c r="BA545">
        <f t="shared" si="450"/>
        <v>0.67578639048461875</v>
      </c>
      <c r="BB545">
        <f t="shared" si="462"/>
        <v>-3.403811172706515</v>
      </c>
      <c r="BC545">
        <f t="shared" si="463"/>
        <v>-1.6109444513746189</v>
      </c>
      <c r="BD545">
        <f t="shared" si="451"/>
        <v>-272.30031819925205</v>
      </c>
      <c r="BF545">
        <f t="shared" si="452"/>
        <v>-73.937877698328364</v>
      </c>
      <c r="BG545">
        <f t="shared" si="453"/>
        <v>-260.72888551874354</v>
      </c>
      <c r="BH545">
        <f t="shared" si="464"/>
        <v>-80.728885518743539</v>
      </c>
      <c r="BI545">
        <f t="shared" si="465"/>
        <v>-80.728885518743539</v>
      </c>
      <c r="BJ545">
        <f t="shared" si="454"/>
        <v>0</v>
      </c>
      <c r="BK545">
        <f t="shared" si="466"/>
        <v>0</v>
      </c>
      <c r="BM545">
        <f t="shared" si="467"/>
        <v>-70.534066525621853</v>
      </c>
      <c r="BN545">
        <f t="shared" si="455"/>
        <v>-168.42856731949155</v>
      </c>
      <c r="BQ545" s="56">
        <f t="shared" si="468"/>
        <v>13.498149627578622</v>
      </c>
    </row>
    <row r="546" spans="1:69" x14ac:dyDescent="0.2">
      <c r="A546">
        <f t="shared" si="472"/>
        <v>1660000</v>
      </c>
      <c r="B546">
        <f t="shared" si="456"/>
        <v>1660</v>
      </c>
      <c r="C546">
        <f t="shared" si="425"/>
        <v>1.0206818844088095</v>
      </c>
      <c r="D546">
        <f t="shared" si="426"/>
        <v>0.20165125203867981</v>
      </c>
      <c r="F546">
        <f t="shared" si="427"/>
        <v>1.9308439724608758E-5</v>
      </c>
      <c r="G546">
        <f t="shared" si="428"/>
        <v>8.9676042043508803E-4</v>
      </c>
      <c r="H546">
        <f t="shared" si="429"/>
        <v>-3.1406958895795651</v>
      </c>
      <c r="J546">
        <f t="shared" si="430"/>
        <v>15</v>
      </c>
      <c r="M546">
        <f t="shared" si="431"/>
        <v>7.5346152278747388E-4</v>
      </c>
      <c r="N546">
        <f t="shared" si="432"/>
        <v>-1.5707963250000001</v>
      </c>
      <c r="O546">
        <f t="shared" si="433"/>
        <v>325.99392165002706</v>
      </c>
      <c r="P546">
        <f t="shared" si="434"/>
        <v>1.5677287801263966</v>
      </c>
      <c r="Q546">
        <f t="shared" si="435"/>
        <v>283.3663843680099</v>
      </c>
      <c r="R546">
        <f t="shared" si="436"/>
        <v>1.5672673193655848</v>
      </c>
      <c r="S546">
        <f t="shared" si="437"/>
        <v>0.1238775834519521</v>
      </c>
      <c r="T546">
        <f t="shared" si="438"/>
        <v>-1.4465997048029304</v>
      </c>
      <c r="U546">
        <f t="shared" si="439"/>
        <v>0.12228874014755876</v>
      </c>
      <c r="V546">
        <f t="shared" si="440"/>
        <v>-1.4482007218420947</v>
      </c>
      <c r="X546">
        <f t="shared" si="457"/>
        <v>-70.125460952754977</v>
      </c>
      <c r="Y546">
        <f t="shared" si="441"/>
        <v>-244.63265539690741</v>
      </c>
      <c r="Z546">
        <f t="shared" si="458"/>
        <v>-64.63265539690741</v>
      </c>
      <c r="AC546">
        <v>1</v>
      </c>
      <c r="AD546">
        <f t="shared" si="442"/>
        <v>325.99238787549001</v>
      </c>
      <c r="AE546">
        <f t="shared" si="443"/>
        <v>-0.40801549941870657</v>
      </c>
      <c r="AF546">
        <f t="shared" si="444"/>
        <v>5.0273022222360006E-2</v>
      </c>
      <c r="AG546">
        <f t="shared" si="421"/>
        <v>94.557553319084661</v>
      </c>
      <c r="AH546">
        <f t="shared" si="422"/>
        <v>-787.31983062861957</v>
      </c>
      <c r="AJ546">
        <f t="shared" si="445"/>
        <v>26400</v>
      </c>
      <c r="AK546">
        <f t="shared" si="446"/>
        <v>211472.11206696962</v>
      </c>
      <c r="AL546">
        <v>1</v>
      </c>
      <c r="AM546">
        <f t="shared" si="447"/>
        <v>283.36461986246405</v>
      </c>
      <c r="AN546">
        <f t="shared" si="423"/>
        <v>746.60923989754872</v>
      </c>
      <c r="AO546">
        <f t="shared" si="424"/>
        <v>-90.531382402481199</v>
      </c>
      <c r="AQ546">
        <f t="shared" si="448"/>
        <v>9.0724334924849857E-4</v>
      </c>
      <c r="AR546">
        <f t="shared" si="449"/>
        <v>-3.0120479195050152</v>
      </c>
      <c r="AT546">
        <f t="shared" si="470"/>
        <v>-2371.3592711186043</v>
      </c>
      <c r="AU546">
        <f t="shared" si="471"/>
        <v>-285.52617242830274</v>
      </c>
      <c r="AV546">
        <f t="shared" si="459"/>
        <v>-3.0217633904953232</v>
      </c>
      <c r="AW546">
        <f t="shared" si="460"/>
        <v>568.73453143773486</v>
      </c>
      <c r="AX546">
        <f t="shared" si="461"/>
        <v>-3499.4940836926116</v>
      </c>
      <c r="AY546">
        <f t="shared" si="469"/>
        <v>-1.4096858408413944</v>
      </c>
      <c r="BA546">
        <f t="shared" si="450"/>
        <v>0.67368465733347205</v>
      </c>
      <c r="BB546">
        <f t="shared" si="462"/>
        <v>-3.4308668653639876</v>
      </c>
      <c r="BC546">
        <f t="shared" si="463"/>
        <v>-1.6120775496539288</v>
      </c>
      <c r="BD546">
        <f t="shared" si="451"/>
        <v>-272.36523994850421</v>
      </c>
      <c r="BF546">
        <f t="shared" si="452"/>
        <v>-74.016289934107292</v>
      </c>
      <c r="BG546">
        <f t="shared" si="453"/>
        <v>-260.76009367257285</v>
      </c>
      <c r="BH546">
        <f t="shared" si="464"/>
        <v>-80.76009367257285</v>
      </c>
      <c r="BI546">
        <f t="shared" si="465"/>
        <v>-80.76009367257285</v>
      </c>
      <c r="BJ546">
        <f t="shared" si="454"/>
        <v>0</v>
      </c>
      <c r="BK546">
        <f t="shared" si="466"/>
        <v>0</v>
      </c>
      <c r="BM546">
        <f t="shared" si="467"/>
        <v>-70.58542306874331</v>
      </c>
      <c r="BN546">
        <f t="shared" si="455"/>
        <v>-168.3948537240687</v>
      </c>
      <c r="BQ546" s="56">
        <f t="shared" si="468"/>
        <v>13.47109393492115</v>
      </c>
    </row>
    <row r="547" spans="1:69" x14ac:dyDescent="0.2">
      <c r="A547">
        <f t="shared" si="472"/>
        <v>1665000</v>
      </c>
      <c r="B547">
        <f t="shared" si="456"/>
        <v>1665</v>
      </c>
      <c r="C547">
        <f t="shared" si="425"/>
        <v>1.0208053900672347</v>
      </c>
      <c r="D547">
        <f t="shared" si="426"/>
        <v>0.20224223179895573</v>
      </c>
      <c r="F547">
        <f t="shared" si="427"/>
        <v>1.9192645066346945E-5</v>
      </c>
      <c r="G547">
        <f t="shared" si="428"/>
        <v>8.9406734405197421E-4</v>
      </c>
      <c r="H547">
        <f t="shared" si="429"/>
        <v>-3.1406985826559484</v>
      </c>
      <c r="J547">
        <f t="shared" si="430"/>
        <v>15</v>
      </c>
      <c r="M547">
        <f t="shared" si="431"/>
        <v>7.5119887557189592E-4</v>
      </c>
      <c r="N547">
        <f t="shared" si="432"/>
        <v>-1.5707963250000001</v>
      </c>
      <c r="O547">
        <f t="shared" si="433"/>
        <v>326.97582182687654</v>
      </c>
      <c r="P547">
        <f t="shared" si="434"/>
        <v>1.5677379919207259</v>
      </c>
      <c r="Q547">
        <f t="shared" si="435"/>
        <v>284.21988696037937</v>
      </c>
      <c r="R547">
        <f t="shared" si="436"/>
        <v>1.5672779168979012</v>
      </c>
      <c r="S547">
        <f t="shared" si="437"/>
        <v>0.12351126205706786</v>
      </c>
      <c r="T547">
        <f t="shared" si="438"/>
        <v>-1.4469688611894629</v>
      </c>
      <c r="U547">
        <f t="shared" si="439"/>
        <v>0.12192697415420804</v>
      </c>
      <c r="V547">
        <f t="shared" si="440"/>
        <v>-1.4485652154023561</v>
      </c>
      <c r="X547">
        <f t="shared" si="457"/>
        <v>-70.201991347972466</v>
      </c>
      <c r="Y547">
        <f t="shared" si="441"/>
        <v>-244.63984910756429</v>
      </c>
      <c r="Z547">
        <f t="shared" si="458"/>
        <v>-64.639849107564288</v>
      </c>
      <c r="AC547">
        <v>1</v>
      </c>
      <c r="AD547">
        <f t="shared" si="442"/>
        <v>326.97429265824752</v>
      </c>
      <c r="AE547">
        <f t="shared" si="443"/>
        <v>-0.4104771258078182</v>
      </c>
      <c r="AF547">
        <f t="shared" si="444"/>
        <v>5.0424446988089996E-2</v>
      </c>
      <c r="AG547">
        <f t="shared" si="421"/>
        <v>93.998922836114787</v>
      </c>
      <c r="AH547">
        <f t="shared" si="422"/>
        <v>-785.02413093690302</v>
      </c>
      <c r="AJ547">
        <f t="shared" si="445"/>
        <v>26400</v>
      </c>
      <c r="AK547">
        <f t="shared" si="446"/>
        <v>212109.07625994241</v>
      </c>
      <c r="AL547">
        <v>1</v>
      </c>
      <c r="AM547">
        <f t="shared" si="447"/>
        <v>284.21812775361605</v>
      </c>
      <c r="AN547">
        <f t="shared" si="423"/>
        <v>746.60732396008461</v>
      </c>
      <c r="AO547">
        <f t="shared" si="424"/>
        <v>-90.259523130341677</v>
      </c>
      <c r="AQ547">
        <f t="shared" si="448"/>
        <v>9.0180262227970113E-4</v>
      </c>
      <c r="AR547">
        <f t="shared" si="449"/>
        <v>-3.0030027321914048</v>
      </c>
      <c r="AT547">
        <f t="shared" si="470"/>
        <v>-2357.3448415645976</v>
      </c>
      <c r="AU547">
        <f t="shared" si="471"/>
        <v>-282.98695891973347</v>
      </c>
      <c r="AV547">
        <f t="shared" si="459"/>
        <v>-3.0221195767801499</v>
      </c>
      <c r="AW547">
        <f t="shared" si="460"/>
        <v>569.80768250306699</v>
      </c>
      <c r="AX547">
        <f t="shared" si="461"/>
        <v>-3489.0470488136652</v>
      </c>
      <c r="AY547">
        <f t="shared" si="469"/>
        <v>-1.4089121774070266</v>
      </c>
      <c r="BA547">
        <f t="shared" si="450"/>
        <v>0.6715950993791473</v>
      </c>
      <c r="BB547">
        <f t="shared" si="462"/>
        <v>-3.4578496312741587</v>
      </c>
      <c r="BC547">
        <f t="shared" si="463"/>
        <v>-1.6132073993731233</v>
      </c>
      <c r="BD547">
        <f t="shared" si="451"/>
        <v>-272.42997556897205</v>
      </c>
      <c r="BF547">
        <f t="shared" si="452"/>
        <v>-74.094468721620856</v>
      </c>
      <c r="BG547">
        <f t="shared" si="453"/>
        <v>-260.79112294887142</v>
      </c>
      <c r="BH547">
        <f t="shared" si="464"/>
        <v>-80.791122948871418</v>
      </c>
      <c r="BI547">
        <f t="shared" si="465"/>
        <v>-80.791122948871418</v>
      </c>
      <c r="BJ547">
        <f t="shared" si="454"/>
        <v>0</v>
      </c>
      <c r="BK547">
        <f t="shared" si="466"/>
        <v>0</v>
      </c>
      <c r="BM547">
        <f t="shared" si="467"/>
        <v>-70.636619090346699</v>
      </c>
      <c r="BN547">
        <f t="shared" si="455"/>
        <v>-168.36114737989939</v>
      </c>
      <c r="BQ547" s="56">
        <f t="shared" si="468"/>
        <v>13.444111169010977</v>
      </c>
    </row>
    <row r="548" spans="1:69" x14ac:dyDescent="0.2">
      <c r="A548">
        <f t="shared" si="472"/>
        <v>1670000</v>
      </c>
      <c r="B548">
        <f t="shared" si="456"/>
        <v>1670</v>
      </c>
      <c r="C548">
        <f t="shared" si="425"/>
        <v>1.0209292521628341</v>
      </c>
      <c r="D548">
        <f t="shared" si="426"/>
        <v>0.20283306836678935</v>
      </c>
      <c r="F548">
        <f t="shared" si="427"/>
        <v>1.9077888948012413E-5</v>
      </c>
      <c r="G548">
        <f t="shared" si="428"/>
        <v>8.9139039478814623E-4</v>
      </c>
      <c r="H548">
        <f t="shared" si="429"/>
        <v>-3.140701259605212</v>
      </c>
      <c r="J548">
        <f t="shared" si="430"/>
        <v>15</v>
      </c>
      <c r="M548">
        <f t="shared" si="431"/>
        <v>7.4894977714204001E-4</v>
      </c>
      <c r="N548">
        <f t="shared" si="432"/>
        <v>-1.5707963250000001</v>
      </c>
      <c r="O548">
        <f t="shared" si="433"/>
        <v>327.95772203130616</v>
      </c>
      <c r="P548">
        <f t="shared" si="434"/>
        <v>1.5677471485551249</v>
      </c>
      <c r="Q548">
        <f t="shared" si="435"/>
        <v>285.0733895844777</v>
      </c>
      <c r="R548">
        <f t="shared" si="436"/>
        <v>1.5672884509727232</v>
      </c>
      <c r="S548">
        <f t="shared" si="437"/>
        <v>0.12314708415621568</v>
      </c>
      <c r="T548">
        <f t="shared" si="438"/>
        <v>-1.4473358406809915</v>
      </c>
      <c r="U548">
        <f t="shared" si="439"/>
        <v>0.12156732625930528</v>
      </c>
      <c r="V548">
        <f t="shared" si="440"/>
        <v>-1.4489275587178132</v>
      </c>
      <c r="X548">
        <f t="shared" si="457"/>
        <v>-70.278290841233556</v>
      </c>
      <c r="Y548">
        <f t="shared" si="441"/>
        <v>-244.6468089679571</v>
      </c>
      <c r="Z548">
        <f t="shared" si="458"/>
        <v>-64.646808967957099</v>
      </c>
      <c r="AC548">
        <v>1</v>
      </c>
      <c r="AD548">
        <f t="shared" si="442"/>
        <v>327.95619744100503</v>
      </c>
      <c r="AE548">
        <f t="shared" si="443"/>
        <v>-0.41294615558456621</v>
      </c>
      <c r="AF548">
        <f t="shared" si="444"/>
        <v>5.0575871753820001E-2</v>
      </c>
      <c r="AG548">
        <f t="shared" si="421"/>
        <v>93.445203604894118</v>
      </c>
      <c r="AH548">
        <f t="shared" si="422"/>
        <v>-782.7415764409044</v>
      </c>
      <c r="AJ548">
        <f t="shared" si="445"/>
        <v>26400</v>
      </c>
      <c r="AK548">
        <f t="shared" si="446"/>
        <v>212746.04045291524</v>
      </c>
      <c r="AL548">
        <v>1</v>
      </c>
      <c r="AM548">
        <f t="shared" si="447"/>
        <v>285.07163564476804</v>
      </c>
      <c r="AN548">
        <f t="shared" si="423"/>
        <v>746.60542520558283</v>
      </c>
      <c r="AO548">
        <f t="shared" si="424"/>
        <v>-89.989291697759398</v>
      </c>
      <c r="AQ548">
        <f t="shared" si="448"/>
        <v>8.9641069091660772E-4</v>
      </c>
      <c r="AR548">
        <f t="shared" si="449"/>
        <v>-2.9940117076614698</v>
      </c>
      <c r="AT548">
        <f t="shared" si="470"/>
        <v>-2343.453678657937</v>
      </c>
      <c r="AU548">
        <f t="shared" si="471"/>
        <v>-280.47769153520932</v>
      </c>
      <c r="AV548">
        <f t="shared" si="459"/>
        <v>-3.0224736625638231</v>
      </c>
      <c r="AW548">
        <f t="shared" si="460"/>
        <v>570.8711109411164</v>
      </c>
      <c r="AX548">
        <f t="shared" si="461"/>
        <v>-3478.6620290644614</v>
      </c>
      <c r="AY548">
        <f t="shared" si="469"/>
        <v>-1.4081396347991639</v>
      </c>
      <c r="BA548">
        <f t="shared" si="450"/>
        <v>0.66951761010349875</v>
      </c>
      <c r="BB548">
        <f t="shared" si="462"/>
        <v>-3.4847599079104432</v>
      </c>
      <c r="BC548">
        <f t="shared" si="463"/>
        <v>-1.6143340277646592</v>
      </c>
      <c r="BD548">
        <f t="shared" si="451"/>
        <v>-272.49452662096041</v>
      </c>
      <c r="BF548">
        <f t="shared" si="452"/>
        <v>-74.172415445780786</v>
      </c>
      <c r="BG548">
        <f t="shared" si="453"/>
        <v>-260.82197493699721</v>
      </c>
      <c r="BH548">
        <f t="shared" si="464"/>
        <v>-80.821974936997208</v>
      </c>
      <c r="BI548">
        <f t="shared" si="465"/>
        <v>-80.821974936997208</v>
      </c>
      <c r="BJ548">
        <f t="shared" si="454"/>
        <v>0</v>
      </c>
      <c r="BK548">
        <f t="shared" si="466"/>
        <v>0</v>
      </c>
      <c r="BM548">
        <f t="shared" si="467"/>
        <v>-70.687655537870342</v>
      </c>
      <c r="BN548">
        <f t="shared" si="455"/>
        <v>-168.32744831603679</v>
      </c>
      <c r="BQ548" s="56">
        <f t="shared" si="468"/>
        <v>13.417200892374693</v>
      </c>
    </row>
    <row r="549" spans="1:69" x14ac:dyDescent="0.2">
      <c r="A549">
        <f t="shared" si="472"/>
        <v>1675000</v>
      </c>
      <c r="B549">
        <f t="shared" si="456"/>
        <v>1675</v>
      </c>
      <c r="C549">
        <f t="shared" si="425"/>
        <v>1.0210534705658916</v>
      </c>
      <c r="D549">
        <f t="shared" si="426"/>
        <v>0.2034237613818595</v>
      </c>
      <c r="F549">
        <f t="shared" si="427"/>
        <v>1.896415898727054E-5</v>
      </c>
      <c r="G549">
        <f t="shared" si="428"/>
        <v>8.8872942821078215E-4</v>
      </c>
      <c r="H549">
        <f t="shared" si="429"/>
        <v>-3.1407039205717893</v>
      </c>
      <c r="J549">
        <f t="shared" si="430"/>
        <v>15</v>
      </c>
      <c r="M549">
        <f t="shared" si="431"/>
        <v>7.4671410616549663E-4</v>
      </c>
      <c r="N549">
        <f t="shared" si="432"/>
        <v>-1.5707963250000001</v>
      </c>
      <c r="O549">
        <f t="shared" si="433"/>
        <v>328.93962226306888</v>
      </c>
      <c r="P549">
        <f t="shared" si="434"/>
        <v>1.5677562505235563</v>
      </c>
      <c r="Q549">
        <f t="shared" si="435"/>
        <v>285.92689224002078</v>
      </c>
      <c r="R549">
        <f t="shared" si="436"/>
        <v>1.567298922158318</v>
      </c>
      <c r="S549">
        <f t="shared" si="437"/>
        <v>0.12278503113758724</v>
      </c>
      <c r="T549">
        <f t="shared" si="438"/>
        <v>-1.4477006623784778</v>
      </c>
      <c r="U549">
        <f t="shared" si="439"/>
        <v>0.12120977805678985</v>
      </c>
      <c r="V549">
        <f t="shared" si="440"/>
        <v>-1.4492877706654999</v>
      </c>
      <c r="X549">
        <f t="shared" si="457"/>
        <v>-70.354360757399931</v>
      </c>
      <c r="Y549">
        <f t="shared" si="441"/>
        <v>-244.65353712212368</v>
      </c>
      <c r="Z549">
        <f t="shared" si="458"/>
        <v>-64.65353712212368</v>
      </c>
      <c r="AC549">
        <v>1</v>
      </c>
      <c r="AD549">
        <f t="shared" si="442"/>
        <v>328.93810222376248</v>
      </c>
      <c r="AE549">
        <f t="shared" si="443"/>
        <v>-0.41542258874895072</v>
      </c>
      <c r="AF549">
        <f t="shared" si="444"/>
        <v>5.0727296519549998E-2</v>
      </c>
      <c r="AG549">
        <f t="shared" si="421"/>
        <v>92.896338512233143</v>
      </c>
      <c r="AH549">
        <f t="shared" si="422"/>
        <v>-780.4720563965501</v>
      </c>
      <c r="AJ549">
        <f t="shared" si="445"/>
        <v>26400</v>
      </c>
      <c r="AK549">
        <f t="shared" si="446"/>
        <v>213383.004645888</v>
      </c>
      <c r="AL549">
        <v>1</v>
      </c>
      <c r="AM549">
        <f t="shared" si="447"/>
        <v>285.92514353592003</v>
      </c>
      <c r="AN549">
        <f t="shared" si="423"/>
        <v>746.60354342918345</v>
      </c>
      <c r="AO549">
        <f t="shared" si="424"/>
        <v>-89.720673527783163</v>
      </c>
      <c r="AQ549">
        <f t="shared" si="448"/>
        <v>8.9106697339568072E-4</v>
      </c>
      <c r="AR549">
        <f t="shared" si="449"/>
        <v>-2.9850743608755304</v>
      </c>
      <c r="AT549">
        <f t="shared" si="470"/>
        <v>-2329.6843480699449</v>
      </c>
      <c r="AU549">
        <f t="shared" si="471"/>
        <v>-277.99793118519449</v>
      </c>
      <c r="AV549">
        <f t="shared" si="459"/>
        <v>-3.0228256662779165</v>
      </c>
      <c r="AW549">
        <f t="shared" si="460"/>
        <v>571.92493409749068</v>
      </c>
      <c r="AX549">
        <f t="shared" si="461"/>
        <v>-3468.3384753530636</v>
      </c>
      <c r="AY549">
        <f t="shared" si="469"/>
        <v>-1.4073682045452782</v>
      </c>
      <c r="BA549">
        <f t="shared" si="450"/>
        <v>0.66745208422305469</v>
      </c>
      <c r="BB549">
        <f t="shared" si="462"/>
        <v>-3.5115981289892466</v>
      </c>
      <c r="BC549">
        <f t="shared" si="463"/>
        <v>-1.6154574617326383</v>
      </c>
      <c r="BD549">
        <f t="shared" si="451"/>
        <v>-272.55889464596083</v>
      </c>
      <c r="BF549">
        <f t="shared" si="452"/>
        <v>-74.250131479268177</v>
      </c>
      <c r="BG549">
        <f t="shared" si="453"/>
        <v>-260.85265120736204</v>
      </c>
      <c r="BH549">
        <f t="shared" si="464"/>
        <v>-80.852651207362044</v>
      </c>
      <c r="BI549">
        <f t="shared" si="465"/>
        <v>-80.852651207362044</v>
      </c>
      <c r="BJ549">
        <f t="shared" si="454"/>
        <v>0</v>
      </c>
      <c r="BK549">
        <f t="shared" si="466"/>
        <v>0</v>
      </c>
      <c r="BM549">
        <f t="shared" si="467"/>
        <v>-70.738533350278928</v>
      </c>
      <c r="BN549">
        <f t="shared" si="455"/>
        <v>-168.29375656140121</v>
      </c>
      <c r="BQ549" s="56">
        <f t="shared" si="468"/>
        <v>13.39036267129589</v>
      </c>
    </row>
    <row r="550" spans="1:69" x14ac:dyDescent="0.2">
      <c r="A550">
        <f t="shared" si="472"/>
        <v>1680000</v>
      </c>
      <c r="B550">
        <f t="shared" si="456"/>
        <v>1680</v>
      </c>
      <c r="C550">
        <f t="shared" si="425"/>
        <v>1.0211780451463806</v>
      </c>
      <c r="D550">
        <f t="shared" si="426"/>
        <v>0.20401431048442054</v>
      </c>
      <c r="F550">
        <f t="shared" si="427"/>
        <v>1.8851442985779856E-5</v>
      </c>
      <c r="G550">
        <f t="shared" si="428"/>
        <v>8.8608430160665977E-4</v>
      </c>
      <c r="H550">
        <f t="shared" si="429"/>
        <v>-3.1407065656983937</v>
      </c>
      <c r="J550">
        <f t="shared" si="430"/>
        <v>15</v>
      </c>
      <c r="M550">
        <f t="shared" si="431"/>
        <v>7.4449174275428962E-4</v>
      </c>
      <c r="N550">
        <f t="shared" si="432"/>
        <v>-1.5707963250000001</v>
      </c>
      <c r="O550">
        <f t="shared" si="433"/>
        <v>329.92152252192074</v>
      </c>
      <c r="P550">
        <f t="shared" si="434"/>
        <v>1.5677652983141035</v>
      </c>
      <c r="Q550">
        <f t="shared" si="435"/>
        <v>286.78039492672798</v>
      </c>
      <c r="R550">
        <f t="shared" si="436"/>
        <v>1.5673093310161872</v>
      </c>
      <c r="S550">
        <f t="shared" si="437"/>
        <v>0.12242508460249231</v>
      </c>
      <c r="T550">
        <f t="shared" si="438"/>
        <v>-1.448063345161217</v>
      </c>
      <c r="U550">
        <f t="shared" si="439"/>
        <v>0.12085431135157876</v>
      </c>
      <c r="V550">
        <f t="shared" si="440"/>
        <v>-1.449645869903238</v>
      </c>
      <c r="X550">
        <f t="shared" si="457"/>
        <v>-70.430202409979756</v>
      </c>
      <c r="Y550">
        <f t="shared" si="441"/>
        <v>-244.66003568943432</v>
      </c>
      <c r="Z550">
        <f t="shared" si="458"/>
        <v>-64.660035689434324</v>
      </c>
      <c r="AC550">
        <v>1</v>
      </c>
      <c r="AD550">
        <f t="shared" si="442"/>
        <v>329.92000700652</v>
      </c>
      <c r="AE550">
        <f t="shared" si="443"/>
        <v>-0.41790642530097161</v>
      </c>
      <c r="AF550">
        <f t="shared" si="444"/>
        <v>5.0878721285280003E-2</v>
      </c>
      <c r="AG550">
        <f t="shared" si="421"/>
        <v>92.352271268520369</v>
      </c>
      <c r="AH550">
        <f t="shared" si="422"/>
        <v>-778.2154612778819</v>
      </c>
      <c r="AJ550">
        <f t="shared" si="445"/>
        <v>26400</v>
      </c>
      <c r="AK550">
        <f t="shared" si="446"/>
        <v>214019.96883886083</v>
      </c>
      <c r="AL550">
        <v>1</v>
      </c>
      <c r="AM550">
        <f t="shared" si="447"/>
        <v>286.77865142707202</v>
      </c>
      <c r="AN550">
        <f t="shared" si="423"/>
        <v>746.60167842907219</v>
      </c>
      <c r="AO550">
        <f t="shared" si="424"/>
        <v>-89.453654216986237</v>
      </c>
      <c r="AQ550">
        <f t="shared" si="448"/>
        <v>8.8577089659767428E-4</v>
      </c>
      <c r="AR550">
        <f t="shared" si="449"/>
        <v>-2.9761902125681856</v>
      </c>
      <c r="AT550">
        <f t="shared" si="470"/>
        <v>-2316.0354361703439</v>
      </c>
      <c r="AU550">
        <f t="shared" si="471"/>
        <v>-275.54724646469469</v>
      </c>
      <c r="AV550">
        <f t="shared" si="459"/>
        <v>-3.0231756061400961</v>
      </c>
      <c r="AW550">
        <f t="shared" si="460"/>
        <v>572.96926754936169</v>
      </c>
      <c r="AX550">
        <f t="shared" si="461"/>
        <v>-3458.0758450345329</v>
      </c>
      <c r="AY550">
        <f t="shared" si="469"/>
        <v>-1.4065978782824071</v>
      </c>
      <c r="BA550">
        <f t="shared" si="450"/>
        <v>0.66539841767131325</v>
      </c>
      <c r="BB550">
        <f t="shared" si="462"/>
        <v>-3.5383647245117738</v>
      </c>
      <c r="BC550">
        <f t="shared" si="463"/>
        <v>-1.6165777278576889</v>
      </c>
      <c r="BD550">
        <f t="shared" si="451"/>
        <v>-272.62308116693106</v>
      </c>
      <c r="BF550">
        <f t="shared" si="452"/>
        <v>-74.327618182676375</v>
      </c>
      <c r="BG550">
        <f t="shared" si="453"/>
        <v>-260.88315331171248</v>
      </c>
      <c r="BH550">
        <f t="shared" si="464"/>
        <v>-80.883153311712476</v>
      </c>
      <c r="BI550">
        <f t="shared" si="465"/>
        <v>-80.883153311712476</v>
      </c>
      <c r="BJ550">
        <f t="shared" si="454"/>
        <v>0</v>
      </c>
      <c r="BK550">
        <f t="shared" si="466"/>
        <v>0</v>
      </c>
      <c r="BM550">
        <f t="shared" si="467"/>
        <v>-70.789253458164595</v>
      </c>
      <c r="BN550">
        <f t="shared" si="455"/>
        <v>-168.26007214478145</v>
      </c>
      <c r="BQ550" s="56">
        <f t="shared" si="468"/>
        <v>13.363596075773362</v>
      </c>
    </row>
    <row r="551" spans="1:69" x14ac:dyDescent="0.2">
      <c r="A551">
        <f t="shared" si="472"/>
        <v>1685000</v>
      </c>
      <c r="B551">
        <f t="shared" si="456"/>
        <v>1685</v>
      </c>
      <c r="C551">
        <f t="shared" si="425"/>
        <v>1.0213029757739662</v>
      </c>
      <c r="D551">
        <f t="shared" si="426"/>
        <v>0.20460471531530383</v>
      </c>
      <c r="F551">
        <f t="shared" si="427"/>
        <v>1.8739728925920927E-5</v>
      </c>
      <c r="G551">
        <f t="shared" si="428"/>
        <v>8.8345487395664001E-4</v>
      </c>
      <c r="H551">
        <f t="shared" si="429"/>
        <v>-3.1407091951260435</v>
      </c>
      <c r="J551">
        <f t="shared" si="430"/>
        <v>15</v>
      </c>
      <c r="M551">
        <f t="shared" si="431"/>
        <v>7.422825684434461E-4</v>
      </c>
      <c r="N551">
        <f t="shared" si="432"/>
        <v>-1.5707963250000001</v>
      </c>
      <c r="O551">
        <f t="shared" si="433"/>
        <v>330.90342280762047</v>
      </c>
      <c r="P551">
        <f t="shared" si="434"/>
        <v>1.5677742924090561</v>
      </c>
      <c r="Q551">
        <f t="shared" si="435"/>
        <v>287.63389764432185</v>
      </c>
      <c r="R551">
        <f t="shared" si="436"/>
        <v>1.567319678101168</v>
      </c>
      <c r="S551">
        <f t="shared" si="437"/>
        <v>0.12206722636234237</v>
      </c>
      <c r="T551">
        <f t="shared" si="438"/>
        <v>-1.4484239076900274</v>
      </c>
      <c r="U551">
        <f t="shared" si="439"/>
        <v>0.12050090815657709</v>
      </c>
      <c r="V551">
        <f t="shared" si="440"/>
        <v>-1.4500018748727925</v>
      </c>
      <c r="X551">
        <f t="shared" si="457"/>
        <v>-70.505817101255872</v>
      </c>
      <c r="Y551">
        <f t="shared" si="441"/>
        <v>-244.66630676494623</v>
      </c>
      <c r="Z551">
        <f t="shared" si="458"/>
        <v>-64.666306764946228</v>
      </c>
      <c r="AC551">
        <v>1</v>
      </c>
      <c r="AD551">
        <f t="shared" si="442"/>
        <v>330.90191178927751</v>
      </c>
      <c r="AE551">
        <f t="shared" si="443"/>
        <v>-0.42039766524062899</v>
      </c>
      <c r="AF551">
        <f t="shared" si="444"/>
        <v>5.103014605101E-2</v>
      </c>
      <c r="AG551">
        <f t="shared" si="421"/>
        <v>91.812946393585563</v>
      </c>
      <c r="AH551">
        <f t="shared" si="422"/>
        <v>-775.9716827606976</v>
      </c>
      <c r="AJ551">
        <f t="shared" si="445"/>
        <v>26400</v>
      </c>
      <c r="AK551">
        <f t="shared" si="446"/>
        <v>214656.93303183361</v>
      </c>
      <c r="AL551">
        <v>1</v>
      </c>
      <c r="AM551">
        <f t="shared" si="447"/>
        <v>287.63215931822401</v>
      </c>
      <c r="AN551">
        <f t="shared" si="423"/>
        <v>746.59983000642319</v>
      </c>
      <c r="AO551">
        <f t="shared" si="424"/>
        <v>-89.188219532892163</v>
      </c>
      <c r="AQ551">
        <f t="shared" si="448"/>
        <v>8.8052189589395906E-4</v>
      </c>
      <c r="AR551">
        <f t="shared" si="449"/>
        <v>-2.9673587891626423</v>
      </c>
      <c r="AT551">
        <f t="shared" si="470"/>
        <v>-2302.5055496716554</v>
      </c>
      <c r="AU551">
        <f t="shared" si="471"/>
        <v>-273.12521349718912</v>
      </c>
      <c r="AV551">
        <f t="shared" si="459"/>
        <v>-3.0235235001571943</v>
      </c>
      <c r="AW551">
        <f t="shared" si="460"/>
        <v>574.00422513739977</v>
      </c>
      <c r="AX551">
        <f t="shared" si="461"/>
        <v>-3447.8736018167938</v>
      </c>
      <c r="AY551">
        <f t="shared" si="469"/>
        <v>-1.4058286477554378</v>
      </c>
      <c r="BA551">
        <f t="shared" si="450"/>
        <v>0.6633565075813378</v>
      </c>
      <c r="BB551">
        <f t="shared" si="462"/>
        <v>-3.5650601208052874</v>
      </c>
      <c r="BC551">
        <f t="shared" si="463"/>
        <v>-1.6176948524017565</v>
      </c>
      <c r="BD551">
        <f t="shared" si="451"/>
        <v>-272.6870876885697</v>
      </c>
      <c r="BF551">
        <f t="shared" si="452"/>
        <v>-74.404876904651772</v>
      </c>
      <c r="BG551">
        <f t="shared" si="453"/>
        <v>-260.91348278340581</v>
      </c>
      <c r="BH551">
        <f t="shared" si="464"/>
        <v>-80.913482783405811</v>
      </c>
      <c r="BI551">
        <f t="shared" si="465"/>
        <v>-80.913482783405811</v>
      </c>
      <c r="BJ551">
        <f t="shared" si="454"/>
        <v>0</v>
      </c>
      <c r="BK551">
        <f t="shared" si="466"/>
        <v>0</v>
      </c>
      <c r="BM551">
        <f t="shared" si="467"/>
        <v>-70.839816783846487</v>
      </c>
      <c r="BN551">
        <f t="shared" si="455"/>
        <v>-168.22639509483611</v>
      </c>
      <c r="BQ551" s="56">
        <f t="shared" si="468"/>
        <v>13.336900679479848</v>
      </c>
    </row>
    <row r="552" spans="1:69" x14ac:dyDescent="0.2">
      <c r="A552">
        <f t="shared" si="472"/>
        <v>1690000</v>
      </c>
      <c r="B552">
        <f t="shared" si="456"/>
        <v>1690</v>
      </c>
      <c r="C552">
        <f t="shared" si="425"/>
        <v>1.0214282623180042</v>
      </c>
      <c r="D552">
        <f t="shared" si="426"/>
        <v>0.20519497551591839</v>
      </c>
      <c r="F552">
        <f t="shared" si="427"/>
        <v>1.8629004967592883E-5</v>
      </c>
      <c r="G552">
        <f t="shared" si="428"/>
        <v>8.8084100591060343E-4</v>
      </c>
      <c r="H552">
        <f t="shared" si="429"/>
        <v>-3.1407118089940895</v>
      </c>
      <c r="J552">
        <f t="shared" si="430"/>
        <v>15</v>
      </c>
      <c r="M552">
        <f t="shared" si="431"/>
        <v>7.4008646616994481E-4</v>
      </c>
      <c r="N552">
        <f t="shared" si="432"/>
        <v>-1.5707963250000001</v>
      </c>
      <c r="O552">
        <f t="shared" si="433"/>
        <v>331.88532311992981</v>
      </c>
      <c r="P552">
        <f t="shared" si="434"/>
        <v>1.5677832332849968</v>
      </c>
      <c r="Q552">
        <f t="shared" si="435"/>
        <v>288.48740039252817</v>
      </c>
      <c r="R552">
        <f t="shared" si="436"/>
        <v>1.5673299639615319</v>
      </c>
      <c r="S552">
        <f t="shared" si="437"/>
        <v>0.12171143843568535</v>
      </c>
      <c r="T552">
        <f t="shared" si="438"/>
        <v>-1.4487823684103853</v>
      </c>
      <c r="U552">
        <f t="shared" si="439"/>
        <v>0.12014955068973852</v>
      </c>
      <c r="V552">
        <f t="shared" si="440"/>
        <v>-1.4503558038029767</v>
      </c>
      <c r="X552">
        <f t="shared" si="457"/>
        <v>-70.581206122412368</v>
      </c>
      <c r="Y552">
        <f t="shared" si="441"/>
        <v>-244.67235241975143</v>
      </c>
      <c r="Z552">
        <f t="shared" si="458"/>
        <v>-64.672352419751434</v>
      </c>
      <c r="AC552">
        <v>1</v>
      </c>
      <c r="AD552">
        <f t="shared" si="442"/>
        <v>331.88381657203502</v>
      </c>
      <c r="AE552">
        <f t="shared" si="443"/>
        <v>-0.42289630856792271</v>
      </c>
      <c r="AF552">
        <f t="shared" si="444"/>
        <v>5.1181570816740005E-2</v>
      </c>
      <c r="AG552">
        <f t="shared" ref="AG552:AG615" si="473">AC552*AE552/(AE552^2+AF552^2)+AD552*AF552/(AE552^2+AF552^2)</f>
        <v>91.278309202845023</v>
      </c>
      <c r="AH552">
        <f t="shared" ref="AH552:AH615" si="474">AD552*AE552/(AE552^2+AF552^2)-AC552*AF552/(AE552^2+AF552^2)</f>
        <v>-773.74061370645131</v>
      </c>
      <c r="AJ552">
        <f t="shared" si="445"/>
        <v>26400</v>
      </c>
      <c r="AK552">
        <f t="shared" si="446"/>
        <v>215293.89722480642</v>
      </c>
      <c r="AL552">
        <v>1</v>
      </c>
      <c r="AM552">
        <f t="shared" si="447"/>
        <v>288.48566720937606</v>
      </c>
      <c r="AN552">
        <f t="shared" ref="AN552:AN615" si="475">AJ552*AL552/(AL552^2+AM552^2)+AK552*AM552/(AL552^2+AM552^2)</f>
        <v>746.5979979653481</v>
      </c>
      <c r="AO552">
        <f t="shared" ref="AO552:AO615" si="476">AK552*AL552/(AL552^2+AM552^2)-AJ552*AM552/(AL552^2+AM552^2)</f>
        <v>-88.924355411445859</v>
      </c>
      <c r="AQ552">
        <f t="shared" si="448"/>
        <v>8.7531941499602469E-4</v>
      </c>
      <c r="AR552">
        <f t="shared" si="449"/>
        <v>-2.9585796226865635</v>
      </c>
      <c r="AT552">
        <f t="shared" si="470"/>
        <v>-2289.0933152806892</v>
      </c>
      <c r="AU552">
        <f t="shared" si="471"/>
        <v>-270.73141578216888</v>
      </c>
      <c r="AV552">
        <f t="shared" si="459"/>
        <v>-3.0238693661282396</v>
      </c>
      <c r="AW552">
        <f t="shared" si="460"/>
        <v>575.029918997045</v>
      </c>
      <c r="AX552">
        <f t="shared" si="461"/>
        <v>-3437.7312156681596</v>
      </c>
      <c r="AY552">
        <f t="shared" si="469"/>
        <v>-1.4050605048154241</v>
      </c>
      <c r="BA552">
        <f t="shared" si="450"/>
        <v>0.66132625226865005</v>
      </c>
      <c r="BB552">
        <f t="shared" si="462"/>
        <v>-3.5916847405637786</v>
      </c>
      <c r="BC552">
        <f t="shared" si="463"/>
        <v>-1.6188088613128155</v>
      </c>
      <c r="BD552">
        <f t="shared" si="451"/>
        <v>-272.75091569758632</v>
      </c>
      <c r="BF552">
        <f t="shared" si="452"/>
        <v>-74.481908982032706</v>
      </c>
      <c r="BG552">
        <f t="shared" si="453"/>
        <v>-260.94364113768142</v>
      </c>
      <c r="BH552">
        <f t="shared" si="464"/>
        <v>-80.943641137681425</v>
      </c>
      <c r="BI552">
        <f t="shared" si="465"/>
        <v>-80.943641137681425</v>
      </c>
      <c r="BJ552">
        <f t="shared" si="454"/>
        <v>0</v>
      </c>
      <c r="BK552">
        <f t="shared" si="466"/>
        <v>0</v>
      </c>
      <c r="BM552">
        <f t="shared" si="467"/>
        <v>-70.890224241468928</v>
      </c>
      <c r="BN552">
        <f t="shared" si="455"/>
        <v>-168.1927254400951</v>
      </c>
      <c r="BQ552" s="56">
        <f t="shared" si="468"/>
        <v>13.310276059721357</v>
      </c>
    </row>
    <row r="553" spans="1:69" x14ac:dyDescent="0.2">
      <c r="A553">
        <f t="shared" si="472"/>
        <v>1695000</v>
      </c>
      <c r="B553">
        <f t="shared" si="456"/>
        <v>1695</v>
      </c>
      <c r="C553">
        <f t="shared" si="425"/>
        <v>1.0215539046475424</v>
      </c>
      <c r="D553">
        <f t="shared" si="426"/>
        <v>0.2057850907282521</v>
      </c>
      <c r="F553">
        <f t="shared" si="427"/>
        <v>1.8519259445076029E-5</v>
      </c>
      <c r="G553">
        <f t="shared" si="428"/>
        <v>8.782425597628306E-4</v>
      </c>
      <c r="H553">
        <f t="shared" si="429"/>
        <v>-3.1407144074402376</v>
      </c>
      <c r="J553">
        <f t="shared" si="430"/>
        <v>15</v>
      </c>
      <c r="M553">
        <f t="shared" si="431"/>
        <v>7.3790332025203934E-4</v>
      </c>
      <c r="N553">
        <f t="shared" si="432"/>
        <v>-1.5707963250000001</v>
      </c>
      <c r="O553">
        <f t="shared" si="433"/>
        <v>332.8672234586133</v>
      </c>
      <c r="P553">
        <f t="shared" si="434"/>
        <v>1.567792121412884</v>
      </c>
      <c r="Q553">
        <f t="shared" si="435"/>
        <v>289.34090317107604</v>
      </c>
      <c r="R553">
        <f t="shared" si="436"/>
        <v>1.5673401891390806</v>
      </c>
      <c r="S553">
        <f t="shared" si="437"/>
        <v>0.12135770304528964</v>
      </c>
      <c r="T553">
        <f t="shared" si="438"/>
        <v>-1.4491387455555058</v>
      </c>
      <c r="U553">
        <f t="shared" si="439"/>
        <v>0.11980022137117541</v>
      </c>
      <c r="V553">
        <f t="shared" si="440"/>
        <v>-1.4507076747126992</v>
      </c>
      <c r="X553">
        <f t="shared" si="457"/>
        <v>-70.656370753659289</v>
      </c>
      <c r="Y553">
        <f t="shared" si="441"/>
        <v>-244.67817470131928</v>
      </c>
      <c r="Z553">
        <f t="shared" si="458"/>
        <v>-64.678174701319278</v>
      </c>
      <c r="AC553">
        <v>1</v>
      </c>
      <c r="AD553">
        <f t="shared" si="442"/>
        <v>332.86572135479253</v>
      </c>
      <c r="AE553">
        <f t="shared" si="443"/>
        <v>-0.42540235528285292</v>
      </c>
      <c r="AF553">
        <f t="shared" si="444"/>
        <v>5.1332995582469995E-2</v>
      </c>
      <c r="AG553">
        <f t="shared" si="473"/>
        <v>90.748305793720263</v>
      </c>
      <c r="AH553">
        <f t="shared" si="474"/>
        <v>-771.52214814640479</v>
      </c>
      <c r="AJ553">
        <f t="shared" si="445"/>
        <v>26400</v>
      </c>
      <c r="AK553">
        <f t="shared" si="446"/>
        <v>215930.8614177792</v>
      </c>
      <c r="AL553">
        <v>1</v>
      </c>
      <c r="AM553">
        <f t="shared" si="447"/>
        <v>289.339175100528</v>
      </c>
      <c r="AN553">
        <f t="shared" si="475"/>
        <v>746.59618211284362</v>
      </c>
      <c r="AO553">
        <f t="shared" si="476"/>
        <v>-88.662047954529967</v>
      </c>
      <c r="AQ553">
        <f t="shared" si="448"/>
        <v>8.7016290580808507E-4</v>
      </c>
      <c r="AR553">
        <f t="shared" si="449"/>
        <v>-2.9498522506894083</v>
      </c>
      <c r="AT553">
        <f t="shared" si="470"/>
        <v>-2275.7973793569327</v>
      </c>
      <c r="AU553">
        <f t="shared" si="471"/>
        <v>-268.3654440461828</v>
      </c>
      <c r="AV553">
        <f t="shared" si="459"/>
        <v>-3.0242132216474271</v>
      </c>
      <c r="AW553">
        <f t="shared" si="460"/>
        <v>576.0464595891176</v>
      </c>
      <c r="AX553">
        <f t="shared" si="461"/>
        <v>-3427.6481627264593</v>
      </c>
      <c r="AY553">
        <f t="shared" si="469"/>
        <v>-1.4042934414179336</v>
      </c>
      <c r="BA553">
        <f t="shared" si="450"/>
        <v>0.65930755121440998</v>
      </c>
      <c r="BB553">
        <f t="shared" si="462"/>
        <v>-3.6182390028881284</v>
      </c>
      <c r="BC553">
        <f t="shared" si="463"/>
        <v>-1.6199197802294936</v>
      </c>
      <c r="BD553">
        <f t="shared" si="451"/>
        <v>-272.81456666296594</v>
      </c>
      <c r="BF553">
        <f t="shared" si="452"/>
        <v>-74.558715739986098</v>
      </c>
      <c r="BG553">
        <f t="shared" si="453"/>
        <v>-260.9736298719269</v>
      </c>
      <c r="BH553">
        <f t="shared" si="464"/>
        <v>-80.973629871926903</v>
      </c>
      <c r="BI553">
        <f t="shared" si="465"/>
        <v>-80.973629871926903</v>
      </c>
      <c r="BJ553">
        <f t="shared" si="454"/>
        <v>0</v>
      </c>
      <c r="BK553">
        <f t="shared" si="466"/>
        <v>0</v>
      </c>
      <c r="BM553">
        <f t="shared" si="467"/>
        <v>-70.940476737097981</v>
      </c>
      <c r="BN553">
        <f t="shared" si="455"/>
        <v>-168.15906320896102</v>
      </c>
      <c r="BQ553" s="56">
        <f t="shared" si="468"/>
        <v>13.283721797397007</v>
      </c>
    </row>
    <row r="554" spans="1:69" x14ac:dyDescent="0.2">
      <c r="A554">
        <f t="shared" si="472"/>
        <v>1700000</v>
      </c>
      <c r="B554">
        <f t="shared" si="456"/>
        <v>1700</v>
      </c>
      <c r="C554">
        <f t="shared" si="425"/>
        <v>1.0216799026313212</v>
      </c>
      <c r="D554">
        <f t="shared" si="426"/>
        <v>0.20637506059487254</v>
      </c>
      <c r="F554">
        <f t="shared" si="427"/>
        <v>1.8410480863958903E-5</v>
      </c>
      <c r="G554">
        <f t="shared" si="428"/>
        <v>8.7565939942781752E-4</v>
      </c>
      <c r="H554">
        <f t="shared" si="429"/>
        <v>-3.1407169906005725</v>
      </c>
      <c r="J554">
        <f t="shared" si="430"/>
        <v>15</v>
      </c>
      <c r="M554">
        <f t="shared" si="431"/>
        <v>7.3573301636894518E-4</v>
      </c>
      <c r="N554">
        <f t="shared" si="432"/>
        <v>-1.5707963250000001</v>
      </c>
      <c r="O554">
        <f t="shared" si="433"/>
        <v>333.84912382343822</v>
      </c>
      <c r="P554">
        <f t="shared" si="434"/>
        <v>1.5678009572581368</v>
      </c>
      <c r="Q554">
        <f t="shared" si="435"/>
        <v>290.19440597969788</v>
      </c>
      <c r="R554">
        <f t="shared" si="436"/>
        <v>1.5673503541692426</v>
      </c>
      <c r="S554">
        <f t="shared" si="437"/>
        <v>0.12100600261527693</v>
      </c>
      <c r="T554">
        <f t="shared" si="438"/>
        <v>-1.449493057149372</v>
      </c>
      <c r="U554">
        <f t="shared" si="439"/>
        <v>0.11945290282031698</v>
      </c>
      <c r="V554">
        <f t="shared" si="440"/>
        <v>-1.4510575054139634</v>
      </c>
      <c r="X554">
        <f t="shared" si="457"/>
        <v>-70.73131226435558</v>
      </c>
      <c r="Y554">
        <f t="shared" si="441"/>
        <v>-244.68377563383271</v>
      </c>
      <c r="Z554">
        <f t="shared" si="458"/>
        <v>-64.68377563383271</v>
      </c>
      <c r="AC554">
        <v>1</v>
      </c>
      <c r="AD554">
        <f t="shared" si="442"/>
        <v>333.84762613755004</v>
      </c>
      <c r="AE554">
        <f t="shared" si="443"/>
        <v>-0.42791580538541946</v>
      </c>
      <c r="AF554">
        <f t="shared" si="444"/>
        <v>5.14844203482E-2</v>
      </c>
      <c r="AG554">
        <f t="shared" si="473"/>
        <v>90.222883032325726</v>
      </c>
      <c r="AH554">
        <f t="shared" si="474"/>
        <v>-769.316181266027</v>
      </c>
      <c r="AJ554">
        <f t="shared" si="445"/>
        <v>26400</v>
      </c>
      <c r="AK554">
        <f t="shared" si="446"/>
        <v>216567.82561075204</v>
      </c>
      <c r="AL554">
        <v>1</v>
      </c>
      <c r="AM554">
        <f t="shared" si="447"/>
        <v>290.19268299168004</v>
      </c>
      <c r="AN554">
        <f t="shared" si="475"/>
        <v>746.59438225873942</v>
      </c>
      <c r="AO554">
        <f t="shared" si="476"/>
        <v>-88.401283427524433</v>
      </c>
      <c r="AQ554">
        <f t="shared" si="448"/>
        <v>8.6505182828271383E-4</v>
      </c>
      <c r="AR554">
        <f t="shared" si="449"/>
        <v>-2.9411762161612272</v>
      </c>
      <c r="AT554">
        <f t="shared" si="470"/>
        <v>-2262.6164075776983</v>
      </c>
      <c r="AU554">
        <f t="shared" si="471"/>
        <v>-266.02689609730442</v>
      </c>
      <c r="AV554">
        <f t="shared" si="459"/>
        <v>-3.0245550841070417</v>
      </c>
      <c r="AW554">
        <f t="shared" si="460"/>
        <v>577.05395572978796</v>
      </c>
      <c r="AX554">
        <f t="shared" si="461"/>
        <v>-3417.6239252097357</v>
      </c>
      <c r="AY554">
        <f t="shared" si="469"/>
        <v>-1.4035274496214256</v>
      </c>
      <c r="BA554">
        <f t="shared" si="450"/>
        <v>0.65730030504888382</v>
      </c>
      <c r="BB554">
        <f t="shared" si="462"/>
        <v>-3.6447233233256675</v>
      </c>
      <c r="BC554">
        <f t="shared" si="463"/>
        <v>-1.621027634485616</v>
      </c>
      <c r="BD554">
        <f t="shared" si="451"/>
        <v>-272.87804203622989</v>
      </c>
      <c r="BF554">
        <f t="shared" si="452"/>
        <v>-74.635298492142411</v>
      </c>
      <c r="BG554">
        <f t="shared" si="453"/>
        <v>-261.00345046594015</v>
      </c>
      <c r="BH554">
        <f t="shared" si="464"/>
        <v>-81.003450465940148</v>
      </c>
      <c r="BI554">
        <f t="shared" si="465"/>
        <v>-81.003450465940148</v>
      </c>
      <c r="BJ554">
        <f t="shared" si="454"/>
        <v>0</v>
      </c>
      <c r="BK554">
        <f t="shared" si="466"/>
        <v>0</v>
      </c>
      <c r="BM554">
        <f t="shared" si="467"/>
        <v>-70.990575168816733</v>
      </c>
      <c r="BN554">
        <f t="shared" si="455"/>
        <v>-168.12540842971032</v>
      </c>
      <c r="BQ554" s="56">
        <f t="shared" si="468"/>
        <v>13.257237476959469</v>
      </c>
    </row>
    <row r="555" spans="1:69" x14ac:dyDescent="0.2">
      <c r="A555">
        <f t="shared" si="472"/>
        <v>1705000</v>
      </c>
      <c r="B555">
        <f t="shared" si="456"/>
        <v>1705</v>
      </c>
      <c r="C555">
        <f t="shared" si="425"/>
        <v>1.0218062561377748</v>
      </c>
      <c r="D555">
        <f t="shared" si="426"/>
        <v>0.20696488475892813</v>
      </c>
      <c r="F555">
        <f t="shared" si="427"/>
        <v>1.8302657898128376E-5</v>
      </c>
      <c r="G555">
        <f t="shared" si="428"/>
        <v>8.7309139041651671E-4</v>
      </c>
      <c r="H555">
        <f t="shared" si="429"/>
        <v>-3.1407195586095837</v>
      </c>
      <c r="J555">
        <f t="shared" si="430"/>
        <v>15</v>
      </c>
      <c r="M555">
        <f t="shared" si="431"/>
        <v>7.3357544154088381E-4</v>
      </c>
      <c r="N555">
        <f t="shared" si="432"/>
        <v>-1.5707963250000001</v>
      </c>
      <c r="O555">
        <f t="shared" si="433"/>
        <v>334.83102421417459</v>
      </c>
      <c r="P555">
        <f t="shared" si="434"/>
        <v>1.5678097412807137</v>
      </c>
      <c r="Q555">
        <f t="shared" si="435"/>
        <v>291.04790881812897</v>
      </c>
      <c r="R555">
        <f t="shared" si="436"/>
        <v>1.5673604595811652</v>
      </c>
      <c r="S555">
        <f t="shared" si="437"/>
        <v>0.12065631976830268</v>
      </c>
      <c r="T555">
        <f t="shared" si="438"/>
        <v>-1.4498453210097131</v>
      </c>
      <c r="U555">
        <f t="shared" si="439"/>
        <v>0.11910757785311488</v>
      </c>
      <c r="V555">
        <f t="shared" si="440"/>
        <v>-1.4514053135148126</v>
      </c>
      <c r="X555">
        <f t="shared" si="457"/>
        <v>-70.806031913130468</v>
      </c>
      <c r="Y555">
        <f t="shared" si="441"/>
        <v>-244.6891572185192</v>
      </c>
      <c r="Z555">
        <f t="shared" si="458"/>
        <v>-64.689157218519199</v>
      </c>
      <c r="AC555">
        <v>1</v>
      </c>
      <c r="AD555">
        <f t="shared" si="442"/>
        <v>334.82953092030749</v>
      </c>
      <c r="AE555">
        <f t="shared" si="443"/>
        <v>-0.43043665887562244</v>
      </c>
      <c r="AF555">
        <f t="shared" si="444"/>
        <v>5.1635845113929997E-2</v>
      </c>
      <c r="AG555">
        <f t="shared" si="473"/>
        <v>89.701988540418071</v>
      </c>
      <c r="AH555">
        <f t="shared" si="474"/>
        <v>-767.12260938963323</v>
      </c>
      <c r="AJ555">
        <f t="shared" si="445"/>
        <v>26400</v>
      </c>
      <c r="AK555">
        <f t="shared" si="446"/>
        <v>217204.78980372482</v>
      </c>
      <c r="AL555">
        <v>1</v>
      </c>
      <c r="AM555">
        <f t="shared" si="447"/>
        <v>291.04619088283204</v>
      </c>
      <c r="AN555">
        <f t="shared" si="475"/>
        <v>746.59259821565047</v>
      </c>
      <c r="AO555">
        <f t="shared" si="476"/>
        <v>-88.14204825690976</v>
      </c>
      <c r="AQ555">
        <f t="shared" si="448"/>
        <v>8.5998565027943941E-4</v>
      </c>
      <c r="AR555">
        <f t="shared" si="449"/>
        <v>-2.9325510674528883</v>
      </c>
      <c r="AT555">
        <f t="shared" si="470"/>
        <v>-2249.5490846098674</v>
      </c>
      <c r="AU555">
        <f t="shared" si="471"/>
        <v>-263.71537668292973</v>
      </c>
      <c r="AV555">
        <f t="shared" si="459"/>
        <v>-3.0248949707003336</v>
      </c>
      <c r="AW555">
        <f t="shared" si="460"/>
        <v>578.0525146199252</v>
      </c>
      <c r="AX555">
        <f t="shared" si="461"/>
        <v>-3407.65799132849</v>
      </c>
      <c r="AY555">
        <f t="shared" si="469"/>
        <v>-1.4027625215856603</v>
      </c>
      <c r="BA555">
        <f t="shared" si="450"/>
        <v>0.65530441553518493</v>
      </c>
      <c r="BB555">
        <f t="shared" si="462"/>
        <v>-3.6711381139092802</v>
      </c>
      <c r="BC555">
        <f t="shared" si="463"/>
        <v>-1.6221324491146734</v>
      </c>
      <c r="BD555">
        <f t="shared" si="451"/>
        <v>-272.94134325169153</v>
      </c>
      <c r="BF555">
        <f t="shared" si="452"/>
        <v>-74.711658540728422</v>
      </c>
      <c r="BG555">
        <f t="shared" si="453"/>
        <v>-261.03310438218625</v>
      </c>
      <c r="BH555">
        <f t="shared" si="464"/>
        <v>-81.033104382186252</v>
      </c>
      <c r="BI555">
        <f t="shared" si="465"/>
        <v>-81.033104382186252</v>
      </c>
      <c r="BJ555">
        <f t="shared" si="454"/>
        <v>0</v>
      </c>
      <c r="BK555">
        <f t="shared" si="466"/>
        <v>0</v>
      </c>
      <c r="BM555">
        <f t="shared" si="467"/>
        <v>-71.040520426819143</v>
      </c>
      <c r="BN555">
        <f t="shared" si="455"/>
        <v>-168.09176113049475</v>
      </c>
      <c r="BQ555" s="56">
        <f t="shared" si="468"/>
        <v>13.230822686375856</v>
      </c>
    </row>
    <row r="556" spans="1:69" x14ac:dyDescent="0.2">
      <c r="A556">
        <f t="shared" si="472"/>
        <v>1710000</v>
      </c>
      <c r="B556">
        <f t="shared" si="456"/>
        <v>1710</v>
      </c>
      <c r="C556">
        <f t="shared" si="425"/>
        <v>1.0219329650350306</v>
      </c>
      <c r="D556">
        <f t="shared" si="426"/>
        <v>0.20755456286414903</v>
      </c>
      <c r="F556">
        <f t="shared" si="427"/>
        <v>1.819577938682125E-5</v>
      </c>
      <c r="G556">
        <f t="shared" si="428"/>
        <v>8.7053839981299284E-4</v>
      </c>
      <c r="H556">
        <f t="shared" si="429"/>
        <v>-3.1407221116001871</v>
      </c>
      <c r="J556">
        <f t="shared" si="430"/>
        <v>15</v>
      </c>
      <c r="M556">
        <f t="shared" si="431"/>
        <v>7.3143048410947758E-4</v>
      </c>
      <c r="N556">
        <f t="shared" si="432"/>
        <v>-1.5707963250000001</v>
      </c>
      <c r="O556">
        <f t="shared" si="433"/>
        <v>335.81292463059521</v>
      </c>
      <c r="P556">
        <f t="shared" si="434"/>
        <v>1.5678184739351946</v>
      </c>
      <c r="Q556">
        <f t="shared" si="435"/>
        <v>291.90141168610785</v>
      </c>
      <c r="R556">
        <f t="shared" si="436"/>
        <v>1.5673705058978074</v>
      </c>
      <c r="S556">
        <f t="shared" si="437"/>
        <v>0.12030863732278378</v>
      </c>
      <c r="T556">
        <f t="shared" si="438"/>
        <v>-1.4501955547509298</v>
      </c>
      <c r="U556">
        <f t="shared" si="439"/>
        <v>0.11876422947929548</v>
      </c>
      <c r="V556">
        <f t="shared" si="440"/>
        <v>-1.4517511164222279</v>
      </c>
      <c r="X556">
        <f t="shared" si="457"/>
        <v>-70.88053094800307</v>
      </c>
      <c r="Y556">
        <f t="shared" si="441"/>
        <v>-244.69432143397546</v>
      </c>
      <c r="Z556">
        <f t="shared" si="458"/>
        <v>-64.69432143397546</v>
      </c>
      <c r="AC556">
        <v>1</v>
      </c>
      <c r="AD556">
        <f t="shared" si="442"/>
        <v>335.811435703065</v>
      </c>
      <c r="AE556">
        <f t="shared" si="443"/>
        <v>-0.43296491575346185</v>
      </c>
      <c r="AF556">
        <f t="shared" si="444"/>
        <v>5.1787269879660001E-2</v>
      </c>
      <c r="AG556">
        <f t="shared" si="473"/>
        <v>89.185570682602517</v>
      </c>
      <c r="AH556">
        <f t="shared" si="474"/>
        <v>-764.94132996526866</v>
      </c>
      <c r="AJ556">
        <f t="shared" si="445"/>
        <v>26400</v>
      </c>
      <c r="AK556">
        <f t="shared" si="446"/>
        <v>217841.7539966976</v>
      </c>
      <c r="AL556">
        <v>1</v>
      </c>
      <c r="AM556">
        <f t="shared" si="447"/>
        <v>291.89969877398403</v>
      </c>
      <c r="AN556">
        <f t="shared" si="475"/>
        <v>746.59082979892685</v>
      </c>
      <c r="AO556">
        <f t="shared" si="476"/>
        <v>-87.884329027911519</v>
      </c>
      <c r="AQ556">
        <f t="shared" si="448"/>
        <v>8.549638474262297E-4</v>
      </c>
      <c r="AR556">
        <f t="shared" si="449"/>
        <v>-2.9239763581977054</v>
      </c>
      <c r="AT556">
        <f t="shared" si="470"/>
        <v>-2236.59411378811</v>
      </c>
      <c r="AU556">
        <f t="shared" si="471"/>
        <v>-261.43049735082263</v>
      </c>
      <c r="AV556">
        <f t="shared" si="459"/>
        <v>-3.0252328984243406</v>
      </c>
      <c r="AW556">
        <f t="shared" si="460"/>
        <v>579.04224187383272</v>
      </c>
      <c r="AX556">
        <f t="shared" si="461"/>
        <v>-3397.7498551994463</v>
      </c>
      <c r="AY556">
        <f t="shared" si="469"/>
        <v>-1.4019986495701355</v>
      </c>
      <c r="BA556">
        <f t="shared" si="450"/>
        <v>0.65331978555329406</v>
      </c>
      <c r="BB556">
        <f t="shared" si="462"/>
        <v>-3.6974837831958984</v>
      </c>
      <c r="BC556">
        <f t="shared" si="463"/>
        <v>-1.6232342488542051</v>
      </c>
      <c r="BD556">
        <f t="shared" si="451"/>
        <v>-273.00447172670744</v>
      </c>
      <c r="BF556">
        <f t="shared" si="452"/>
        <v>-74.787797176698319</v>
      </c>
      <c r="BG556">
        <f t="shared" si="453"/>
        <v>-261.06259306605</v>
      </c>
      <c r="BH556">
        <f t="shared" si="464"/>
        <v>-81.062593066049999</v>
      </c>
      <c r="BI556">
        <f t="shared" si="465"/>
        <v>-81.062593066049999</v>
      </c>
      <c r="BJ556">
        <f t="shared" si="454"/>
        <v>0</v>
      </c>
      <c r="BK556">
        <f t="shared" si="466"/>
        <v>0</v>
      </c>
      <c r="BM556">
        <f t="shared" si="467"/>
        <v>-71.090313393502413</v>
      </c>
      <c r="BN556">
        <f t="shared" si="455"/>
        <v>-168.05812133934256</v>
      </c>
      <c r="BQ556" s="56">
        <f t="shared" si="468"/>
        <v>13.204477017089237</v>
      </c>
    </row>
    <row r="557" spans="1:69" x14ac:dyDescent="0.2">
      <c r="A557">
        <f t="shared" si="472"/>
        <v>1715000</v>
      </c>
      <c r="B557">
        <f t="shared" si="456"/>
        <v>1715</v>
      </c>
      <c r="C557">
        <f t="shared" si="425"/>
        <v>1.0220600291909112</v>
      </c>
      <c r="D557">
        <f t="shared" si="426"/>
        <v>0.20814409455484809</v>
      </c>
      <c r="F557">
        <f t="shared" si="427"/>
        <v>1.8089834331735948E-5</v>
      </c>
      <c r="G557">
        <f t="shared" si="428"/>
        <v>8.6800029625149107E-4</v>
      </c>
      <c r="H557">
        <f t="shared" si="429"/>
        <v>-3.1407246497037486</v>
      </c>
      <c r="J557">
        <f t="shared" si="430"/>
        <v>15</v>
      </c>
      <c r="M557">
        <f t="shared" si="431"/>
        <v>7.2929803371848782E-4</v>
      </c>
      <c r="N557">
        <f t="shared" si="432"/>
        <v>-1.5707963250000001</v>
      </c>
      <c r="O557">
        <f t="shared" si="433"/>
        <v>336.79482507247525</v>
      </c>
      <c r="P557">
        <f t="shared" si="434"/>
        <v>1.5678271556708574</v>
      </c>
      <c r="Q557">
        <f t="shared" si="435"/>
        <v>292.75491458337609</v>
      </c>
      <c r="R557">
        <f t="shared" si="436"/>
        <v>1.5673804936360289</v>
      </c>
      <c r="S557">
        <f t="shared" si="437"/>
        <v>0.11996293829017164</v>
      </c>
      <c r="T557">
        <f t="shared" si="438"/>
        <v>-1.4505437757869728</v>
      </c>
      <c r="U557">
        <f t="shared" si="439"/>
        <v>0.11842284089965745</v>
      </c>
      <c r="V557">
        <f t="shared" si="440"/>
        <v>-1.4520949313449745</v>
      </c>
      <c r="X557">
        <f t="shared" si="457"/>
        <v>-70.954810606500331</v>
      </c>
      <c r="Y557">
        <f t="shared" si="441"/>
        <v>-244.69927023648751</v>
      </c>
      <c r="Z557">
        <f t="shared" si="458"/>
        <v>-64.699270236487507</v>
      </c>
      <c r="AC557">
        <v>1</v>
      </c>
      <c r="AD557">
        <f t="shared" si="442"/>
        <v>336.79334048582245</v>
      </c>
      <c r="AE557">
        <f t="shared" si="443"/>
        <v>-0.43550057601893777</v>
      </c>
      <c r="AF557">
        <f t="shared" si="444"/>
        <v>5.1938694645389999E-2</v>
      </c>
      <c r="AG557">
        <f t="shared" si="473"/>
        <v>88.673578553789355</v>
      </c>
      <c r="AH557">
        <f t="shared" si="474"/>
        <v>-762.77224154982059</v>
      </c>
      <c r="AJ557">
        <f t="shared" si="445"/>
        <v>26400</v>
      </c>
      <c r="AK557">
        <f t="shared" si="446"/>
        <v>218478.71818967041</v>
      </c>
      <c r="AL557">
        <v>1</v>
      </c>
      <c r="AM557">
        <f t="shared" si="447"/>
        <v>292.75320666513602</v>
      </c>
      <c r="AN557">
        <f t="shared" si="475"/>
        <v>746.58907682660629</v>
      </c>
      <c r="AO557">
        <f t="shared" si="476"/>
        <v>-87.628112482186722</v>
      </c>
      <c r="AQ557">
        <f t="shared" si="448"/>
        <v>8.49985902983799E-4</v>
      </c>
      <c r="AR557">
        <f t="shared" si="449"/>
        <v>-2.9154516472344305</v>
      </c>
      <c r="AT557">
        <f t="shared" si="470"/>
        <v>-2223.7502167993853</v>
      </c>
      <c r="AU557">
        <f t="shared" si="471"/>
        <v>-259.17187631332155</v>
      </c>
      <c r="AV557">
        <f t="shared" si="459"/>
        <v>-3.025568884082666</v>
      </c>
      <c r="AW557">
        <f t="shared" si="460"/>
        <v>580.02324154738949</v>
      </c>
      <c r="AX557">
        <f t="shared" si="461"/>
        <v>-3387.899016760779</v>
      </c>
      <c r="AY557">
        <f t="shared" si="469"/>
        <v>-1.4012358259325528</v>
      </c>
      <c r="BA557">
        <f t="shared" si="450"/>
        <v>0.65134631908434049</v>
      </c>
      <c r="BB557">
        <f t="shared" si="462"/>
        <v>-3.7237607363045733</v>
      </c>
      <c r="BC557">
        <f t="shared" si="463"/>
        <v>-1.6243330581501132</v>
      </c>
      <c r="BD557">
        <f t="shared" si="451"/>
        <v>-273.06742886192467</v>
      </c>
      <c r="BF557">
        <f t="shared" si="452"/>
        <v>-74.863715679862764</v>
      </c>
      <c r="BG557">
        <f t="shared" si="453"/>
        <v>-261.09191794608455</v>
      </c>
      <c r="BH557">
        <f t="shared" si="464"/>
        <v>-81.09191794608455</v>
      </c>
      <c r="BI557">
        <f t="shared" si="465"/>
        <v>-81.09191794608455</v>
      </c>
      <c r="BJ557">
        <f t="shared" si="454"/>
        <v>0</v>
      </c>
      <c r="BK557">
        <f t="shared" si="466"/>
        <v>0</v>
      </c>
      <c r="BM557">
        <f t="shared" si="467"/>
        <v>-71.139954943558195</v>
      </c>
      <c r="BN557">
        <f t="shared" si="455"/>
        <v>-168.02448908415991</v>
      </c>
      <c r="BQ557" s="56">
        <f t="shared" si="468"/>
        <v>13.178200063980563</v>
      </c>
    </row>
    <row r="558" spans="1:69" x14ac:dyDescent="0.2">
      <c r="A558">
        <f t="shared" si="472"/>
        <v>1720000</v>
      </c>
      <c r="B558">
        <f t="shared" si="456"/>
        <v>1720</v>
      </c>
      <c r="C558">
        <f t="shared" si="425"/>
        <v>1.0221874484729339</v>
      </c>
      <c r="D558">
        <f t="shared" si="426"/>
        <v>0.20873347947592183</v>
      </c>
      <c r="F558">
        <f t="shared" si="427"/>
        <v>1.7984811894202868E-5</v>
      </c>
      <c r="G558">
        <f t="shared" si="428"/>
        <v>8.6547694989390052E-4</v>
      </c>
      <c r="H558">
        <f t="shared" si="429"/>
        <v>-3.1407271730501063</v>
      </c>
      <c r="J558">
        <f t="shared" si="430"/>
        <v>15</v>
      </c>
      <c r="M558">
        <f t="shared" si="431"/>
        <v>7.2717798129488765E-4</v>
      </c>
      <c r="N558">
        <f t="shared" si="432"/>
        <v>-1.5707963250000001</v>
      </c>
      <c r="O558">
        <f t="shared" si="433"/>
        <v>337.7767255395928</v>
      </c>
      <c r="P558">
        <f t="shared" si="434"/>
        <v>1.5678357869317565</v>
      </c>
      <c r="Q558">
        <f t="shared" si="435"/>
        <v>293.6084175096783</v>
      </c>
      <c r="R558">
        <f t="shared" si="436"/>
        <v>1.5673904233066809</v>
      </c>
      <c r="S558">
        <f t="shared" si="437"/>
        <v>0.11961920587227064</v>
      </c>
      <c r="T558">
        <f t="shared" si="438"/>
        <v>-1.4508900013341721</v>
      </c>
      <c r="U558">
        <f t="shared" si="439"/>
        <v>0.11808339550341436</v>
      </c>
      <c r="V558">
        <f t="shared" si="440"/>
        <v>-1.4524367752964027</v>
      </c>
      <c r="X558">
        <f t="shared" si="457"/>
        <v>-71.02887211577351</v>
      </c>
      <c r="Y558">
        <f t="shared" si="441"/>
        <v>-244.70400556034465</v>
      </c>
      <c r="Z558">
        <f t="shared" si="458"/>
        <v>-64.704005560344655</v>
      </c>
      <c r="AC558">
        <v>1</v>
      </c>
      <c r="AD558">
        <f t="shared" si="442"/>
        <v>337.77524526857997</v>
      </c>
      <c r="AE558">
        <f t="shared" si="443"/>
        <v>-0.43804363967205001</v>
      </c>
      <c r="AF558">
        <f t="shared" si="444"/>
        <v>5.2090119411120003E-2</v>
      </c>
      <c r="AG558">
        <f t="shared" si="473"/>
        <v>88.165961966896148</v>
      </c>
      <c r="AH558">
        <f t="shared" si="474"/>
        <v>-760.61524379436673</v>
      </c>
      <c r="AJ558">
        <f t="shared" si="445"/>
        <v>26400</v>
      </c>
      <c r="AK558">
        <f t="shared" si="446"/>
        <v>219115.68238264319</v>
      </c>
      <c r="AL558">
        <v>1</v>
      </c>
      <c r="AM558">
        <f t="shared" si="447"/>
        <v>293.60671455628801</v>
      </c>
      <c r="AN558">
        <f t="shared" si="475"/>
        <v>746.58733911936758</v>
      </c>
      <c r="AO558">
        <f t="shared" si="476"/>
        <v>-87.373385515550112</v>
      </c>
      <c r="AQ558">
        <f t="shared" si="448"/>
        <v>8.4505130771267347E-4</v>
      </c>
      <c r="AR558">
        <f t="shared" si="449"/>
        <v>-2.9069764985315967</v>
      </c>
      <c r="AT558">
        <f t="shared" si="470"/>
        <v>-2211.0161333736492</v>
      </c>
      <c r="AU558">
        <f t="shared" si="471"/>
        <v>-256.93913831463232</v>
      </c>
      <c r="AV558">
        <f t="shared" si="459"/>
        <v>-3.0259029442882088</v>
      </c>
      <c r="AW558">
        <f t="shared" si="460"/>
        <v>580.99561616561004</v>
      </c>
      <c r="AX558">
        <f t="shared" si="461"/>
        <v>-3378.1049816888149</v>
      </c>
      <c r="AY558">
        <f t="shared" si="469"/>
        <v>-1.4004740431273126</v>
      </c>
      <c r="BA558">
        <f t="shared" si="450"/>
        <v>0.64938392119515442</v>
      </c>
      <c r="BB558">
        <f t="shared" si="462"/>
        <v>-3.749969374953916</v>
      </c>
      <c r="BC558">
        <f t="shared" si="463"/>
        <v>-1.6254289011608962</v>
      </c>
      <c r="BD558">
        <f t="shared" si="451"/>
        <v>-273.13021604152317</v>
      </c>
      <c r="BF558">
        <f t="shared" si="452"/>
        <v>-74.939415319016192</v>
      </c>
      <c r="BG558">
        <f t="shared" si="453"/>
        <v>-261.12108043425502</v>
      </c>
      <c r="BH558">
        <f t="shared" si="464"/>
        <v>-81.12108043425502</v>
      </c>
      <c r="BI558">
        <f t="shared" si="465"/>
        <v>-81.12108043425502</v>
      </c>
      <c r="BJ558">
        <f t="shared" si="454"/>
        <v>0</v>
      </c>
      <c r="BK558">
        <f t="shared" si="466"/>
        <v>0</v>
      </c>
      <c r="BM558">
        <f t="shared" si="467"/>
        <v>-71.189445944062271</v>
      </c>
      <c r="BN558">
        <f t="shared" si="455"/>
        <v>-167.99086439273188</v>
      </c>
      <c r="BQ558" s="56">
        <f t="shared" si="468"/>
        <v>13.151991425331222</v>
      </c>
    </row>
    <row r="559" spans="1:69" x14ac:dyDescent="0.2">
      <c r="A559">
        <f t="shared" si="472"/>
        <v>1725000</v>
      </c>
      <c r="B559">
        <f t="shared" si="456"/>
        <v>1725</v>
      </c>
      <c r="C559">
        <f t="shared" si="425"/>
        <v>1.0223152227483121</v>
      </c>
      <c r="D559">
        <f t="shared" si="426"/>
        <v>0.20932271727285154</v>
      </c>
      <c r="F559">
        <f t="shared" si="427"/>
        <v>1.7880701392412119E-5</v>
      </c>
      <c r="G559">
        <f t="shared" si="428"/>
        <v>8.6296823240761429E-4</v>
      </c>
      <c r="H559">
        <f t="shared" si="429"/>
        <v>-3.1407296817675925</v>
      </c>
      <c r="J559">
        <f t="shared" si="430"/>
        <v>15</v>
      </c>
      <c r="M559">
        <f t="shared" si="431"/>
        <v>7.2507021903026481E-4</v>
      </c>
      <c r="N559">
        <f t="shared" si="432"/>
        <v>-1.5707963250000001</v>
      </c>
      <c r="O559">
        <f t="shared" si="433"/>
        <v>338.7586260317284</v>
      </c>
      <c r="P559">
        <f t="shared" si="434"/>
        <v>1.567844368156798</v>
      </c>
      <c r="Q559">
        <f t="shared" si="435"/>
        <v>294.46192046476204</v>
      </c>
      <c r="R559">
        <f t="shared" si="436"/>
        <v>1.5674002954146904</v>
      </c>
      <c r="S559">
        <f t="shared" si="437"/>
        <v>0.11927742345860085</v>
      </c>
      <c r="T559">
        <f t="shared" si="438"/>
        <v>-1.4512342484140175</v>
      </c>
      <c r="U559">
        <f t="shared" si="439"/>
        <v>0.11774587686558081</v>
      </c>
      <c r="V559">
        <f t="shared" si="440"/>
        <v>-1.4527766650971994</v>
      </c>
      <c r="X559">
        <f t="shared" si="457"/>
        <v>-71.102716692712818</v>
      </c>
      <c r="Y559">
        <f t="shared" si="441"/>
        <v>-244.70852931814838</v>
      </c>
      <c r="Z559">
        <f t="shared" si="458"/>
        <v>-64.708529318148379</v>
      </c>
      <c r="AC559">
        <v>1</v>
      </c>
      <c r="AD559">
        <f t="shared" si="442"/>
        <v>338.75715005133748</v>
      </c>
      <c r="AE559">
        <f t="shared" si="443"/>
        <v>-0.44059410671279881</v>
      </c>
      <c r="AF559">
        <f t="shared" si="444"/>
        <v>5.2241544176849994E-2</v>
      </c>
      <c r="AG559">
        <f t="shared" si="473"/>
        <v>87.662671440788785</v>
      </c>
      <c r="AH559">
        <f t="shared" si="474"/>
        <v>-758.47023742974477</v>
      </c>
      <c r="AJ559">
        <f t="shared" si="445"/>
        <v>26400</v>
      </c>
      <c r="AK559">
        <f t="shared" si="446"/>
        <v>219752.64657561603</v>
      </c>
      <c r="AL559">
        <v>1</v>
      </c>
      <c r="AM559">
        <f t="shared" si="447"/>
        <v>294.46022244744006</v>
      </c>
      <c r="AN559">
        <f t="shared" si="475"/>
        <v>746.58561650048421</v>
      </c>
      <c r="AO559">
        <f t="shared" si="476"/>
        <v>-87.120135175740231</v>
      </c>
      <c r="AQ559">
        <f t="shared" si="448"/>
        <v>8.4015955974294811E-4</v>
      </c>
      <c r="AR559">
        <f t="shared" si="449"/>
        <v>-2.8985504811131713</v>
      </c>
      <c r="AT559">
        <f t="shared" si="470"/>
        <v>-2198.3906209805641</v>
      </c>
      <c r="AU559">
        <f t="shared" si="471"/>
        <v>-254.73191450112131</v>
      </c>
      <c r="AV559">
        <f t="shared" si="459"/>
        <v>-3.0262350954658483</v>
      </c>
      <c r="AW559">
        <f t="shared" si="460"/>
        <v>581.95946674963454</v>
      </c>
      <c r="AX559">
        <f t="shared" si="461"/>
        <v>-3368.3672613161398</v>
      </c>
      <c r="AY559">
        <f t="shared" si="469"/>
        <v>-1.3997132937040351</v>
      </c>
      <c r="BA559">
        <f t="shared" si="450"/>
        <v>0.64743249802306679</v>
      </c>
      <c r="BB559">
        <f t="shared" si="462"/>
        <v>-3.7761100974991817</v>
      </c>
      <c r="BC559">
        <f t="shared" si="463"/>
        <v>-1.6265218017618133</v>
      </c>
      <c r="BD559">
        <f t="shared" si="451"/>
        <v>-273.19283463345459</v>
      </c>
      <c r="BF559">
        <f t="shared" si="452"/>
        <v>-75.014897352062306</v>
      </c>
      <c r="BG559">
        <f t="shared" si="453"/>
        <v>-261.1500819261783</v>
      </c>
      <c r="BH559">
        <f t="shared" si="464"/>
        <v>-81.150081926178302</v>
      </c>
      <c r="BI559">
        <f t="shared" si="465"/>
        <v>-81.150081926178302</v>
      </c>
      <c r="BJ559">
        <f t="shared" si="454"/>
        <v>0</v>
      </c>
      <c r="BK559">
        <f t="shared" si="466"/>
        <v>0</v>
      </c>
      <c r="BM559">
        <f t="shared" si="467"/>
        <v>-71.238787254563121</v>
      </c>
      <c r="BN559">
        <f t="shared" si="455"/>
        <v>-167.95724729272374</v>
      </c>
      <c r="BQ559" s="56">
        <f t="shared" si="468"/>
        <v>13.125850702785955</v>
      </c>
    </row>
    <row r="560" spans="1:69" x14ac:dyDescent="0.2">
      <c r="A560">
        <f t="shared" si="472"/>
        <v>1730000</v>
      </c>
      <c r="B560">
        <f t="shared" si="456"/>
        <v>1730</v>
      </c>
      <c r="C560">
        <f t="shared" si="425"/>
        <v>1.0224433518839557</v>
      </c>
      <c r="D560">
        <f t="shared" si="426"/>
        <v>0.20991180759170408</v>
      </c>
      <c r="F560">
        <f t="shared" si="427"/>
        <v>1.7777492298697223E-5</v>
      </c>
      <c r="G560">
        <f t="shared" si="428"/>
        <v>8.6047401694376937E-4</v>
      </c>
      <c r="H560">
        <f t="shared" si="429"/>
        <v>-3.1407321759830564</v>
      </c>
      <c r="J560">
        <f t="shared" si="430"/>
        <v>15</v>
      </c>
      <c r="M560">
        <f t="shared" si="431"/>
        <v>7.2297464036254731E-4</v>
      </c>
      <c r="N560">
        <f t="shared" si="432"/>
        <v>-1.5707963250000001</v>
      </c>
      <c r="O560">
        <f t="shared" si="433"/>
        <v>339.74052654866512</v>
      </c>
      <c r="P560">
        <f t="shared" si="434"/>
        <v>1.5678528997798136</v>
      </c>
      <c r="Q560">
        <f t="shared" si="435"/>
        <v>295.31542344837771</v>
      </c>
      <c r="R560">
        <f t="shared" si="436"/>
        <v>1.567410110459148</v>
      </c>
      <c r="S560">
        <f t="shared" si="437"/>
        <v>0.11893757462380394</v>
      </c>
      <c r="T560">
        <f t="shared" si="438"/>
        <v>-1.4515765338558941</v>
      </c>
      <c r="U560">
        <f t="shared" si="439"/>
        <v>0.11741026874440198</v>
      </c>
      <c r="V560">
        <f t="shared" si="440"/>
        <v>-1.4531146173780951</v>
      </c>
      <c r="X560">
        <f t="shared" si="457"/>
        <v>-71.176345544060723</v>
      </c>
      <c r="Y560">
        <f t="shared" si="441"/>
        <v>-244.71284340111643</v>
      </c>
      <c r="Z560">
        <f t="shared" si="458"/>
        <v>-64.71284340111643</v>
      </c>
      <c r="AC560">
        <v>1</v>
      </c>
      <c r="AD560">
        <f t="shared" si="442"/>
        <v>339.73905483409499</v>
      </c>
      <c r="AE560">
        <f t="shared" si="443"/>
        <v>-0.44315197714118398</v>
      </c>
      <c r="AF560">
        <f t="shared" si="444"/>
        <v>5.2392968942580005E-2</v>
      </c>
      <c r="AG560">
        <f t="shared" si="473"/>
        <v>87.163658188458086</v>
      </c>
      <c r="AH560">
        <f t="shared" si="474"/>
        <v>-756.3371242523483</v>
      </c>
      <c r="AJ560">
        <f t="shared" si="445"/>
        <v>26400</v>
      </c>
      <c r="AK560">
        <f t="shared" si="446"/>
        <v>220389.61076858881</v>
      </c>
      <c r="AL560">
        <v>1</v>
      </c>
      <c r="AM560">
        <f t="shared" si="447"/>
        <v>295.31373033859205</v>
      </c>
      <c r="AN560">
        <f t="shared" si="475"/>
        <v>746.58390879578019</v>
      </c>
      <c r="AO560">
        <f t="shared" si="476"/>
        <v>-86.868348660224115</v>
      </c>
      <c r="AQ560">
        <f t="shared" si="448"/>
        <v>8.3531016444667679E-4</v>
      </c>
      <c r="AR560">
        <f t="shared" si="449"/>
        <v>-2.8901731689855015</v>
      </c>
      <c r="AT560">
        <f t="shared" si="470"/>
        <v>-2185.8724545321352</v>
      </c>
      <c r="AU560">
        <f t="shared" si="471"/>
        <v>-252.54984229454132</v>
      </c>
      <c r="AV560">
        <f t="shared" si="459"/>
        <v>-3.0265653538550814</v>
      </c>
      <c r="AW560">
        <f t="shared" si="460"/>
        <v>582.91489284316913</v>
      </c>
      <c r="AX560">
        <f t="shared" si="461"/>
        <v>-3358.6853725511182</v>
      </c>
      <c r="AY560">
        <f t="shared" si="469"/>
        <v>-1.3989535703061085</v>
      </c>
      <c r="BA560">
        <f t="shared" si="450"/>
        <v>0.64549195676097015</v>
      </c>
      <c r="BB560">
        <f t="shared" si="462"/>
        <v>-3.8021832989687399</v>
      </c>
      <c r="BC560">
        <f t="shared" si="463"/>
        <v>-1.627611783548973</v>
      </c>
      <c r="BD560">
        <f t="shared" si="451"/>
        <v>-273.25528598967634</v>
      </c>
      <c r="BF560">
        <f t="shared" si="452"/>
        <v>-75.090163026137787</v>
      </c>
      <c r="BG560">
        <f t="shared" si="453"/>
        <v>-261.17892380135868</v>
      </c>
      <c r="BH560">
        <f t="shared" si="464"/>
        <v>-81.178923801358678</v>
      </c>
      <c r="BI560">
        <f t="shared" si="465"/>
        <v>-81.178923801358678</v>
      </c>
      <c r="BJ560">
        <f t="shared" si="454"/>
        <v>0</v>
      </c>
      <c r="BK560">
        <f t="shared" si="466"/>
        <v>0</v>
      </c>
      <c r="BM560">
        <f t="shared" si="467"/>
        <v>-71.287979727169059</v>
      </c>
      <c r="BN560">
        <f t="shared" si="455"/>
        <v>-167.92363781168237</v>
      </c>
      <c r="BQ560" s="56">
        <f t="shared" si="468"/>
        <v>13.099777501316396</v>
      </c>
    </row>
    <row r="561" spans="1:69" x14ac:dyDescent="0.2">
      <c r="A561">
        <f t="shared" si="472"/>
        <v>1735000</v>
      </c>
      <c r="B561">
        <f t="shared" si="456"/>
        <v>1735</v>
      </c>
      <c r="C561">
        <f t="shared" si="425"/>
        <v>1.0225718357464721</v>
      </c>
      <c r="D561">
        <f t="shared" si="426"/>
        <v>0.21050075007913283</v>
      </c>
      <c r="F561">
        <f t="shared" si="427"/>
        <v>1.7675174236873559E-5</v>
      </c>
      <c r="G561">
        <f t="shared" si="428"/>
        <v>8.5799417811586629E-4</v>
      </c>
      <c r="H561">
        <f t="shared" si="429"/>
        <v>-3.1407346558218845</v>
      </c>
      <c r="J561">
        <f t="shared" si="430"/>
        <v>15</v>
      </c>
      <c r="M561">
        <f t="shared" si="431"/>
        <v>7.2089113995804427E-4</v>
      </c>
      <c r="N561">
        <f t="shared" si="432"/>
        <v>-1.5707963250000001</v>
      </c>
      <c r="O561">
        <f t="shared" si="433"/>
        <v>340.72242709018855</v>
      </c>
      <c r="P561">
        <f t="shared" si="434"/>
        <v>1.5678613822296341</v>
      </c>
      <c r="Q561">
        <f t="shared" si="435"/>
        <v>296.16892646027867</v>
      </c>
      <c r="R561">
        <f t="shared" si="436"/>
        <v>1.5674198689333911</v>
      </c>
      <c r="S561">
        <f t="shared" si="437"/>
        <v>0.11859964312509155</v>
      </c>
      <c r="T561">
        <f t="shared" si="438"/>
        <v>-1.4519168742997721</v>
      </c>
      <c r="U561">
        <f t="shared" si="439"/>
        <v>0.11707655507882511</v>
      </c>
      <c r="V561">
        <f t="shared" si="440"/>
        <v>-1.4534506485825247</v>
      </c>
      <c r="X561">
        <f t="shared" si="457"/>
        <v>-71.249759866523647</v>
      </c>
      <c r="Y561">
        <f t="shared" si="441"/>
        <v>-244.71694967938129</v>
      </c>
      <c r="Z561">
        <f t="shared" si="458"/>
        <v>-64.716949679381287</v>
      </c>
      <c r="AC561">
        <v>1</v>
      </c>
      <c r="AD561">
        <f t="shared" si="442"/>
        <v>340.7209596168525</v>
      </c>
      <c r="AE561">
        <f t="shared" si="443"/>
        <v>-0.44571725095720555</v>
      </c>
      <c r="AF561">
        <f t="shared" si="444"/>
        <v>5.2544393708309996E-2</v>
      </c>
      <c r="AG561">
        <f t="shared" si="473"/>
        <v>86.66887410542445</v>
      </c>
      <c r="AH561">
        <f t="shared" si="474"/>
        <v>-754.21580711013894</v>
      </c>
      <c r="AJ561">
        <f t="shared" si="445"/>
        <v>26400</v>
      </c>
      <c r="AK561">
        <f t="shared" si="446"/>
        <v>221026.57496156162</v>
      </c>
      <c r="AL561">
        <v>1</v>
      </c>
      <c r="AM561">
        <f t="shared" si="447"/>
        <v>296.16723822974404</v>
      </c>
      <c r="AN561">
        <f t="shared" si="475"/>
        <v>746.58221583358534</v>
      </c>
      <c r="AO561">
        <f t="shared" si="476"/>
        <v>-86.61801331403997</v>
      </c>
      <c r="AQ561">
        <f t="shared" si="448"/>
        <v>8.3050263431283088E-4</v>
      </c>
      <c r="AR561">
        <f t="shared" si="449"/>
        <v>-2.8818441410655233</v>
      </c>
      <c r="AT561">
        <f t="shared" si="470"/>
        <v>-2173.4604260911015</v>
      </c>
      <c r="AU561">
        <f t="shared" si="471"/>
        <v>-250.39256526810826</v>
      </c>
      <c r="AV561">
        <f t="shared" si="459"/>
        <v>-3.0268937355126213</v>
      </c>
      <c r="AW561">
        <f t="shared" si="460"/>
        <v>583.86199253837935</v>
      </c>
      <c r="AX561">
        <f t="shared" si="461"/>
        <v>-3349.0588377987615</v>
      </c>
      <c r="AY561">
        <f t="shared" si="469"/>
        <v>-1.3981948656692653</v>
      </c>
      <c r="BA561">
        <f t="shared" si="450"/>
        <v>0.64356220564262279</v>
      </c>
      <c r="BB561">
        <f t="shared" si="462"/>
        <v>-3.8281893711001249</v>
      </c>
      <c r="BC561">
        <f t="shared" si="463"/>
        <v>-1.628698869843356</v>
      </c>
      <c r="BD561">
        <f t="shared" si="451"/>
        <v>-273.31757144638215</v>
      </c>
      <c r="BF561">
        <f t="shared" si="452"/>
        <v>-75.165213577734292</v>
      </c>
      <c r="BG561">
        <f t="shared" si="453"/>
        <v>-261.20760742341923</v>
      </c>
      <c r="BH561">
        <f t="shared" si="464"/>
        <v>-81.207607423419233</v>
      </c>
      <c r="BI561">
        <f t="shared" si="465"/>
        <v>-81.207607423419233</v>
      </c>
      <c r="BJ561">
        <f t="shared" si="454"/>
        <v>0</v>
      </c>
      <c r="BK561">
        <f t="shared" si="466"/>
        <v>0</v>
      </c>
      <c r="BM561">
        <f t="shared" si="467"/>
        <v>-71.337024206634155</v>
      </c>
      <c r="BN561">
        <f t="shared" si="455"/>
        <v>-167.89003597703709</v>
      </c>
      <c r="BQ561" s="56">
        <f t="shared" si="468"/>
        <v>13.07377142918501</v>
      </c>
    </row>
    <row r="562" spans="1:69" x14ac:dyDescent="0.2">
      <c r="A562">
        <f t="shared" si="472"/>
        <v>1740000</v>
      </c>
      <c r="B562">
        <f t="shared" si="456"/>
        <v>1740</v>
      </c>
      <c r="C562">
        <f t="shared" si="425"/>
        <v>1.022700674202166</v>
      </c>
      <c r="D562">
        <f t="shared" si="426"/>
        <v>0.21108954438237873</v>
      </c>
      <c r="F562">
        <f t="shared" si="427"/>
        <v>1.7573736979630256E-5</v>
      </c>
      <c r="G562">
        <f t="shared" si="428"/>
        <v>8.5552859197875523E-4</v>
      </c>
      <c r="H562">
        <f t="shared" si="429"/>
        <v>-3.1407371214080215</v>
      </c>
      <c r="J562">
        <f t="shared" si="430"/>
        <v>15</v>
      </c>
      <c r="M562">
        <f t="shared" si="431"/>
        <v>7.1881961369379694E-4</v>
      </c>
      <c r="N562">
        <f t="shared" si="432"/>
        <v>-1.5707963250000001</v>
      </c>
      <c r="O562">
        <f t="shared" si="433"/>
        <v>341.70432765608678</v>
      </c>
      <c r="P562">
        <f t="shared" si="434"/>
        <v>1.5678698159301618</v>
      </c>
      <c r="Q562">
        <f t="shared" si="435"/>
        <v>297.02242950022105</v>
      </c>
      <c r="R562">
        <f t="shared" si="436"/>
        <v>1.5674295713250863</v>
      </c>
      <c r="S562">
        <f t="shared" si="437"/>
        <v>0.11826361289973571</v>
      </c>
      <c r="T562">
        <f t="shared" si="438"/>
        <v>-1.4522552861988498</v>
      </c>
      <c r="U562">
        <f t="shared" si="439"/>
        <v>0.11674471998601239</v>
      </c>
      <c r="V562">
        <f t="shared" si="440"/>
        <v>-1.4537847749692443</v>
      </c>
      <c r="X562">
        <f t="shared" si="457"/>
        <v>-71.322960846882026</v>
      </c>
      <c r="Y562">
        <f t="shared" si="441"/>
        <v>-244.72085000228404</v>
      </c>
      <c r="Z562">
        <f t="shared" si="458"/>
        <v>-64.720850002284038</v>
      </c>
      <c r="AC562">
        <v>1</v>
      </c>
      <c r="AD562">
        <f t="shared" si="442"/>
        <v>341.70286439961001</v>
      </c>
      <c r="AE562">
        <f t="shared" si="443"/>
        <v>-0.4482899281608636</v>
      </c>
      <c r="AF562">
        <f t="shared" si="444"/>
        <v>5.269581847404E-2</v>
      </c>
      <c r="AG562">
        <f t="shared" si="473"/>
        <v>86.178271758367657</v>
      </c>
      <c r="AH562">
        <f t="shared" si="474"/>
        <v>-752.10618988887495</v>
      </c>
      <c r="AJ562">
        <f t="shared" si="445"/>
        <v>26400</v>
      </c>
      <c r="AK562">
        <f t="shared" si="446"/>
        <v>221663.5391545344</v>
      </c>
      <c r="AL562">
        <v>1</v>
      </c>
      <c r="AM562">
        <f t="shared" si="447"/>
        <v>297.02074612089604</v>
      </c>
      <c r="AN562">
        <f t="shared" si="475"/>
        <v>746.58053744469237</v>
      </c>
      <c r="AO562">
        <f t="shared" si="476"/>
        <v>-86.369116627676988</v>
      </c>
      <c r="AQ562">
        <f t="shared" si="448"/>
        <v>8.2573648882477133E-4</v>
      </c>
      <c r="AR562">
        <f t="shared" si="449"/>
        <v>-2.8735629811102044</v>
      </c>
      <c r="AT562">
        <f t="shared" si="470"/>
        <v>-2161.1533445849782</v>
      </c>
      <c r="AU562">
        <f t="shared" si="471"/>
        <v>-248.25973302536252</v>
      </c>
      <c r="AV562">
        <f t="shared" si="459"/>
        <v>-3.027220256314946</v>
      </c>
      <c r="AW562">
        <f t="shared" si="460"/>
        <v>584.80086250125885</v>
      </c>
      <c r="AX562">
        <f t="shared" si="461"/>
        <v>-3339.4871848829539</v>
      </c>
      <c r="AY562">
        <f t="shared" si="469"/>
        <v>-1.3974371726201815</v>
      </c>
      <c r="BA562">
        <f t="shared" si="450"/>
        <v>0.64164315392819693</v>
      </c>
      <c r="BB562">
        <f t="shared" si="462"/>
        <v>-3.8541287023755877</v>
      </c>
      <c r="BC562">
        <f t="shared" si="463"/>
        <v>-1.6297830836947644</v>
      </c>
      <c r="BD562">
        <f t="shared" si="451"/>
        <v>-273.37969232422847</v>
      </c>
      <c r="BF562">
        <f t="shared" si="452"/>
        <v>-75.240050232818604</v>
      </c>
      <c r="BG562">
        <f t="shared" si="453"/>
        <v>-261.23613414032951</v>
      </c>
      <c r="BH562">
        <f t="shared" si="464"/>
        <v>-81.236134140329511</v>
      </c>
      <c r="BI562">
        <f t="shared" si="465"/>
        <v>-81.236134140329511</v>
      </c>
      <c r="BJ562">
        <f t="shared" si="454"/>
        <v>0</v>
      </c>
      <c r="BK562">
        <f t="shared" si="466"/>
        <v>0</v>
      </c>
      <c r="BM562">
        <f t="shared" si="467"/>
        <v>-71.385921530443014</v>
      </c>
      <c r="BN562">
        <f t="shared" si="455"/>
        <v>-167.85644181610104</v>
      </c>
      <c r="BQ562" s="56">
        <f t="shared" si="468"/>
        <v>13.047832097909549</v>
      </c>
    </row>
    <row r="563" spans="1:69" x14ac:dyDescent="0.2">
      <c r="A563">
        <f t="shared" si="472"/>
        <v>1745000</v>
      </c>
      <c r="B563">
        <f t="shared" si="456"/>
        <v>1745</v>
      </c>
      <c r="C563">
        <f t="shared" si="425"/>
        <v>1.022829867117041</v>
      </c>
      <c r="D563">
        <f t="shared" si="426"/>
        <v>0.21167819014927131</v>
      </c>
      <c r="F563">
        <f t="shared" si="427"/>
        <v>1.7473170445974334E-5</v>
      </c>
      <c r="G563">
        <f t="shared" si="428"/>
        <v>8.5307713600798433E-4</v>
      </c>
      <c r="H563">
        <f t="shared" si="429"/>
        <v>-3.1407395728639922</v>
      </c>
      <c r="J563">
        <f t="shared" si="430"/>
        <v>15</v>
      </c>
      <c r="M563">
        <f t="shared" si="431"/>
        <v>7.1675995864023303E-4</v>
      </c>
      <c r="N563">
        <f t="shared" si="432"/>
        <v>-1.5707963250000001</v>
      </c>
      <c r="O563">
        <f t="shared" si="433"/>
        <v>342.68622824615016</v>
      </c>
      <c r="P563">
        <f t="shared" si="434"/>
        <v>1.5678782013004404</v>
      </c>
      <c r="Q563">
        <f t="shared" si="435"/>
        <v>297.87593256796379</v>
      </c>
      <c r="R563">
        <f t="shared" si="436"/>
        <v>1.5674392181163115</v>
      </c>
      <c r="S563">
        <f t="shared" si="437"/>
        <v>0.11792946806259993</v>
      </c>
      <c r="T563">
        <f t="shared" si="438"/>
        <v>-1.4525917858221549</v>
      </c>
      <c r="U563">
        <f t="shared" si="439"/>
        <v>0.11641474775889478</v>
      </c>
      <c r="V563">
        <f t="shared" si="440"/>
        <v>-1.4541170126149046</v>
      </c>
      <c r="X563">
        <f t="shared" si="457"/>
        <v>-71.395949662099056</v>
      </c>
      <c r="Y563">
        <f t="shared" si="441"/>
        <v>-244.72454619866295</v>
      </c>
      <c r="Z563">
        <f t="shared" si="458"/>
        <v>-64.724546198662949</v>
      </c>
      <c r="AC563">
        <v>1</v>
      </c>
      <c r="AD563">
        <f t="shared" si="442"/>
        <v>342.68476918236752</v>
      </c>
      <c r="AE563">
        <f t="shared" si="443"/>
        <v>-0.45087000875215799</v>
      </c>
      <c r="AF563">
        <f t="shared" si="444"/>
        <v>5.2847243239769998E-2</v>
      </c>
      <c r="AG563">
        <f t="shared" si="473"/>
        <v>85.691804373975316</v>
      </c>
      <c r="AH563">
        <f t="shared" si="474"/>
        <v>-750.00817749854991</v>
      </c>
      <c r="AJ563">
        <f t="shared" si="445"/>
        <v>26400</v>
      </c>
      <c r="AK563">
        <f t="shared" si="446"/>
        <v>222300.50334750724</v>
      </c>
      <c r="AL563">
        <v>1</v>
      </c>
      <c r="AM563">
        <f t="shared" si="447"/>
        <v>297.87425401204803</v>
      </c>
      <c r="AN563">
        <f t="shared" si="475"/>
        <v>746.57887346231485</v>
      </c>
      <c r="AO563">
        <f t="shared" si="476"/>
        <v>-86.121646234991786</v>
      </c>
      <c r="AQ563">
        <f t="shared" si="448"/>
        <v>8.2101125434017334E-4</v>
      </c>
      <c r="AR563">
        <f t="shared" si="449"/>
        <v>-2.8653292776472052</v>
      </c>
      <c r="AT563">
        <f t="shared" si="470"/>
        <v>-2148.9500355256214</v>
      </c>
      <c r="AU563">
        <f t="shared" si="471"/>
        <v>-246.15100108174178</v>
      </c>
      <c r="AV563">
        <f t="shared" si="459"/>
        <v>-3.0275449319608096</v>
      </c>
      <c r="AW563">
        <f t="shared" si="460"/>
        <v>585.73159799647976</v>
      </c>
      <c r="AX563">
        <f t="shared" si="461"/>
        <v>-3329.9699469699854</v>
      </c>
      <c r="AY563">
        <f t="shared" si="469"/>
        <v>-1.3966804840751035</v>
      </c>
      <c r="BA563">
        <f t="shared" si="450"/>
        <v>0.63973471189006592</v>
      </c>
      <c r="BB563">
        <f t="shared" si="462"/>
        <v>-3.8800016780571784</v>
      </c>
      <c r="BC563">
        <f t="shared" si="463"/>
        <v>-1.6308644478857062</v>
      </c>
      <c r="BD563">
        <f t="shared" si="451"/>
        <v>-273.44164992855679</v>
      </c>
      <c r="BF563">
        <f t="shared" si="452"/>
        <v>-75.314674206951352</v>
      </c>
      <c r="BG563">
        <f t="shared" si="453"/>
        <v>-261.26450528462908</v>
      </c>
      <c r="BH563">
        <f t="shared" si="464"/>
        <v>-81.264505284629081</v>
      </c>
      <c r="BI563">
        <f t="shared" si="465"/>
        <v>-81.264505284629081</v>
      </c>
      <c r="BJ563">
        <f t="shared" si="454"/>
        <v>0</v>
      </c>
      <c r="BK563">
        <f t="shared" si="466"/>
        <v>0</v>
      </c>
      <c r="BM563">
        <f t="shared" si="467"/>
        <v>-71.434672528894183</v>
      </c>
      <c r="BN563">
        <f t="shared" si="455"/>
        <v>-167.82285535607224</v>
      </c>
      <c r="BQ563" s="56">
        <f t="shared" si="468"/>
        <v>13.02195912222796</v>
      </c>
    </row>
    <row r="564" spans="1:69" x14ac:dyDescent="0.2">
      <c r="A564">
        <f t="shared" si="472"/>
        <v>1750000</v>
      </c>
      <c r="B564">
        <f t="shared" si="456"/>
        <v>1750</v>
      </c>
      <c r="C564">
        <f t="shared" si="425"/>
        <v>1.0229594143567995</v>
      </c>
      <c r="D564">
        <f t="shared" si="426"/>
        <v>0.21226668702822926</v>
      </c>
      <c r="F564">
        <f t="shared" si="427"/>
        <v>1.7373464698725871E-5</v>
      </c>
      <c r="G564">
        <f t="shared" si="428"/>
        <v>8.5063968907950183E-4</v>
      </c>
      <c r="H564">
        <f t="shared" si="429"/>
        <v>-3.1407420103109209</v>
      </c>
      <c r="J564">
        <f t="shared" si="430"/>
        <v>15</v>
      </c>
      <c r="M564">
        <f t="shared" si="431"/>
        <v>7.1471207304411811E-4</v>
      </c>
      <c r="N564">
        <f t="shared" si="432"/>
        <v>-1.5707963250000001</v>
      </c>
      <c r="O564">
        <f t="shared" si="433"/>
        <v>343.66812886017163</v>
      </c>
      <c r="P564">
        <f t="shared" si="434"/>
        <v>1.5678865387547241</v>
      </c>
      <c r="Q564">
        <f t="shared" si="435"/>
        <v>298.72943566326865</v>
      </c>
      <c r="R564">
        <f t="shared" si="436"/>
        <v>1.5674488097836348</v>
      </c>
      <c r="S564">
        <f t="shared" si="437"/>
        <v>0.11759719290371065</v>
      </c>
      <c r="T564">
        <f t="shared" si="438"/>
        <v>-1.4529263892571012</v>
      </c>
      <c r="U564">
        <f t="shared" si="439"/>
        <v>0.11608662286376545</v>
      </c>
      <c r="V564">
        <f t="shared" si="440"/>
        <v>-1.4544473774165809</v>
      </c>
      <c r="X564">
        <f t="shared" si="457"/>
        <v>-71.468727479427884</v>
      </c>
      <c r="Y564">
        <f t="shared" si="441"/>
        <v>-244.72804007713813</v>
      </c>
      <c r="Z564">
        <f t="shared" si="458"/>
        <v>-64.728040077138132</v>
      </c>
      <c r="AC564">
        <v>1</v>
      </c>
      <c r="AD564">
        <f t="shared" si="442"/>
        <v>343.66667396512503</v>
      </c>
      <c r="AE564">
        <f t="shared" si="443"/>
        <v>-0.45345749273108887</v>
      </c>
      <c r="AF564">
        <f t="shared" si="444"/>
        <v>5.2998668005500002E-2</v>
      </c>
      <c r="AG564">
        <f t="shared" si="473"/>
        <v>85.209425828006175</v>
      </c>
      <c r="AH564">
        <f t="shared" si="474"/>
        <v>-747.92167586003859</v>
      </c>
      <c r="AJ564">
        <f t="shared" si="445"/>
        <v>26400</v>
      </c>
      <c r="AK564">
        <f t="shared" si="446"/>
        <v>222937.46754047999</v>
      </c>
      <c r="AL564">
        <v>1</v>
      </c>
      <c r="AM564">
        <f t="shared" si="447"/>
        <v>298.72776190320002</v>
      </c>
      <c r="AN564">
        <f t="shared" si="475"/>
        <v>746.57722372204501</v>
      </c>
      <c r="AO564">
        <f t="shared" si="476"/>
        <v>-85.875589911160361</v>
      </c>
      <c r="AQ564">
        <f t="shared" si="448"/>
        <v>8.163264639733499E-4</v>
      </c>
      <c r="AR564">
        <f t="shared" si="449"/>
        <v>-2.8571426239067246</v>
      </c>
      <c r="AT564">
        <f t="shared" si="470"/>
        <v>-2136.8493407341821</v>
      </c>
      <c r="AU564">
        <f t="shared" si="471"/>
        <v>-244.06603074879885</v>
      </c>
      <c r="AV564">
        <f t="shared" si="459"/>
        <v>-3.02786777797371</v>
      </c>
      <c r="AW564">
        <f t="shared" si="460"/>
        <v>586.65429291173837</v>
      </c>
      <c r="AX564">
        <f t="shared" si="461"/>
        <v>-3320.5066624933652</v>
      </c>
      <c r="AY564">
        <f t="shared" si="469"/>
        <v>-1.3959247930384979</v>
      </c>
      <c r="BA564">
        <f t="shared" si="450"/>
        <v>0.63783679079882427</v>
      </c>
      <c r="BB564">
        <f t="shared" si="462"/>
        <v>-3.9058086802213685</v>
      </c>
      <c r="BC564">
        <f t="shared" si="463"/>
        <v>-1.6319429849352121</v>
      </c>
      <c r="BD564">
        <f t="shared" si="451"/>
        <v>-273.50344554961259</v>
      </c>
      <c r="BF564">
        <f t="shared" si="452"/>
        <v>-75.389086705403813</v>
      </c>
      <c r="BG564">
        <f t="shared" si="453"/>
        <v>-261.29272217364735</v>
      </c>
      <c r="BH564">
        <f t="shared" si="464"/>
        <v>-81.292722173647348</v>
      </c>
      <c r="BI564">
        <f t="shared" si="465"/>
        <v>-81.292722173647348</v>
      </c>
      <c r="BJ564">
        <f t="shared" si="454"/>
        <v>0</v>
      </c>
      <c r="BK564">
        <f t="shared" si="466"/>
        <v>0</v>
      </c>
      <c r="BM564">
        <f t="shared" si="467"/>
        <v>-71.483278025182443</v>
      </c>
      <c r="BN564">
        <f t="shared" si="455"/>
        <v>-167.78927662403481</v>
      </c>
      <c r="BQ564" s="56">
        <f t="shared" si="468"/>
        <v>12.996152120063769</v>
      </c>
    </row>
    <row r="565" spans="1:69" x14ac:dyDescent="0.2">
      <c r="A565">
        <f t="shared" si="472"/>
        <v>1755000</v>
      </c>
      <c r="B565">
        <f t="shared" si="456"/>
        <v>1755</v>
      </c>
      <c r="C565">
        <f t="shared" si="425"/>
        <v>1.0230893157868437</v>
      </c>
      <c r="D565">
        <f t="shared" si="426"/>
        <v>0.21285503466826186</v>
      </c>
      <c r="F565">
        <f t="shared" si="427"/>
        <v>1.7274609942063105E-5</v>
      </c>
      <c r="G565">
        <f t="shared" si="428"/>
        <v>8.4821613144970534E-4</v>
      </c>
      <c r="H565">
        <f t="shared" si="429"/>
        <v>-3.1407444338685506</v>
      </c>
      <c r="J565">
        <f t="shared" si="430"/>
        <v>15</v>
      </c>
      <c r="M565">
        <f t="shared" si="431"/>
        <v>7.1267585631179867E-4</v>
      </c>
      <c r="N565">
        <f t="shared" si="432"/>
        <v>-1.5707963250000001</v>
      </c>
      <c r="O565">
        <f t="shared" si="433"/>
        <v>344.65002949794649</v>
      </c>
      <c r="P565">
        <f t="shared" si="434"/>
        <v>1.5678948287025469</v>
      </c>
      <c r="Q565">
        <f t="shared" si="435"/>
        <v>299.58293878590007</v>
      </c>
      <c r="R565">
        <f t="shared" si="436"/>
        <v>1.5674583467981937</v>
      </c>
      <c r="S565">
        <f t="shared" si="437"/>
        <v>0.11726677188586782</v>
      </c>
      <c r="T565">
        <f t="shared" si="438"/>
        <v>-1.4532591124120047</v>
      </c>
      <c r="U565">
        <f t="shared" si="439"/>
        <v>0.11576032993791215</v>
      </c>
      <c r="V565">
        <f t="shared" si="440"/>
        <v>-1.454775885094262</v>
      </c>
      <c r="X565">
        <f t="shared" si="457"/>
        <v>-71.541295456517304</v>
      </c>
      <c r="Y565">
        <f t="shared" si="441"/>
        <v>-244.73133342639011</v>
      </c>
      <c r="Z565">
        <f t="shared" si="458"/>
        <v>-64.731333426390108</v>
      </c>
      <c r="AC565">
        <v>1</v>
      </c>
      <c r="AD565">
        <f t="shared" si="442"/>
        <v>344.64857874788254</v>
      </c>
      <c r="AE565">
        <f t="shared" si="443"/>
        <v>-0.4560523800976562</v>
      </c>
      <c r="AF565">
        <f t="shared" si="444"/>
        <v>5.3150092771229999E-2</v>
      </c>
      <c r="AG565">
        <f t="shared" si="473"/>
        <v>84.731090634563145</v>
      </c>
      <c r="AH565">
        <f t="shared" si="474"/>
        <v>-745.84659189194781</v>
      </c>
      <c r="AJ565">
        <f t="shared" si="445"/>
        <v>26400</v>
      </c>
      <c r="AK565">
        <f t="shared" si="446"/>
        <v>223574.43173345283</v>
      </c>
      <c r="AL565">
        <v>1</v>
      </c>
      <c r="AM565">
        <f t="shared" si="447"/>
        <v>299.58126979435207</v>
      </c>
      <c r="AN565">
        <f t="shared" si="475"/>
        <v>746.57558806181453</v>
      </c>
      <c r="AO565">
        <f t="shared" si="476"/>
        <v>-85.630935570665045</v>
      </c>
      <c r="AQ565">
        <f t="shared" si="448"/>
        <v>8.1168165747991835E-4</v>
      </c>
      <c r="AR565">
        <f t="shared" si="449"/>
        <v>-2.8490026177545134</v>
      </c>
      <c r="AT565">
        <f t="shared" si="470"/>
        <v>-2124.8501180713552</v>
      </c>
      <c r="AU565">
        <f t="shared" si="471"/>
        <v>-242.00448902099794</v>
      </c>
      <c r="AV565">
        <f t="shared" si="459"/>
        <v>-3.0281888097043161</v>
      </c>
      <c r="AW565">
        <f t="shared" si="460"/>
        <v>587.56903978161097</v>
      </c>
      <c r="AX565">
        <f t="shared" si="461"/>
        <v>-3311.0968750799229</v>
      </c>
      <c r="AY565">
        <f t="shared" si="469"/>
        <v>-1.3951700926017272</v>
      </c>
      <c r="BA565">
        <f t="shared" si="450"/>
        <v>0.63594930290953722</v>
      </c>
      <c r="BB565">
        <f t="shared" si="462"/>
        <v>-3.9315500877932257</v>
      </c>
      <c r="BC565">
        <f t="shared" si="463"/>
        <v>-1.6330187171025889</v>
      </c>
      <c r="BD565">
        <f t="shared" si="451"/>
        <v>-273.56508046276019</v>
      </c>
      <c r="BF565">
        <f t="shared" si="452"/>
        <v>-75.463288923273225</v>
      </c>
      <c r="BG565">
        <f t="shared" si="453"/>
        <v>-261.32078610971985</v>
      </c>
      <c r="BH565">
        <f t="shared" si="464"/>
        <v>-81.320786109719847</v>
      </c>
      <c r="BI565">
        <f t="shared" si="465"/>
        <v>-81.320786109719847</v>
      </c>
      <c r="BJ565">
        <f t="shared" si="454"/>
        <v>0</v>
      </c>
      <c r="BK565">
        <f t="shared" si="466"/>
        <v>0</v>
      </c>
      <c r="BM565">
        <f t="shared" si="467"/>
        <v>-71.531738835479999</v>
      </c>
      <c r="BN565">
        <f t="shared" si="455"/>
        <v>-167.75570564695965</v>
      </c>
      <c r="BQ565" s="56">
        <f t="shared" si="468"/>
        <v>12.970410712491912</v>
      </c>
    </row>
    <row r="566" spans="1:69" x14ac:dyDescent="0.2">
      <c r="A566">
        <f t="shared" si="472"/>
        <v>1760000</v>
      </c>
      <c r="B566">
        <f t="shared" si="456"/>
        <v>1760</v>
      </c>
      <c r="C566">
        <f t="shared" si="425"/>
        <v>1.0232195712722765</v>
      </c>
      <c r="D566">
        <f t="shared" si="426"/>
        <v>0.21344323271896959</v>
      </c>
      <c r="F566">
        <f t="shared" si="427"/>
        <v>1.7176596519116217E-5</v>
      </c>
      <c r="G566">
        <f t="shared" si="428"/>
        <v>8.4580634473583119E-4</v>
      </c>
      <c r="H566">
        <f t="shared" si="429"/>
        <v>-3.1407468436552644</v>
      </c>
      <c r="J566">
        <f t="shared" si="430"/>
        <v>15</v>
      </c>
      <c r="M566">
        <f t="shared" si="431"/>
        <v>7.1065120899273108E-4</v>
      </c>
      <c r="N566">
        <f t="shared" si="432"/>
        <v>-1.5707963250000001</v>
      </c>
      <c r="O566">
        <f t="shared" si="433"/>
        <v>345.63193015927226</v>
      </c>
      <c r="P566">
        <f t="shared" si="434"/>
        <v>1.5679030715487887</v>
      </c>
      <c r="Q566">
        <f t="shared" si="435"/>
        <v>300.43644193562506</v>
      </c>
      <c r="R566">
        <f t="shared" si="436"/>
        <v>1.567467829625772</v>
      </c>
      <c r="S566">
        <f t="shared" si="437"/>
        <v>0.11693818964229455</v>
      </c>
      <c r="T566">
        <f t="shared" si="438"/>
        <v>-1.453589971018556</v>
      </c>
      <c r="U566">
        <f t="shared" si="439"/>
        <v>0.11543585378728856</v>
      </c>
      <c r="V566">
        <f t="shared" si="440"/>
        <v>-1.4551025511932982</v>
      </c>
      <c r="X566">
        <f t="shared" si="457"/>
        <v>-71.613654741516228</v>
      </c>
      <c r="Y566">
        <f t="shared" si="441"/>
        <v>-244.73442801543536</v>
      </c>
      <c r="Z566">
        <f t="shared" si="458"/>
        <v>-64.734428015435356</v>
      </c>
      <c r="AC566">
        <v>1</v>
      </c>
      <c r="AD566">
        <f t="shared" si="442"/>
        <v>345.63048353063999</v>
      </c>
      <c r="AE566">
        <f t="shared" si="443"/>
        <v>-0.45865467085185996</v>
      </c>
      <c r="AF566">
        <f t="shared" si="444"/>
        <v>5.3301517536960004E-2</v>
      </c>
      <c r="AG566">
        <f t="shared" si="473"/>
        <v>84.256753935571396</v>
      </c>
      <c r="AH566">
        <f t="shared" si="474"/>
        <v>-743.78283349766616</v>
      </c>
      <c r="AJ566">
        <f t="shared" si="445"/>
        <v>26400</v>
      </c>
      <c r="AK566">
        <f t="shared" si="446"/>
        <v>224211.39592642561</v>
      </c>
      <c r="AL566">
        <v>1</v>
      </c>
      <c r="AM566">
        <f t="shared" si="447"/>
        <v>300.434777685504</v>
      </c>
      <c r="AN566">
        <f t="shared" si="475"/>
        <v>746.57396632185328</v>
      </c>
      <c r="AO566">
        <f t="shared" si="476"/>
        <v>-85.387671265316129</v>
      </c>
      <c r="AQ566">
        <f t="shared" si="448"/>
        <v>8.0707638114375794E-4</v>
      </c>
      <c r="AR566">
        <f t="shared" si="449"/>
        <v>-2.8409088616260281</v>
      </c>
      <c r="AT566">
        <f t="shared" si="470"/>
        <v>-2112.9512411727828</v>
      </c>
      <c r="AU566">
        <f t="shared" si="471"/>
        <v>-239.96604846502464</v>
      </c>
      <c r="AV566">
        <f t="shared" si="459"/>
        <v>-3.0285080423328545</v>
      </c>
      <c r="AW566">
        <f t="shared" si="460"/>
        <v>588.47592981092305</v>
      </c>
      <c r="AX566">
        <f t="shared" si="461"/>
        <v>-3301.7401334771162</v>
      </c>
      <c r="AY566">
        <f t="shared" si="469"/>
        <v>-1.3944163759417467</v>
      </c>
      <c r="BA566">
        <f t="shared" si="450"/>
        <v>0.63407216144821588</v>
      </c>
      <c r="BB566">
        <f t="shared" si="462"/>
        <v>-3.9572262765801201</v>
      </c>
      <c r="BC566">
        <f t="shared" si="463"/>
        <v>-1.6340916663911078</v>
      </c>
      <c r="BD566">
        <f t="shared" si="451"/>
        <v>-273.62655592869413</v>
      </c>
      <c r="BF566">
        <f t="shared" si="452"/>
        <v>-75.537282045596442</v>
      </c>
      <c r="BG566">
        <f t="shared" si="453"/>
        <v>-261.34869838040026</v>
      </c>
      <c r="BH566">
        <f t="shared" si="464"/>
        <v>-81.348698380400265</v>
      </c>
      <c r="BI566">
        <f t="shared" si="465"/>
        <v>-81.348698380400265</v>
      </c>
      <c r="BJ566">
        <f t="shared" si="454"/>
        <v>0</v>
      </c>
      <c r="BK566">
        <f t="shared" si="466"/>
        <v>0</v>
      </c>
      <c r="BM566">
        <f t="shared" si="467"/>
        <v>-71.580055769016326</v>
      </c>
      <c r="BN566">
        <f t="shared" si="455"/>
        <v>-167.72214245170613</v>
      </c>
      <c r="BQ566" s="56">
        <f t="shared" si="468"/>
        <v>12.944734523705016</v>
      </c>
    </row>
    <row r="567" spans="1:69" x14ac:dyDescent="0.2">
      <c r="A567">
        <f t="shared" si="472"/>
        <v>1765000</v>
      </c>
      <c r="B567">
        <f t="shared" si="456"/>
        <v>1765</v>
      </c>
      <c r="C567">
        <f t="shared" si="425"/>
        <v>1.0233501806779017</v>
      </c>
      <c r="D567">
        <f t="shared" si="426"/>
        <v>0.21403128083054498</v>
      </c>
      <c r="F567">
        <f t="shared" si="427"/>
        <v>1.7079414909608824E-5</v>
      </c>
      <c r="G567">
        <f t="shared" si="428"/>
        <v>8.4341021189667735E-4</v>
      </c>
      <c r="H567">
        <f t="shared" si="429"/>
        <v>-3.1407492397881036</v>
      </c>
      <c r="J567">
        <f t="shared" si="430"/>
        <v>15</v>
      </c>
      <c r="M567">
        <f t="shared" si="431"/>
        <v>7.0863803276328995E-4</v>
      </c>
      <c r="N567">
        <f t="shared" si="432"/>
        <v>-1.5707963250000001</v>
      </c>
      <c r="O567">
        <f t="shared" si="433"/>
        <v>346.61383084394873</v>
      </c>
      <c r="P567">
        <f t="shared" si="434"/>
        <v>1.5679112676937421</v>
      </c>
      <c r="Q567">
        <f t="shared" si="435"/>
        <v>301.2899451122135</v>
      </c>
      <c r="R567">
        <f t="shared" si="436"/>
        <v>1.5674772587268753</v>
      </c>
      <c r="S567">
        <f t="shared" si="437"/>
        <v>0.11661143097432462</v>
      </c>
      <c r="T567">
        <f t="shared" si="438"/>
        <v>-1.4539189806342538</v>
      </c>
      <c r="U567">
        <f t="shared" si="439"/>
        <v>0.11511317938422273</v>
      </c>
      <c r="V567">
        <f t="shared" si="440"/>
        <v>-1.4554273910868074</v>
      </c>
      <c r="X567">
        <f t="shared" si="457"/>
        <v>-71.685806473176427</v>
      </c>
      <c r="Y567">
        <f t="shared" si="441"/>
        <v>-244.73732559389595</v>
      </c>
      <c r="Z567">
        <f t="shared" si="458"/>
        <v>-64.737325593895946</v>
      </c>
      <c r="AC567">
        <v>1</v>
      </c>
      <c r="AD567">
        <f t="shared" si="442"/>
        <v>346.6123883133975</v>
      </c>
      <c r="AE567">
        <f t="shared" si="443"/>
        <v>-0.46126436499370005</v>
      </c>
      <c r="AF567">
        <f t="shared" si="444"/>
        <v>5.3452942302689994E-2</v>
      </c>
      <c r="AG567">
        <f t="shared" si="473"/>
        <v>83.786371490457597</v>
      </c>
      <c r="AH567">
        <f t="shared" si="474"/>
        <v>-741.73030955261231</v>
      </c>
      <c r="AJ567">
        <f t="shared" si="445"/>
        <v>26400</v>
      </c>
      <c r="AK567">
        <f t="shared" si="446"/>
        <v>224848.36011939842</v>
      </c>
      <c r="AL567">
        <v>1</v>
      </c>
      <c r="AM567">
        <f t="shared" si="447"/>
        <v>301.28828557665605</v>
      </c>
      <c r="AN567">
        <f t="shared" si="475"/>
        <v>746.57235834465087</v>
      </c>
      <c r="AO567">
        <f t="shared" si="476"/>
        <v>-85.14578518230644</v>
      </c>
      <c r="AQ567">
        <f t="shared" si="448"/>
        <v>8.0251018766620483E-4</v>
      </c>
      <c r="AR567">
        <f t="shared" si="449"/>
        <v>-2.8328609624617034</v>
      </c>
      <c r="AT567">
        <f t="shared" si="470"/>
        <v>-2101.1515991895217</v>
      </c>
      <c r="AU567">
        <f t="shared" si="471"/>
        <v>-237.95038711154831</v>
      </c>
      <c r="AV567">
        <f t="shared" si="459"/>
        <v>-3.0288254908714562</v>
      </c>
      <c r="AW567">
        <f t="shared" si="460"/>
        <v>589.37505289765375</v>
      </c>
      <c r="AX567">
        <f t="shared" si="461"/>
        <v>-3292.4359914815786</v>
      </c>
      <c r="AY567">
        <f t="shared" si="469"/>
        <v>-1.3936636363198276</v>
      </c>
      <c r="BA567">
        <f t="shared" si="450"/>
        <v>0.632205280598514</v>
      </c>
      <c r="BB567">
        <f t="shared" si="462"/>
        <v>-3.9828376193049908</v>
      </c>
      <c r="BC567">
        <f t="shared" si="463"/>
        <v>-1.6351618545516287</v>
      </c>
      <c r="BD567">
        <f t="shared" si="451"/>
        <v>-273.68787319364691</v>
      </c>
      <c r="BF567">
        <f t="shared" si="452"/>
        <v>-75.611067247462088</v>
      </c>
      <c r="BG567">
        <f t="shared" si="453"/>
        <v>-261.37646025866962</v>
      </c>
      <c r="BH567">
        <f t="shared" si="464"/>
        <v>-81.376460258669624</v>
      </c>
      <c r="BI567">
        <f t="shared" si="465"/>
        <v>-81.376460258669624</v>
      </c>
      <c r="BJ567">
        <f t="shared" si="454"/>
        <v>0</v>
      </c>
      <c r="BK567">
        <f t="shared" si="466"/>
        <v>0</v>
      </c>
      <c r="BM567">
        <f t="shared" si="467"/>
        <v>-71.628229628157115</v>
      </c>
      <c r="BN567">
        <f t="shared" si="455"/>
        <v>-167.68858706502274</v>
      </c>
      <c r="BQ567" s="56">
        <f t="shared" si="468"/>
        <v>12.919123180980145</v>
      </c>
    </row>
    <row r="568" spans="1:69" x14ac:dyDescent="0.2">
      <c r="A568">
        <f t="shared" si="472"/>
        <v>1770000</v>
      </c>
      <c r="B568">
        <f t="shared" si="456"/>
        <v>1770</v>
      </c>
      <c r="C568">
        <f t="shared" si="425"/>
        <v>1.0234811438682254</v>
      </c>
      <c r="D568">
        <f t="shared" si="426"/>
        <v>0.21461917865377386</v>
      </c>
      <c r="F568">
        <f t="shared" si="427"/>
        <v>1.6983055727546014E-5</v>
      </c>
      <c r="G568">
        <f t="shared" si="428"/>
        <v>8.4102761721365242E-4</v>
      </c>
      <c r="H568">
        <f t="shared" si="429"/>
        <v>-3.1407516223827865</v>
      </c>
      <c r="J568">
        <f t="shared" si="430"/>
        <v>15</v>
      </c>
      <c r="M568">
        <f t="shared" si="431"/>
        <v>7.0663623041085117E-4</v>
      </c>
      <c r="N568">
        <f t="shared" si="432"/>
        <v>-1.5707963250000001</v>
      </c>
      <c r="O568">
        <f t="shared" si="433"/>
        <v>347.59573155177804</v>
      </c>
      <c r="P568">
        <f t="shared" si="434"/>
        <v>1.5679194175331761</v>
      </c>
      <c r="Q568">
        <f t="shared" si="435"/>
        <v>302.14344831543769</v>
      </c>
      <c r="R568">
        <f t="shared" si="436"/>
        <v>1.5674866345568064</v>
      </c>
      <c r="S568">
        <f t="shared" si="437"/>
        <v>0.11628648084912691</v>
      </c>
      <c r="T568">
        <f t="shared" si="438"/>
        <v>-1.4542461566447973</v>
      </c>
      <c r="U568">
        <f t="shared" si="439"/>
        <v>0.11479229186516278</v>
      </c>
      <c r="V568">
        <f t="shared" si="440"/>
        <v>-1.4557504199780442</v>
      </c>
      <c r="X568">
        <f t="shared" si="457"/>
        <v>-71.757751780954308</v>
      </c>
      <c r="Y568">
        <f t="shared" si="441"/>
        <v>-244.74002789226569</v>
      </c>
      <c r="Z568">
        <f t="shared" si="458"/>
        <v>-64.740027892265687</v>
      </c>
      <c r="AC568">
        <v>1</v>
      </c>
      <c r="AD568">
        <f t="shared" si="442"/>
        <v>347.59429309615501</v>
      </c>
      <c r="AE568">
        <f t="shared" si="443"/>
        <v>-0.46388146252317664</v>
      </c>
      <c r="AF568">
        <f t="shared" si="444"/>
        <v>5.3604367068419999E-2</v>
      </c>
      <c r="AG568">
        <f t="shared" si="473"/>
        <v>83.319899666025208</v>
      </c>
      <c r="AH568">
        <f t="shared" si="474"/>
        <v>-739.68892989167455</v>
      </c>
      <c r="AJ568">
        <f t="shared" si="445"/>
        <v>26400</v>
      </c>
      <c r="AK568">
        <f t="shared" si="446"/>
        <v>225485.3243123712</v>
      </c>
      <c r="AL568">
        <v>1</v>
      </c>
      <c r="AM568">
        <f t="shared" si="447"/>
        <v>302.14179346780804</v>
      </c>
      <c r="AN568">
        <f t="shared" si="475"/>
        <v>746.57076397491846</v>
      </c>
      <c r="AO568">
        <f t="shared" si="476"/>
        <v>-84.905265642299653</v>
      </c>
      <c r="AQ568">
        <f t="shared" si="448"/>
        <v>7.9798263605743592E-4</v>
      </c>
      <c r="AR568">
        <f t="shared" si="449"/>
        <v>-2.824858531643323</v>
      </c>
      <c r="AT568">
        <f t="shared" si="470"/>
        <v>-2089.4500965334455</v>
      </c>
      <c r="AU568">
        <f t="shared" si="471"/>
        <v>-235.95718834937441</v>
      </c>
      <c r="AV568">
        <f t="shared" si="459"/>
        <v>-3.029141170166469</v>
      </c>
      <c r="AW568">
        <f t="shared" si="460"/>
        <v>590.2664976553765</v>
      </c>
      <c r="AX568">
        <f t="shared" si="461"/>
        <v>-3283.1840078688456</v>
      </c>
      <c r="AY568">
        <f t="shared" si="469"/>
        <v>-1.3929118670803</v>
      </c>
      <c r="BA568">
        <f t="shared" si="450"/>
        <v>0.6303485754886381</v>
      </c>
      <c r="BB568">
        <f t="shared" si="462"/>
        <v>-4.0083844856392119</v>
      </c>
      <c r="BC568">
        <f t="shared" si="463"/>
        <v>-1.636229303086169</v>
      </c>
      <c r="BD568">
        <f t="shared" si="451"/>
        <v>-273.74903348959339</v>
      </c>
      <c r="BF568">
        <f t="shared" si="452"/>
        <v>-75.684645694121073</v>
      </c>
      <c r="BG568">
        <f t="shared" si="453"/>
        <v>-261.40407300314143</v>
      </c>
      <c r="BH568">
        <f t="shared" si="464"/>
        <v>-81.404073003141434</v>
      </c>
      <c r="BI568">
        <f t="shared" si="465"/>
        <v>-81.404073003141434</v>
      </c>
      <c r="BJ568">
        <f t="shared" si="454"/>
        <v>0</v>
      </c>
      <c r="BK568">
        <f t="shared" si="466"/>
        <v>0</v>
      </c>
      <c r="BM568">
        <f t="shared" si="467"/>
        <v>-71.676261208481861</v>
      </c>
      <c r="BN568">
        <f t="shared" si="455"/>
        <v>-167.65503951354808</v>
      </c>
      <c r="BQ568" s="56">
        <f t="shared" si="468"/>
        <v>12.893576314645925</v>
      </c>
    </row>
    <row r="569" spans="1:69" x14ac:dyDescent="0.2">
      <c r="A569">
        <f t="shared" si="472"/>
        <v>1775000</v>
      </c>
      <c r="B569">
        <f t="shared" si="456"/>
        <v>1775</v>
      </c>
      <c r="C569">
        <f t="shared" si="425"/>
        <v>1.023612460707455</v>
      </c>
      <c r="D569">
        <f t="shared" si="426"/>
        <v>0.21520692584003601</v>
      </c>
      <c r="F569">
        <f t="shared" si="427"/>
        <v>1.688750971894793E-5</v>
      </c>
      <c r="G569">
        <f t="shared" si="428"/>
        <v>8.3865844627214559E-4</v>
      </c>
      <c r="H569">
        <f t="shared" si="429"/>
        <v>-3.1407539915537281</v>
      </c>
      <c r="J569">
        <f t="shared" si="430"/>
        <v>15</v>
      </c>
      <c r="M569">
        <f t="shared" si="431"/>
        <v>7.0464570581814465E-4</v>
      </c>
      <c r="N569">
        <f t="shared" si="432"/>
        <v>-1.5707963250000001</v>
      </c>
      <c r="O569">
        <f t="shared" si="433"/>
        <v>348.57763228256454</v>
      </c>
      <c r="P569">
        <f t="shared" si="434"/>
        <v>1.5679275214584008</v>
      </c>
      <c r="Q569">
        <f t="shared" si="435"/>
        <v>302.99695154507248</v>
      </c>
      <c r="R569">
        <f t="shared" si="436"/>
        <v>1.5674959575657372</v>
      </c>
      <c r="S569">
        <f t="shared" si="437"/>
        <v>0.11596332439746677</v>
      </c>
      <c r="T569">
        <f t="shared" si="438"/>
        <v>-1.4545715142664404</v>
      </c>
      <c r="U569">
        <f t="shared" si="439"/>
        <v>0.11447317652845872</v>
      </c>
      <c r="V569">
        <f t="shared" si="440"/>
        <v>-1.4560716529027278</v>
      </c>
      <c r="X569">
        <f t="shared" si="457"/>
        <v>-71.829491785110932</v>
      </c>
      <c r="Y569">
        <f t="shared" si="441"/>
        <v>-244.74253662217151</v>
      </c>
      <c r="Z569">
        <f t="shared" si="458"/>
        <v>-64.742536622171514</v>
      </c>
      <c r="AC569">
        <v>1</v>
      </c>
      <c r="AD569">
        <f t="shared" si="442"/>
        <v>348.57619787891252</v>
      </c>
      <c r="AE569">
        <f t="shared" si="443"/>
        <v>-0.46650596344028961</v>
      </c>
      <c r="AF569">
        <f t="shared" si="444"/>
        <v>5.3755791834149996E-2</v>
      </c>
      <c r="AG569">
        <f t="shared" si="473"/>
        <v>82.857295426522256</v>
      </c>
      <c r="AH569">
        <f t="shared" si="474"/>
        <v>-737.65860529684221</v>
      </c>
      <c r="AJ569">
        <f t="shared" si="445"/>
        <v>26400</v>
      </c>
      <c r="AK569">
        <f t="shared" si="446"/>
        <v>226122.28850534404</v>
      </c>
      <c r="AL569">
        <v>1</v>
      </c>
      <c r="AM569">
        <f t="shared" si="447"/>
        <v>302.99530135896003</v>
      </c>
      <c r="AN569">
        <f t="shared" si="475"/>
        <v>746.56918305955196</v>
      </c>
      <c r="AO569">
        <f t="shared" si="476"/>
        <v>-84.666101097550353</v>
      </c>
      <c r="AQ569">
        <f t="shared" si="448"/>
        <v>7.9349329152999073E-4</v>
      </c>
      <c r="AR569">
        <f t="shared" si="449"/>
        <v>-2.8169011849314671</v>
      </c>
      <c r="AT569">
        <f t="shared" si="470"/>
        <v>-2077.8456526274931</v>
      </c>
      <c r="AU569">
        <f t="shared" si="471"/>
        <v>-233.98614082192958</v>
      </c>
      <c r="AV569">
        <f t="shared" si="459"/>
        <v>-3.0294550949007255</v>
      </c>
      <c r="AW569">
        <f t="shared" si="460"/>
        <v>591.15035143525438</v>
      </c>
      <c r="AX569">
        <f t="shared" si="461"/>
        <v>-3273.9837463242548</v>
      </c>
      <c r="AY569">
        <f t="shared" si="469"/>
        <v>-1.3921610616493203</v>
      </c>
      <c r="BA569">
        <f t="shared" si="450"/>
        <v>0.62850196217847343</v>
      </c>
      <c r="BB569">
        <f t="shared" si="462"/>
        <v>-4.0338672422349866</v>
      </c>
      <c r="BC569">
        <f t="shared" si="463"/>
        <v>-1.6372940332514052</v>
      </c>
      <c r="BD569">
        <f t="shared" si="451"/>
        <v>-273.8100380344514</v>
      </c>
      <c r="BF569">
        <f t="shared" si="452"/>
        <v>-75.758018541095581</v>
      </c>
      <c r="BG569">
        <f t="shared" si="453"/>
        <v>-261.43153785826348</v>
      </c>
      <c r="BH569">
        <f t="shared" si="464"/>
        <v>-81.431537858263482</v>
      </c>
      <c r="BI569">
        <f t="shared" si="465"/>
        <v>-81.431537858263482</v>
      </c>
      <c r="BJ569">
        <f t="shared" si="454"/>
        <v>0</v>
      </c>
      <c r="BK569">
        <f t="shared" si="466"/>
        <v>0</v>
      </c>
      <c r="BM569">
        <f t="shared" si="467"/>
        <v>-71.724151298860605</v>
      </c>
      <c r="BN569">
        <f t="shared" si="455"/>
        <v>-167.62149982381214</v>
      </c>
      <c r="BQ569" s="56">
        <f t="shared" si="468"/>
        <v>12.868093558050148</v>
      </c>
    </row>
    <row r="570" spans="1:69" x14ac:dyDescent="0.2">
      <c r="A570">
        <f t="shared" si="472"/>
        <v>1780000</v>
      </c>
      <c r="B570">
        <f t="shared" si="456"/>
        <v>1780</v>
      </c>
      <c r="C570">
        <f t="shared" si="425"/>
        <v>1.0237441310595021</v>
      </c>
      <c r="D570">
        <f t="shared" si="426"/>
        <v>0.21579452204130611</v>
      </c>
      <c r="F570">
        <f t="shared" si="427"/>
        <v>1.6792767759627803E-5</v>
      </c>
      <c r="G570">
        <f t="shared" si="428"/>
        <v>8.3630258594321065E-4</v>
      </c>
      <c r="H570">
        <f t="shared" si="429"/>
        <v>-3.1407563474140572</v>
      </c>
      <c r="J570">
        <f t="shared" si="430"/>
        <v>15</v>
      </c>
      <c r="M570">
        <f t="shared" si="431"/>
        <v>7.0266636394786892E-4</v>
      </c>
      <c r="N570">
        <f t="shared" si="432"/>
        <v>-1.5707963250000001</v>
      </c>
      <c r="O570">
        <f t="shared" si="433"/>
        <v>349.55953303611483</v>
      </c>
      <c r="P570">
        <f t="shared" si="434"/>
        <v>1.567935579856329</v>
      </c>
      <c r="Q570">
        <f t="shared" si="435"/>
        <v>303.85045480089536</v>
      </c>
      <c r="R570">
        <f t="shared" si="436"/>
        <v>1.5675052281987822</v>
      </c>
      <c r="S570">
        <f t="shared" si="437"/>
        <v>0.1156419469115033</v>
      </c>
      <c r="T570">
        <f t="shared" si="438"/>
        <v>-1.4548950685483073</v>
      </c>
      <c r="U570">
        <f t="shared" si="439"/>
        <v>0.11415581883218008</v>
      </c>
      <c r="V570">
        <f t="shared" si="440"/>
        <v>-1.4563911047313329</v>
      </c>
      <c r="X570">
        <f t="shared" si="457"/>
        <v>-71.901027596811019</v>
      </c>
      <c r="Y570">
        <f t="shared" si="441"/>
        <v>-244.74485347663082</v>
      </c>
      <c r="Z570">
        <f t="shared" si="458"/>
        <v>-64.744853476630823</v>
      </c>
      <c r="AC570">
        <v>1</v>
      </c>
      <c r="AD570">
        <f t="shared" si="442"/>
        <v>349.55810266166998</v>
      </c>
      <c r="AE570">
        <f t="shared" si="443"/>
        <v>-0.46913786774503902</v>
      </c>
      <c r="AF570">
        <f t="shared" si="444"/>
        <v>5.3907216599880001E-2</v>
      </c>
      <c r="AG570">
        <f t="shared" si="473"/>
        <v>82.398516323897113</v>
      </c>
      <c r="AH570">
        <f t="shared" si="474"/>
        <v>-735.63924748502336</v>
      </c>
      <c r="AJ570">
        <f t="shared" si="445"/>
        <v>26400</v>
      </c>
      <c r="AK570">
        <f t="shared" si="446"/>
        <v>226759.25269831682</v>
      </c>
      <c r="AL570">
        <v>1</v>
      </c>
      <c r="AM570">
        <f t="shared" si="447"/>
        <v>303.84880925011203</v>
      </c>
      <c r="AN570">
        <f t="shared" si="475"/>
        <v>746.56761544759365</v>
      </c>
      <c r="AO570">
        <f t="shared" si="476"/>
        <v>-84.428280130055995</v>
      </c>
      <c r="AQ570">
        <f t="shared" si="448"/>
        <v>7.8904172539438473E-4</v>
      </c>
      <c r="AR570">
        <f t="shared" si="449"/>
        <v>-2.8089885424040095</v>
      </c>
      <c r="AT570">
        <f t="shared" si="470"/>
        <v>-2066.3372016606481</v>
      </c>
      <c r="AU570">
        <f t="shared" si="471"/>
        <v>-232.03693832602016</v>
      </c>
      <c r="AV570">
        <f t="shared" si="459"/>
        <v>-3.0297672795957804</v>
      </c>
      <c r="AW570">
        <f t="shared" si="460"/>
        <v>592.02670034759262</v>
      </c>
      <c r="AX570">
        <f t="shared" si="461"/>
        <v>-3264.8347753749854</v>
      </c>
      <c r="AY570">
        <f t="shared" si="469"/>
        <v>-1.3914112135336589</v>
      </c>
      <c r="BA570">
        <f t="shared" si="450"/>
        <v>0.62666535764691766</v>
      </c>
      <c r="BB570">
        <f t="shared" si="462"/>
        <v>-4.0592862527573361</v>
      </c>
      <c r="BC570">
        <f t="shared" si="463"/>
        <v>-1.6383560660621215</v>
      </c>
      <c r="BD570">
        <f t="shared" si="451"/>
        <v>-273.87088803227937</v>
      </c>
      <c r="BF570">
        <f t="shared" si="452"/>
        <v>-75.831186934286691</v>
      </c>
      <c r="BG570">
        <f t="shared" si="453"/>
        <v>-261.45885605451645</v>
      </c>
      <c r="BH570">
        <f t="shared" si="464"/>
        <v>-81.458856054516446</v>
      </c>
      <c r="BI570">
        <f t="shared" si="465"/>
        <v>-81.458856054516446</v>
      </c>
      <c r="BJ570">
        <f t="shared" si="454"/>
        <v>0</v>
      </c>
      <c r="BK570">
        <f t="shared" si="466"/>
        <v>0</v>
      </c>
      <c r="BM570">
        <f t="shared" si="467"/>
        <v>-71.77190068152936</v>
      </c>
      <c r="BN570">
        <f t="shared" si="455"/>
        <v>-167.58796802223713</v>
      </c>
      <c r="BQ570" s="56">
        <f t="shared" si="468"/>
        <v>12.842674547527801</v>
      </c>
    </row>
    <row r="571" spans="1:69" x14ac:dyDescent="0.2">
      <c r="A571">
        <f t="shared" si="472"/>
        <v>1785000</v>
      </c>
      <c r="B571">
        <f t="shared" si="456"/>
        <v>1785</v>
      </c>
      <c r="C571">
        <f t="shared" si="425"/>
        <v>1.0238761547879816</v>
      </c>
      <c r="D571">
        <f t="shared" si="426"/>
        <v>0.21638196691015466</v>
      </c>
      <c r="F571">
        <f t="shared" si="427"/>
        <v>1.6698820853013574E-5</v>
      </c>
      <c r="G571">
        <f t="shared" si="428"/>
        <v>8.3395992436555806E-4</v>
      </c>
      <c r="H571">
        <f t="shared" si="429"/>
        <v>-3.1407586900756348</v>
      </c>
      <c r="J571">
        <f t="shared" si="430"/>
        <v>15</v>
      </c>
      <c r="M571">
        <f t="shared" si="431"/>
        <v>7.0069811082756677E-4</v>
      </c>
      <c r="N571">
        <f t="shared" si="432"/>
        <v>-1.5707963250000001</v>
      </c>
      <c r="O571">
        <f t="shared" si="433"/>
        <v>350.54143381223753</v>
      </c>
      <c r="P571">
        <f t="shared" si="434"/>
        <v>1.5679435931095396</v>
      </c>
      <c r="Q571">
        <f t="shared" si="435"/>
        <v>304.70395808268626</v>
      </c>
      <c r="R571">
        <f t="shared" si="436"/>
        <v>1.5675144468960687</v>
      </c>
      <c r="S571">
        <f t="shared" si="437"/>
        <v>0.11532233384262144</v>
      </c>
      <c r="T571">
        <f t="shared" si="438"/>
        <v>-1.4552168343746696</v>
      </c>
      <c r="U571">
        <f t="shared" si="439"/>
        <v>0.11384020439196828</v>
      </c>
      <c r="V571">
        <f t="shared" si="440"/>
        <v>-1.4567087901713449</v>
      </c>
      <c r="X571">
        <f t="shared" si="457"/>
        <v>-71.972360318220467</v>
      </c>
      <c r="Y571">
        <f t="shared" si="441"/>
        <v>-244.74698013030411</v>
      </c>
      <c r="Z571">
        <f t="shared" si="458"/>
        <v>-64.746980130304109</v>
      </c>
      <c r="AC571">
        <v>1</v>
      </c>
      <c r="AD571">
        <f t="shared" si="442"/>
        <v>350.54000744442749</v>
      </c>
      <c r="AE571">
        <f t="shared" si="443"/>
        <v>-0.47177717543742492</v>
      </c>
      <c r="AF571">
        <f t="shared" si="444"/>
        <v>5.4058641365609998E-2</v>
      </c>
      <c r="AG571">
        <f t="shared" si="473"/>
        <v>81.943520488238235</v>
      </c>
      <c r="AH571">
        <f t="shared" si="474"/>
        <v>-733.63076909604615</v>
      </c>
      <c r="AJ571">
        <f t="shared" si="445"/>
        <v>26400</v>
      </c>
      <c r="AK571">
        <f t="shared" si="446"/>
        <v>227396.21689128963</v>
      </c>
      <c r="AL571">
        <v>1</v>
      </c>
      <c r="AM571">
        <f t="shared" si="447"/>
        <v>304.70231714126402</v>
      </c>
      <c r="AN571">
        <f t="shared" si="475"/>
        <v>746.56606099019734</v>
      </c>
      <c r="AO571">
        <f t="shared" si="476"/>
        <v>-84.191791449739895</v>
      </c>
      <c r="AQ571">
        <f t="shared" si="448"/>
        <v>7.8462751495676579E-4</v>
      </c>
      <c r="AR571">
        <f t="shared" si="449"/>
        <v>-2.801120228395654</v>
      </c>
      <c r="AT571">
        <f t="shared" si="470"/>
        <v>-2054.9236923475482</v>
      </c>
      <c r="AU571">
        <f t="shared" si="471"/>
        <v>-230.1092797128095</v>
      </c>
      <c r="AV571">
        <f t="shared" si="459"/>
        <v>-3.0300777386141067</v>
      </c>
      <c r="AW571">
        <f t="shared" si="460"/>
        <v>592.89562928296607</v>
      </c>
      <c r="AX571">
        <f t="shared" si="461"/>
        <v>-3255.7366683232258</v>
      </c>
      <c r="AY571">
        <f t="shared" si="469"/>
        <v>-1.3906623163195095</v>
      </c>
      <c r="BA571">
        <f t="shared" si="450"/>
        <v>0.62483867977941832</v>
      </c>
      <c r="BB571">
        <f t="shared" si="462"/>
        <v>-4.0846418779156828</v>
      </c>
      <c r="BC571">
        <f t="shared" si="463"/>
        <v>-1.6394154222945971</v>
      </c>
      <c r="BD571">
        <f t="shared" si="451"/>
        <v>-273.93158467347047</v>
      </c>
      <c r="BF571">
        <f t="shared" si="452"/>
        <v>-75.904152010080324</v>
      </c>
      <c r="BG571">
        <f t="shared" si="453"/>
        <v>-261.48602880860886</v>
      </c>
      <c r="BH571">
        <f t="shared" si="464"/>
        <v>-81.486028808608864</v>
      </c>
      <c r="BI571">
        <f t="shared" si="465"/>
        <v>-81.486028808608864</v>
      </c>
      <c r="BJ571">
        <f t="shared" si="454"/>
        <v>0</v>
      </c>
      <c r="BK571">
        <f t="shared" si="466"/>
        <v>0</v>
      </c>
      <c r="BM571">
        <f t="shared" si="467"/>
        <v>-71.819510132164652</v>
      </c>
      <c r="BN571">
        <f t="shared" si="455"/>
        <v>-167.5544441351384</v>
      </c>
      <c r="BQ571" s="56">
        <f t="shared" si="468"/>
        <v>12.817318922369454</v>
      </c>
    </row>
    <row r="572" spans="1:69" x14ac:dyDescent="0.2">
      <c r="A572">
        <f t="shared" si="472"/>
        <v>1790000</v>
      </c>
      <c r="B572">
        <f t="shared" si="456"/>
        <v>1790</v>
      </c>
      <c r="C572">
        <f t="shared" si="425"/>
        <v>1.0240085317562124</v>
      </c>
      <c r="D572">
        <f t="shared" si="426"/>
        <v>0.21696926009974898</v>
      </c>
      <c r="F572">
        <f t="shared" si="427"/>
        <v>1.6605660128011998E-5</v>
      </c>
      <c r="G572">
        <f t="shared" si="428"/>
        <v>8.3163035092784774E-4</v>
      </c>
      <c r="H572">
        <f t="shared" si="429"/>
        <v>-3.1407610196490725</v>
      </c>
      <c r="J572">
        <f t="shared" si="430"/>
        <v>15</v>
      </c>
      <c r="M572">
        <f t="shared" si="431"/>
        <v>6.9874085353475242E-4</v>
      </c>
      <c r="N572">
        <f t="shared" si="432"/>
        <v>-1.5707963250000001</v>
      </c>
      <c r="O572">
        <f t="shared" si="433"/>
        <v>351.52333461074358</v>
      </c>
      <c r="P572">
        <f t="shared" si="434"/>
        <v>1.5679515615963355</v>
      </c>
      <c r="Q572">
        <f t="shared" si="435"/>
        <v>305.55746139022762</v>
      </c>
      <c r="R572">
        <f t="shared" si="436"/>
        <v>1.5675236140928062</v>
      </c>
      <c r="S572">
        <f t="shared" si="437"/>
        <v>0.11500447079929906</v>
      </c>
      <c r="T572">
        <f t="shared" si="438"/>
        <v>-1.455536826467188</v>
      </c>
      <c r="U572">
        <f t="shared" si="439"/>
        <v>0.11352631897892326</v>
      </c>
      <c r="V572">
        <f t="shared" si="440"/>
        <v>-1.4570247237694745</v>
      </c>
      <c r="X572">
        <f t="shared" si="457"/>
        <v>-72.043491042602568</v>
      </c>
      <c r="Y572">
        <f t="shared" si="441"/>
        <v>-244.74891823974437</v>
      </c>
      <c r="Z572">
        <f t="shared" si="458"/>
        <v>-64.74891823974437</v>
      </c>
      <c r="AC572">
        <v>1</v>
      </c>
      <c r="AD572">
        <f t="shared" si="442"/>
        <v>351.521912227185</v>
      </c>
      <c r="AE572">
        <f t="shared" si="443"/>
        <v>-0.47442388651744721</v>
      </c>
      <c r="AF572">
        <f t="shared" si="444"/>
        <v>5.4210066131340003E-2</v>
      </c>
      <c r="AG572">
        <f t="shared" si="473"/>
        <v>81.492266618394154</v>
      </c>
      <c r="AH572">
        <f t="shared" si="474"/>
        <v>-731.63308368084051</v>
      </c>
      <c r="AJ572">
        <f t="shared" si="445"/>
        <v>26400</v>
      </c>
      <c r="AK572">
        <f t="shared" si="446"/>
        <v>228033.18108426241</v>
      </c>
      <c r="AL572">
        <v>1</v>
      </c>
      <c r="AM572">
        <f t="shared" si="447"/>
        <v>305.55582503241607</v>
      </c>
      <c r="AN572">
        <f t="shared" si="475"/>
        <v>746.56451954059253</v>
      </c>
      <c r="AO572">
        <f t="shared" si="476"/>
        <v>-83.95662389266468</v>
      </c>
      <c r="AQ572">
        <f t="shared" si="448"/>
        <v>7.8025024341856972E-4</v>
      </c>
      <c r="AR572">
        <f t="shared" si="449"/>
        <v>-2.7932958714384797</v>
      </c>
      <c r="AT572">
        <f t="shared" si="470"/>
        <v>-2043.6040876926299</v>
      </c>
      <c r="AU572">
        <f t="shared" si="471"/>
        <v>-228.20286879095929</v>
      </c>
      <c r="AV572">
        <f t="shared" si="459"/>
        <v>-3.0303864861612584</v>
      </c>
      <c r="AW572">
        <f t="shared" si="460"/>
        <v>593.75722193292518</v>
      </c>
      <c r="AX572">
        <f t="shared" si="461"/>
        <v>-3246.6890031804423</v>
      </c>
      <c r="AY572">
        <f t="shared" si="469"/>
        <v>-1.3899143636713205</v>
      </c>
      <c r="BA572">
        <f t="shared" si="450"/>
        <v>0.62302184735571264</v>
      </c>
      <c r="BB572">
        <f t="shared" si="462"/>
        <v>-4.1099344754949936</v>
      </c>
      <c r="BC572">
        <f t="shared" si="463"/>
        <v>-1.6404721224899379</v>
      </c>
      <c r="BD572">
        <f t="shared" si="451"/>
        <v>-273.9921291349433</v>
      </c>
      <c r="BF572">
        <f t="shared" si="452"/>
        <v>-75.976914895451927</v>
      </c>
      <c r="BG572">
        <f t="shared" si="453"/>
        <v>-261.51305732366893</v>
      </c>
      <c r="BH572">
        <f t="shared" si="464"/>
        <v>-81.513057323668932</v>
      </c>
      <c r="BI572">
        <f t="shared" si="465"/>
        <v>-81.513057323668932</v>
      </c>
      <c r="BJ572">
        <f t="shared" si="454"/>
        <v>0</v>
      </c>
      <c r="BK572">
        <f t="shared" si="466"/>
        <v>0</v>
      </c>
      <c r="BM572">
        <f t="shared" si="467"/>
        <v>-71.866980419956931</v>
      </c>
      <c r="BN572">
        <f t="shared" si="455"/>
        <v>-167.52092818872561</v>
      </c>
      <c r="BQ572" s="56">
        <f t="shared" si="468"/>
        <v>12.792026324790145</v>
      </c>
    </row>
    <row r="573" spans="1:69" x14ac:dyDescent="0.2">
      <c r="A573">
        <f t="shared" si="472"/>
        <v>1795000</v>
      </c>
      <c r="B573">
        <f t="shared" si="456"/>
        <v>1795</v>
      </c>
      <c r="C573">
        <f t="shared" si="425"/>
        <v>1.024141261827219</v>
      </c>
      <c r="D573">
        <f t="shared" si="426"/>
        <v>0.21755640126385387</v>
      </c>
      <c r="F573">
        <f t="shared" si="427"/>
        <v>1.651327683691434E-5</v>
      </c>
      <c r="G573">
        <f t="shared" si="428"/>
        <v>8.2931375625127843E-4</v>
      </c>
      <c r="H573">
        <f t="shared" si="429"/>
        <v>-3.140763336243749</v>
      </c>
      <c r="J573">
        <f t="shared" si="430"/>
        <v>15</v>
      </c>
      <c r="M573">
        <f t="shared" si="431"/>
        <v>6.9679450018228788E-4</v>
      </c>
      <c r="N573">
        <f t="shared" si="432"/>
        <v>-1.5707963250000001</v>
      </c>
      <c r="O573">
        <f t="shared" si="433"/>
        <v>352.50523543144584</v>
      </c>
      <c r="P573">
        <f t="shared" si="434"/>
        <v>1.5679594856908057</v>
      </c>
      <c r="Q573">
        <f t="shared" si="435"/>
        <v>306.41096472330412</v>
      </c>
      <c r="R573">
        <f t="shared" si="436"/>
        <v>1.5675327302193551</v>
      </c>
      <c r="S573">
        <f t="shared" si="437"/>
        <v>0.11468834354500787</v>
      </c>
      <c r="T573">
        <f t="shared" si="438"/>
        <v>-1.4558550593871151</v>
      </c>
      <c r="U573">
        <f t="shared" si="439"/>
        <v>0.11321414851752422</v>
      </c>
      <c r="V573">
        <f t="shared" si="440"/>
        <v>-1.4573389199138402</v>
      </c>
      <c r="X573">
        <f t="shared" si="457"/>
        <v>-72.114420854413126</v>
      </c>
      <c r="Y573">
        <f t="shared" si="441"/>
        <v>-244.75066944364164</v>
      </c>
      <c r="Z573">
        <f t="shared" si="458"/>
        <v>-64.750669443641641</v>
      </c>
      <c r="AC573">
        <v>1</v>
      </c>
      <c r="AD573">
        <f t="shared" si="442"/>
        <v>352.50381700994251</v>
      </c>
      <c r="AE573">
        <f t="shared" si="443"/>
        <v>-0.47707800098510594</v>
      </c>
      <c r="AF573">
        <f t="shared" si="444"/>
        <v>5.4361490897069993E-2</v>
      </c>
      <c r="AG573">
        <f t="shared" si="473"/>
        <v>81.044713972769429</v>
      </c>
      <c r="AH573">
        <f t="shared" si="474"/>
        <v>-729.64610568979799</v>
      </c>
      <c r="AJ573">
        <f t="shared" si="445"/>
        <v>26400</v>
      </c>
      <c r="AK573">
        <f t="shared" si="446"/>
        <v>228670.14527723519</v>
      </c>
      <c r="AL573">
        <v>1</v>
      </c>
      <c r="AM573">
        <f t="shared" si="447"/>
        <v>306.40933292356806</v>
      </c>
      <c r="AN573">
        <f t="shared" si="475"/>
        <v>746.56299095405075</v>
      </c>
      <c r="AO573">
        <f t="shared" si="476"/>
        <v>-83.722766419275615</v>
      </c>
      <c r="AQ573">
        <f t="shared" si="448"/>
        <v>7.7590949977812869E-4</v>
      </c>
      <c r="AR573">
        <f t="shared" si="449"/>
        <v>-2.785515104203482</v>
      </c>
      <c r="AT573">
        <f t="shared" si="470"/>
        <v>-2032.3773647587043</v>
      </c>
      <c r="AU573">
        <f t="shared" si="471"/>
        <v>-226.31741423188106</v>
      </c>
      <c r="AV573">
        <f t="shared" si="459"/>
        <v>-3.0306935362879988</v>
      </c>
      <c r="AW573">
        <f t="shared" si="460"/>
        <v>594.61156081029526</v>
      </c>
      <c r="AX573">
        <f t="shared" si="461"/>
        <v>-3237.6913626027281</v>
      </c>
      <c r="AY573">
        <f t="shared" si="469"/>
        <v>-1.3891673493306445</v>
      </c>
      <c r="BA573">
        <f t="shared" si="450"/>
        <v>0.62121478003776198</v>
      </c>
      <c r="BB573">
        <f t="shared" si="462"/>
        <v>-4.135164400386576</v>
      </c>
      <c r="BC573">
        <f t="shared" si="463"/>
        <v>-1.6415261869573543</v>
      </c>
      <c r="BD573">
        <f t="shared" si="451"/>
        <v>-274.05252258032999</v>
      </c>
      <c r="BF573">
        <f t="shared" si="452"/>
        <v>-76.049476708069591</v>
      </c>
      <c r="BG573">
        <f t="shared" si="453"/>
        <v>-261.53994278943355</v>
      </c>
      <c r="BH573">
        <f t="shared" si="464"/>
        <v>-81.539942789433553</v>
      </c>
      <c r="BI573">
        <f t="shared" si="465"/>
        <v>-81.539942789433553</v>
      </c>
      <c r="BJ573">
        <f t="shared" si="454"/>
        <v>0</v>
      </c>
      <c r="BK573">
        <f t="shared" si="466"/>
        <v>0</v>
      </c>
      <c r="BM573">
        <f t="shared" si="467"/>
        <v>-71.914312307683005</v>
      </c>
      <c r="BN573">
        <f t="shared" si="455"/>
        <v>-167.4874202091035</v>
      </c>
      <c r="BQ573" s="56">
        <f t="shared" si="468"/>
        <v>12.766796399898562</v>
      </c>
    </row>
    <row r="574" spans="1:69" x14ac:dyDescent="0.2">
      <c r="A574">
        <f t="shared" si="472"/>
        <v>1800000</v>
      </c>
      <c r="B574">
        <f t="shared" si="456"/>
        <v>1800</v>
      </c>
      <c r="C574">
        <f t="shared" si="425"/>
        <v>1.0242743448637317</v>
      </c>
      <c r="D574">
        <f t="shared" si="426"/>
        <v>0.2181433900568327</v>
      </c>
      <c r="F574">
        <f t="shared" si="427"/>
        <v>1.6421662353342764E-5</v>
      </c>
      <c r="G574">
        <f t="shared" si="428"/>
        <v>8.2701003217246845E-4</v>
      </c>
      <c r="H574">
        <f t="shared" si="429"/>
        <v>-3.1407656399678276</v>
      </c>
      <c r="J574">
        <f t="shared" si="430"/>
        <v>15</v>
      </c>
      <c r="M574">
        <f t="shared" si="431"/>
        <v>6.9485895990400363E-4</v>
      </c>
      <c r="N574">
        <f t="shared" si="432"/>
        <v>-1.5707963250000001</v>
      </c>
      <c r="O574">
        <f t="shared" si="433"/>
        <v>353.48713627415941</v>
      </c>
      <c r="P574">
        <f t="shared" si="434"/>
        <v>1.5679673657628821</v>
      </c>
      <c r="Q574">
        <f t="shared" si="435"/>
        <v>307.26446808170311</v>
      </c>
      <c r="R574">
        <f t="shared" si="436"/>
        <v>1.5675417957012947</v>
      </c>
      <c r="S574">
        <f t="shared" si="437"/>
        <v>0.11437393799614742</v>
      </c>
      <c r="T574">
        <f t="shared" si="438"/>
        <v>-1.4561715475374661</v>
      </c>
      <c r="U574">
        <f t="shared" si="439"/>
        <v>0.11290367908358273</v>
      </c>
      <c r="V574">
        <f t="shared" si="440"/>
        <v>-1.4576513928361148</v>
      </c>
      <c r="X574">
        <f t="shared" si="457"/>
        <v>-72.185150829394104</v>
      </c>
      <c r="Y574">
        <f t="shared" si="441"/>
        <v>-244.75223536306396</v>
      </c>
      <c r="Z574">
        <f t="shared" si="458"/>
        <v>-64.75223536306396</v>
      </c>
      <c r="AC574">
        <v>1</v>
      </c>
      <c r="AD574">
        <f t="shared" si="442"/>
        <v>353.48572179269996</v>
      </c>
      <c r="AE574">
        <f t="shared" si="443"/>
        <v>-0.47973951884040106</v>
      </c>
      <c r="AF574">
        <f t="shared" si="444"/>
        <v>5.4512915662800004E-2</v>
      </c>
      <c r="AG574">
        <f t="shared" si="473"/>
        <v>80.600822360293463</v>
      </c>
      <c r="AH574">
        <f t="shared" si="474"/>
        <v>-727.6697504613046</v>
      </c>
      <c r="AJ574">
        <f t="shared" si="445"/>
        <v>26400</v>
      </c>
      <c r="AK574">
        <f t="shared" si="446"/>
        <v>229307.10947020803</v>
      </c>
      <c r="AL574">
        <v>1</v>
      </c>
      <c r="AM574">
        <f t="shared" si="447"/>
        <v>307.26284081471999</v>
      </c>
      <c r="AN574">
        <f t="shared" si="475"/>
        <v>746.56147508785023</v>
      </c>
      <c r="AO574">
        <f t="shared" si="476"/>
        <v>-83.490208112673201</v>
      </c>
      <c r="AQ574">
        <f t="shared" si="448"/>
        <v>7.7160487873419148E-4</v>
      </c>
      <c r="AR574">
        <f t="shared" si="449"/>
        <v>-2.7777775634430895</v>
      </c>
      <c r="AT574">
        <f t="shared" si="470"/>
        <v>-2021.2425144398803</v>
      </c>
      <c r="AU574">
        <f t="shared" si="471"/>
        <v>-224.4526294770485</v>
      </c>
      <c r="AV574">
        <f t="shared" si="459"/>
        <v>-3.0309989028923923</v>
      </c>
      <c r="AW574">
        <f t="shared" si="460"/>
        <v>595.45872726907055</v>
      </c>
      <c r="AX574">
        <f t="shared" si="461"/>
        <v>-3228.7433338272122</v>
      </c>
      <c r="AY574">
        <f t="shared" si="469"/>
        <v>-1.3884212671150105</v>
      </c>
      <c r="BA574">
        <f t="shared" si="450"/>
        <v>0.61941739835788212</v>
      </c>
      <c r="BB574">
        <f t="shared" si="462"/>
        <v>-4.1603320046184225</v>
      </c>
      <c r="BC574">
        <f t="shared" si="463"/>
        <v>-1.6425776357773818</v>
      </c>
      <c r="BD574">
        <f t="shared" si="451"/>
        <v>-274.11276616016039</v>
      </c>
      <c r="BF574">
        <f t="shared" si="452"/>
        <v>-76.121838556395829</v>
      </c>
      <c r="BG574">
        <f t="shared" si="453"/>
        <v>-261.56668638243337</v>
      </c>
      <c r="BH574">
        <f t="shared" si="464"/>
        <v>-81.566686382433375</v>
      </c>
      <c r="BI574">
        <f t="shared" si="465"/>
        <v>-81.566686382433375</v>
      </c>
      <c r="BJ574">
        <f t="shared" si="454"/>
        <v>0</v>
      </c>
      <c r="BK574">
        <f t="shared" si="466"/>
        <v>0</v>
      </c>
      <c r="BM574">
        <f t="shared" si="467"/>
        <v>-71.961506551777404</v>
      </c>
      <c r="BN574">
        <f t="shared" si="455"/>
        <v>-167.45392022227296</v>
      </c>
      <c r="BQ574" s="56">
        <f t="shared" si="468"/>
        <v>12.741628795666715</v>
      </c>
    </row>
    <row r="575" spans="1:69" x14ac:dyDescent="0.2">
      <c r="A575">
        <f t="shared" si="472"/>
        <v>1805000</v>
      </c>
      <c r="B575">
        <f t="shared" si="456"/>
        <v>1805</v>
      </c>
      <c r="C575">
        <f t="shared" si="425"/>
        <v>1.0244077807281868</v>
      </c>
      <c r="D575">
        <f t="shared" si="426"/>
        <v>0.21873022613364823</v>
      </c>
      <c r="F575">
        <f t="shared" si="427"/>
        <v>1.6330808170236473E-5</v>
      </c>
      <c r="G575">
        <f t="shared" si="428"/>
        <v>8.2471907172661956E-4</v>
      </c>
      <c r="H575">
        <f t="shared" si="429"/>
        <v>-3.1407679309282734</v>
      </c>
      <c r="J575">
        <f t="shared" si="430"/>
        <v>15</v>
      </c>
      <c r="M575">
        <f t="shared" si="431"/>
        <v>6.9293414284055772E-4</v>
      </c>
      <c r="N575">
        <f t="shared" si="432"/>
        <v>-1.5707963250000001</v>
      </c>
      <c r="O575">
        <f t="shared" si="433"/>
        <v>354.46903713870131</v>
      </c>
      <c r="P575">
        <f t="shared" si="434"/>
        <v>1.5679752021783979</v>
      </c>
      <c r="Q575">
        <f t="shared" si="435"/>
        <v>308.11797146521417</v>
      </c>
      <c r="R575">
        <f t="shared" si="436"/>
        <v>1.567550810959488</v>
      </c>
      <c r="S575">
        <f t="shared" si="437"/>
        <v>0.11406124022001213</v>
      </c>
      <c r="T575">
        <f t="shared" si="438"/>
        <v>-1.4564863051651515</v>
      </c>
      <c r="U575">
        <f t="shared" si="439"/>
        <v>0.11259489690222871</v>
      </c>
      <c r="V575">
        <f t="shared" si="440"/>
        <v>-1.4579621566136345</v>
      </c>
      <c r="X575">
        <f t="shared" si="457"/>
        <v>-72.255682034666165</v>
      </c>
      <c r="Y575">
        <f t="shared" si="441"/>
        <v>-244.75361760169466</v>
      </c>
      <c r="Z575">
        <f t="shared" si="458"/>
        <v>-64.753617601694657</v>
      </c>
      <c r="AC575">
        <v>1</v>
      </c>
      <c r="AD575">
        <f t="shared" si="442"/>
        <v>354.46762657545747</v>
      </c>
      <c r="AE575">
        <f t="shared" si="443"/>
        <v>-0.48240844008333261</v>
      </c>
      <c r="AF575">
        <f t="shared" si="444"/>
        <v>5.4664340428529995E-2</v>
      </c>
      <c r="AG575">
        <f t="shared" si="473"/>
        <v>80.160552131557665</v>
      </c>
      <c r="AH575">
        <f t="shared" si="474"/>
        <v>-725.70393421044673</v>
      </c>
      <c r="AJ575">
        <f t="shared" si="445"/>
        <v>26400</v>
      </c>
      <c r="AK575">
        <f t="shared" si="446"/>
        <v>229944.07366318081</v>
      </c>
      <c r="AL575">
        <v>1</v>
      </c>
      <c r="AM575">
        <f t="shared" si="447"/>
        <v>308.11634870587204</v>
      </c>
      <c r="AN575">
        <f t="shared" si="475"/>
        <v>746.55997180124268</v>
      </c>
      <c r="AO575">
        <f t="shared" si="476"/>
        <v>-83.258938176914256</v>
      </c>
      <c r="AQ575">
        <f t="shared" si="448"/>
        <v>7.6733598059131069E-4</v>
      </c>
      <c r="AR575">
        <f t="shared" si="449"/>
        <v>-2.7700828899346313</v>
      </c>
      <c r="AT575">
        <f t="shared" si="470"/>
        <v>-2010.1985412387312</v>
      </c>
      <c r="AU575">
        <f t="shared" si="471"/>
        <v>-222.60823264731727</v>
      </c>
      <c r="AV575">
        <f t="shared" si="459"/>
        <v>-3.0313025997218657</v>
      </c>
      <c r="AW575">
        <f t="shared" si="460"/>
        <v>596.29880152392263</v>
      </c>
      <c r="AX575">
        <f t="shared" si="461"/>
        <v>-3219.8445086095026</v>
      </c>
      <c r="AY575">
        <f t="shared" si="469"/>
        <v>-1.3876761109168134</v>
      </c>
      <c r="BA575">
        <f t="shared" si="450"/>
        <v>0.61762962370706354</v>
      </c>
      <c r="BB575">
        <f t="shared" si="462"/>
        <v>-4.1854376373851725</v>
      </c>
      <c r="BC575">
        <f t="shared" si="463"/>
        <v>-1.6436264888050522</v>
      </c>
      <c r="BD575">
        <f t="shared" si="451"/>
        <v>-274.17286101204411</v>
      </c>
      <c r="BF575">
        <f t="shared" si="452"/>
        <v>-76.19400153978799</v>
      </c>
      <c r="BG575">
        <f t="shared" si="453"/>
        <v>-261.59328926617582</v>
      </c>
      <c r="BH575">
        <f t="shared" si="464"/>
        <v>-81.593289266175816</v>
      </c>
      <c r="BI575">
        <f t="shared" si="465"/>
        <v>-81.593289266175816</v>
      </c>
      <c r="BJ575">
        <f t="shared" si="454"/>
        <v>0</v>
      </c>
      <c r="BK575">
        <f t="shared" si="466"/>
        <v>0</v>
      </c>
      <c r="BM575">
        <f t="shared" si="467"/>
        <v>-72.008563902402813</v>
      </c>
      <c r="BN575">
        <f t="shared" si="455"/>
        <v>-167.42042825413171</v>
      </c>
      <c r="BQ575" s="56">
        <f t="shared" si="468"/>
        <v>12.716523162899964</v>
      </c>
    </row>
    <row r="576" spans="1:69" x14ac:dyDescent="0.2">
      <c r="A576">
        <f t="shared" si="472"/>
        <v>1810000</v>
      </c>
      <c r="B576">
        <f t="shared" si="456"/>
        <v>1810</v>
      </c>
      <c r="C576">
        <f t="shared" si="425"/>
        <v>1.0245415692827278</v>
      </c>
      <c r="D576">
        <f t="shared" si="426"/>
        <v>0.21931690914986343</v>
      </c>
      <c r="F576">
        <f t="shared" si="427"/>
        <v>1.6240705897876739E-5</v>
      </c>
      <c r="G576">
        <f t="shared" si="428"/>
        <v>8.2244076913095968E-4</v>
      </c>
      <c r="H576">
        <f t="shared" si="429"/>
        <v>-3.1407702092308694</v>
      </c>
      <c r="J576">
        <f t="shared" si="430"/>
        <v>15</v>
      </c>
      <c r="M576">
        <f t="shared" si="431"/>
        <v>6.9101996012552853E-4</v>
      </c>
      <c r="N576">
        <f t="shared" si="432"/>
        <v>-1.5707963250000001</v>
      </c>
      <c r="O576">
        <f t="shared" si="433"/>
        <v>355.45093802489072</v>
      </c>
      <c r="P576">
        <f t="shared" si="434"/>
        <v>1.567982995299144</v>
      </c>
      <c r="Q576">
        <f t="shared" si="435"/>
        <v>308.97147487362906</v>
      </c>
      <c r="R576">
        <f t="shared" si="436"/>
        <v>1.5675597764101481</v>
      </c>
      <c r="S576">
        <f t="shared" si="437"/>
        <v>0.11375023643279016</v>
      </c>
      <c r="T576">
        <f t="shared" si="438"/>
        <v>-1.4567993463630773</v>
      </c>
      <c r="U576">
        <f t="shared" si="439"/>
        <v>0.11228778834592834</v>
      </c>
      <c r="V576">
        <f t="shared" si="440"/>
        <v>-1.458271225171478</v>
      </c>
      <c r="X576">
        <f t="shared" si="457"/>
        <v>-72.326015528820051</v>
      </c>
      <c r="Y576">
        <f t="shared" si="441"/>
        <v>-244.75481774606527</v>
      </c>
      <c r="Z576">
        <f t="shared" si="458"/>
        <v>-64.754817746065271</v>
      </c>
      <c r="AC576">
        <v>1</v>
      </c>
      <c r="AD576">
        <f t="shared" si="442"/>
        <v>355.44953135821498</v>
      </c>
      <c r="AE576">
        <f t="shared" si="443"/>
        <v>-0.48508476471390055</v>
      </c>
      <c r="AF576">
        <f t="shared" si="444"/>
        <v>5.4815765194259999E-2</v>
      </c>
      <c r="AG576">
        <f t="shared" si="473"/>
        <v>79.72386417011846</v>
      </c>
      <c r="AH576">
        <f t="shared" si="474"/>
        <v>-723.74857401788483</v>
      </c>
      <c r="AJ576">
        <f t="shared" si="445"/>
        <v>26400</v>
      </c>
      <c r="AK576">
        <f t="shared" si="446"/>
        <v>230581.03785615362</v>
      </c>
      <c r="AL576">
        <v>1</v>
      </c>
      <c r="AM576">
        <f t="shared" si="447"/>
        <v>308.96985659702403</v>
      </c>
      <c r="AN576">
        <f t="shared" si="475"/>
        <v>746.5584809554224</v>
      </c>
      <c r="AO576">
        <f t="shared" si="476"/>
        <v>-83.028945935341653</v>
      </c>
      <c r="AQ576">
        <f t="shared" si="448"/>
        <v>7.6310241116705753E-4</v>
      </c>
      <c r="AR576">
        <f t="shared" si="449"/>
        <v>-2.7624307284247482</v>
      </c>
      <c r="AT576">
        <f t="shared" si="470"/>
        <v>-1999.2444630476227</v>
      </c>
      <c r="AU576">
        <f t="shared" si="471"/>
        <v>-220.78394645420781</v>
      </c>
      <c r="AV576">
        <f t="shared" si="459"/>
        <v>-3.0316046403752313</v>
      </c>
      <c r="AW576">
        <f t="shared" si="460"/>
        <v>597.13186266932303</v>
      </c>
      <c r="AX576">
        <f t="shared" si="461"/>
        <v>-3210.9944831621665</v>
      </c>
      <c r="AY576">
        <f t="shared" si="469"/>
        <v>-1.3869318747022246</v>
      </c>
      <c r="BA576">
        <f t="shared" si="450"/>
        <v>0.61585137832347514</v>
      </c>
      <c r="BB576">
        <f t="shared" si="462"/>
        <v>-4.2104816450777314</v>
      </c>
      <c r="BC576">
        <f t="shared" si="463"/>
        <v>-1.6446727656730067</v>
      </c>
      <c r="BD576">
        <f t="shared" si="451"/>
        <v>-274.23280826084857</v>
      </c>
      <c r="BF576">
        <f t="shared" si="452"/>
        <v>-76.265966748597236</v>
      </c>
      <c r="BG576">
        <f t="shared" si="453"/>
        <v>-261.61975259132407</v>
      </c>
      <c r="BH576">
        <f t="shared" si="464"/>
        <v>-81.619752591324072</v>
      </c>
      <c r="BI576">
        <f t="shared" si="465"/>
        <v>-81.619752591324072</v>
      </c>
      <c r="BJ576">
        <f t="shared" si="454"/>
        <v>0</v>
      </c>
      <c r="BK576">
        <f t="shared" si="466"/>
        <v>0</v>
      </c>
      <c r="BM576">
        <f t="shared" si="467"/>
        <v>-72.055485103519501</v>
      </c>
      <c r="BN576">
        <f t="shared" si="455"/>
        <v>-167.38694433047553</v>
      </c>
      <c r="BQ576" s="56">
        <f t="shared" si="468"/>
        <v>12.691479155207405</v>
      </c>
    </row>
    <row r="577" spans="1:69" x14ac:dyDescent="0.2">
      <c r="A577">
        <f t="shared" si="472"/>
        <v>1815000</v>
      </c>
      <c r="B577">
        <f t="shared" si="456"/>
        <v>1815</v>
      </c>
      <c r="C577">
        <f t="shared" si="425"/>
        <v>1.0246757103892059</v>
      </c>
      <c r="D577">
        <f t="shared" si="426"/>
        <v>0.21990343876164237</v>
      </c>
      <c r="F577">
        <f t="shared" si="427"/>
        <v>1.6151347261949964E-5</v>
      </c>
      <c r="G577">
        <f t="shared" si="428"/>
        <v>8.2017501976846066E-4</v>
      </c>
      <c r="H577">
        <f t="shared" si="429"/>
        <v>-3.1407724749802317</v>
      </c>
      <c r="J577">
        <f t="shared" si="430"/>
        <v>15</v>
      </c>
      <c r="M577">
        <f t="shared" si="431"/>
        <v>6.8911632387173925E-4</v>
      </c>
      <c r="N577">
        <f t="shared" si="432"/>
        <v>-1.5707963250000001</v>
      </c>
      <c r="O577">
        <f t="shared" si="433"/>
        <v>356.43283893254869</v>
      </c>
      <c r="P577">
        <f t="shared" si="434"/>
        <v>1.5679907454829247</v>
      </c>
      <c r="Q577">
        <f t="shared" si="435"/>
        <v>309.82497830674203</v>
      </c>
      <c r="R577">
        <f t="shared" si="436"/>
        <v>1.5675686924649019</v>
      </c>
      <c r="S577">
        <f t="shared" si="437"/>
        <v>0.11344091299759403</v>
      </c>
      <c r="T577">
        <f t="shared" si="438"/>
        <v>-1.4571106850722111</v>
      </c>
      <c r="U577">
        <f t="shared" si="439"/>
        <v>0.11198233993253283</v>
      </c>
      <c r="V577">
        <f t="shared" si="440"/>
        <v>-1.4585786122845101</v>
      </c>
      <c r="X577">
        <f t="shared" si="457"/>
        <v>-72.396152362006575</v>
      </c>
      <c r="Y577">
        <f t="shared" si="441"/>
        <v>-244.75583736578551</v>
      </c>
      <c r="Z577">
        <f t="shared" si="458"/>
        <v>-64.75583736578551</v>
      </c>
      <c r="AC577">
        <v>1</v>
      </c>
      <c r="AD577">
        <f t="shared" si="442"/>
        <v>356.43143614097249</v>
      </c>
      <c r="AE577">
        <f t="shared" si="443"/>
        <v>-0.48776849273210499</v>
      </c>
      <c r="AF577">
        <f t="shared" si="444"/>
        <v>5.4967189959989997E-2</v>
      </c>
      <c r="AG577">
        <f t="shared" si="473"/>
        <v>79.290719883961273</v>
      </c>
      <c r="AH577">
        <f t="shared" si="474"/>
        <v>-721.80358781889186</v>
      </c>
      <c r="AJ577">
        <f t="shared" si="445"/>
        <v>26400</v>
      </c>
      <c r="AK577">
        <f t="shared" si="446"/>
        <v>231218.0020491264</v>
      </c>
      <c r="AL577">
        <v>1</v>
      </c>
      <c r="AM577">
        <f t="shared" si="447"/>
        <v>309.82336448817603</v>
      </c>
      <c r="AN577">
        <f t="shared" si="475"/>
        <v>746.55700241349177</v>
      </c>
      <c r="AO577">
        <f t="shared" si="476"/>
        <v>-82.800220828941193</v>
      </c>
      <c r="AQ577">
        <f t="shared" si="448"/>
        <v>7.5890378170102358E-4</v>
      </c>
      <c r="AR577">
        <f t="shared" si="449"/>
        <v>-2.7548207275747156</v>
      </c>
      <c r="AT577">
        <f t="shared" si="470"/>
        <v>-1988.3793109341059</v>
      </c>
      <c r="AU577">
        <f t="shared" si="471"/>
        <v>-218.97949811309832</v>
      </c>
      <c r="AV577">
        <f t="shared" si="459"/>
        <v>-3.0319050383046835</v>
      </c>
      <c r="AW577">
        <f t="shared" si="460"/>
        <v>597.95798869829139</v>
      </c>
      <c r="AX577">
        <f t="shared" si="461"/>
        <v>-3202.1928580941885</v>
      </c>
      <c r="AY577">
        <f t="shared" si="469"/>
        <v>-1.3861885525101199</v>
      </c>
      <c r="BA577">
        <f t="shared" si="450"/>
        <v>0.614082585281154</v>
      </c>
      <c r="BB577">
        <f t="shared" si="462"/>
        <v>-4.2354643713124629</v>
      </c>
      <c r="BC577">
        <f t="shared" si="463"/>
        <v>-1.6457164857945636</v>
      </c>
      <c r="BD577">
        <f t="shared" si="451"/>
        <v>-274.292609018875</v>
      </c>
      <c r="BF577">
        <f t="shared" si="452"/>
        <v>-76.337735264266314</v>
      </c>
      <c r="BG577">
        <f t="shared" si="453"/>
        <v>-261.64607749587373</v>
      </c>
      <c r="BH577">
        <f t="shared" si="464"/>
        <v>-81.646077495873726</v>
      </c>
      <c r="BI577">
        <f t="shared" si="465"/>
        <v>-81.646077495873726</v>
      </c>
      <c r="BJ577">
        <f t="shared" si="454"/>
        <v>0</v>
      </c>
      <c r="BK577">
        <f t="shared" si="466"/>
        <v>0</v>
      </c>
      <c r="BM577">
        <f t="shared" si="467"/>
        <v>-72.102270892953854</v>
      </c>
      <c r="BN577">
        <f t="shared" si="455"/>
        <v>-167.35346847699876</v>
      </c>
      <c r="BQ577" s="56">
        <f t="shared" si="468"/>
        <v>12.666496428972673</v>
      </c>
    </row>
    <row r="578" spans="1:69" x14ac:dyDescent="0.2">
      <c r="A578">
        <f t="shared" si="472"/>
        <v>1820000</v>
      </c>
      <c r="B578">
        <f t="shared" si="456"/>
        <v>1820</v>
      </c>
      <c r="C578">
        <f t="shared" si="425"/>
        <v>1.0248102039091807</v>
      </c>
      <c r="D578">
        <f t="shared" si="426"/>
        <v>0.22048981462575112</v>
      </c>
      <c r="F578">
        <f t="shared" si="427"/>
        <v>1.6062724101647962E-5</v>
      </c>
      <c r="G578">
        <f t="shared" si="428"/>
        <v>8.1792172017182408E-4</v>
      </c>
      <c r="H578">
        <f t="shared" si="429"/>
        <v>-3.1407747282798284</v>
      </c>
      <c r="J578">
        <f t="shared" si="430"/>
        <v>15</v>
      </c>
      <c r="M578">
        <f t="shared" si="431"/>
        <v>6.8722314715780595E-4</v>
      </c>
      <c r="N578">
        <f t="shared" si="432"/>
        <v>-1.5707963250000001</v>
      </c>
      <c r="O578">
        <f t="shared" si="433"/>
        <v>357.41473986149828</v>
      </c>
      <c r="P578">
        <f t="shared" si="434"/>
        <v>1.5679984530836122</v>
      </c>
      <c r="Q578">
        <f t="shared" si="435"/>
        <v>310.67848176434956</v>
      </c>
      <c r="R578">
        <f t="shared" si="436"/>
        <v>1.567577559530853</v>
      </c>
      <c r="S578">
        <f t="shared" si="437"/>
        <v>0.11313325642252192</v>
      </c>
      <c r="T578">
        <f t="shared" si="438"/>
        <v>-1.4574203350836141</v>
      </c>
      <c r="U578">
        <f t="shared" si="439"/>
        <v>0.11167853832335832</v>
      </c>
      <c r="V578">
        <f t="shared" si="440"/>
        <v>-1.4588843315793925</v>
      </c>
      <c r="X578">
        <f t="shared" si="457"/>
        <v>-72.466093576025628</v>
      </c>
      <c r="Y578">
        <f t="shared" si="441"/>
        <v>-244.75667801376835</v>
      </c>
      <c r="Z578">
        <f t="shared" si="458"/>
        <v>-64.756678013768351</v>
      </c>
      <c r="AC578">
        <v>1</v>
      </c>
      <c r="AD578">
        <f t="shared" si="442"/>
        <v>357.41334092373</v>
      </c>
      <c r="AE578">
        <f t="shared" si="443"/>
        <v>-0.4904596241379458</v>
      </c>
      <c r="AF578">
        <f t="shared" si="444"/>
        <v>5.5118614725720001E-2</v>
      </c>
      <c r="AG578">
        <f t="shared" si="473"/>
        <v>78.861081197123781</v>
      </c>
      <c r="AH578">
        <f t="shared" si="474"/>
        <v>-719.86889439255685</v>
      </c>
      <c r="AJ578">
        <f t="shared" si="445"/>
        <v>26400</v>
      </c>
      <c r="AK578">
        <f t="shared" si="446"/>
        <v>231854.96624209921</v>
      </c>
      <c r="AL578">
        <v>1</v>
      </c>
      <c r="AM578">
        <f t="shared" si="447"/>
        <v>310.67687237932802</v>
      </c>
      <c r="AN578">
        <f t="shared" si="475"/>
        <v>746.55553604043143</v>
      </c>
      <c r="AO578">
        <f t="shared" si="476"/>
        <v>-82.572752414725656</v>
      </c>
      <c r="AQ578">
        <f t="shared" si="448"/>
        <v>7.547397087655696E-4</v>
      </c>
      <c r="AR578">
        <f t="shared" si="449"/>
        <v>-2.7472525399066736</v>
      </c>
      <c r="AT578">
        <f t="shared" si="470"/>
        <v>-1977.6021289303051</v>
      </c>
      <c r="AU578">
        <f t="shared" si="471"/>
        <v>-217.19461925828796</v>
      </c>
      <c r="AV578">
        <f t="shared" si="459"/>
        <v>-3.0322038068177597</v>
      </c>
      <c r="AW578">
        <f t="shared" si="460"/>
        <v>598.77725652078107</v>
      </c>
      <c r="AX578">
        <f t="shared" si="461"/>
        <v>-3193.4392383514278</v>
      </c>
      <c r="AY578">
        <f t="shared" si="469"/>
        <v>-1.3854461384510266</v>
      </c>
      <c r="BA578">
        <f t="shared" si="450"/>
        <v>0.61232316847887414</v>
      </c>
      <c r="BB578">
        <f t="shared" si="462"/>
        <v>-4.260386156960017</v>
      </c>
      <c r="BC578">
        <f t="shared" si="463"/>
        <v>-1.6467576683667331</v>
      </c>
      <c r="BD578">
        <f t="shared" si="451"/>
        <v>-274.35226438603104</v>
      </c>
      <c r="BF578">
        <f t="shared" si="452"/>
        <v>-76.409308159425819</v>
      </c>
      <c r="BG578">
        <f t="shared" si="453"/>
        <v>-261.67226510532669</v>
      </c>
      <c r="BH578">
        <f t="shared" si="464"/>
        <v>-81.672265105326687</v>
      </c>
      <c r="BI578">
        <f t="shared" si="465"/>
        <v>-81.672265105326687</v>
      </c>
      <c r="BJ578">
        <f t="shared" si="454"/>
        <v>0</v>
      </c>
      <c r="BK578">
        <f t="shared" si="466"/>
        <v>0</v>
      </c>
      <c r="BM578">
        <f t="shared" si="467"/>
        <v>-72.148922002465795</v>
      </c>
      <c r="BN578">
        <f t="shared" si="455"/>
        <v>-167.32000071929565</v>
      </c>
      <c r="BQ578" s="56">
        <f t="shared" si="468"/>
        <v>12.64157464332512</v>
      </c>
    </row>
    <row r="579" spans="1:69" x14ac:dyDescent="0.2">
      <c r="A579">
        <f t="shared" si="472"/>
        <v>1825000</v>
      </c>
      <c r="B579">
        <f t="shared" si="456"/>
        <v>1825</v>
      </c>
      <c r="C579">
        <f t="shared" si="425"/>
        <v>1.0249450497039208</v>
      </c>
      <c r="D579">
        <f t="shared" si="426"/>
        <v>0.22107603639955861</v>
      </c>
      <c r="F579">
        <f t="shared" si="427"/>
        <v>1.5974828367804584E-5</v>
      </c>
      <c r="G579">
        <f t="shared" si="428"/>
        <v>8.1568076800772897E-4</v>
      </c>
      <c r="H579">
        <f t="shared" si="429"/>
        <v>-3.1407769692319927</v>
      </c>
      <c r="J579">
        <f t="shared" si="430"/>
        <v>15</v>
      </c>
      <c r="M579">
        <f t="shared" si="431"/>
        <v>6.8534034401490781E-4</v>
      </c>
      <c r="N579">
        <f t="shared" si="432"/>
        <v>-1.5707963250000001</v>
      </c>
      <c r="O579">
        <f t="shared" si="433"/>
        <v>358.39664081156451</v>
      </c>
      <c r="P579">
        <f t="shared" si="434"/>
        <v>1.5680061184512009</v>
      </c>
      <c r="Q579">
        <f t="shared" si="435"/>
        <v>311.53198524625026</v>
      </c>
      <c r="R579">
        <f t="shared" si="436"/>
        <v>1.5675863780106432</v>
      </c>
      <c r="S579">
        <f t="shared" si="437"/>
        <v>0.11282725335874964</v>
      </c>
      <c r="T579">
        <f t="shared" si="438"/>
        <v>-1.4577283100404432</v>
      </c>
      <c r="U579">
        <f t="shared" si="439"/>
        <v>0.11137637032129552</v>
      </c>
      <c r="V579">
        <f t="shared" si="440"/>
        <v>-1.4591883965365631</v>
      </c>
      <c r="X579">
        <f t="shared" si="457"/>
        <v>-72.535840204413958</v>
      </c>
      <c r="Y579">
        <f t="shared" si="441"/>
        <v>-244.75734122645315</v>
      </c>
      <c r="Z579">
        <f t="shared" si="458"/>
        <v>-64.75734122645315</v>
      </c>
      <c r="AC579">
        <v>1</v>
      </c>
      <c r="AD579">
        <f t="shared" si="442"/>
        <v>358.39524570648751</v>
      </c>
      <c r="AE579">
        <f t="shared" si="443"/>
        <v>-0.49315815893142312</v>
      </c>
      <c r="AF579">
        <f t="shared" si="444"/>
        <v>5.5270039491449999E-2</v>
      </c>
      <c r="AG579">
        <f t="shared" si="473"/>
        <v>78.43491054147313</v>
      </c>
      <c r="AH579">
        <f t="shared" si="474"/>
        <v>-717.9444133511463</v>
      </c>
      <c r="AJ579">
        <f t="shared" si="445"/>
        <v>26400</v>
      </c>
      <c r="AK579">
        <f t="shared" si="446"/>
        <v>232491.93043507199</v>
      </c>
      <c r="AL579">
        <v>1</v>
      </c>
      <c r="AM579">
        <f t="shared" si="447"/>
        <v>311.53038027048001</v>
      </c>
      <c r="AN579">
        <f t="shared" si="475"/>
        <v>746.5540817030693</v>
      </c>
      <c r="AO579">
        <f t="shared" si="476"/>
        <v>-82.346530364145679</v>
      </c>
      <c r="AQ579">
        <f t="shared" si="448"/>
        <v>7.5060981417828378E-4</v>
      </c>
      <c r="AR579">
        <f t="shared" si="449"/>
        <v>-2.7397258217507359</v>
      </c>
      <c r="AT579">
        <f t="shared" si="470"/>
        <v>-1966.9119738261927</v>
      </c>
      <c r="AU579">
        <f t="shared" si="471"/>
        <v>-215.42904585987876</v>
      </c>
      <c r="AV579">
        <f t="shared" si="459"/>
        <v>-3.0325009590792704</v>
      </c>
      <c r="AW579">
        <f t="shared" si="460"/>
        <v>599.58974198170449</v>
      </c>
      <c r="AX579">
        <f t="shared" si="461"/>
        <v>-3184.7332331580333</v>
      </c>
      <c r="AY579">
        <f t="shared" si="469"/>
        <v>-1.3847046267060892</v>
      </c>
      <c r="BA579">
        <f t="shared" si="450"/>
        <v>0.61057305262918893</v>
      </c>
      <c r="BB579">
        <f t="shared" si="462"/>
        <v>-4.2852473401738251</v>
      </c>
      <c r="BC579">
        <f t="shared" si="463"/>
        <v>-1.6477963323731812</v>
      </c>
      <c r="BD579">
        <f t="shared" si="451"/>
        <v>-274.41177545000068</v>
      </c>
      <c r="BF579">
        <f t="shared" si="452"/>
        <v>-76.480686497989382</v>
      </c>
      <c r="BG579">
        <f t="shared" si="453"/>
        <v>-261.69831653286133</v>
      </c>
      <c r="BH579">
        <f t="shared" si="464"/>
        <v>-81.698316532861327</v>
      </c>
      <c r="BI579">
        <f t="shared" si="465"/>
        <v>-81.698316532861327</v>
      </c>
      <c r="BJ579">
        <f t="shared" si="454"/>
        <v>0</v>
      </c>
      <c r="BK579">
        <f t="shared" si="466"/>
        <v>0</v>
      </c>
      <c r="BM579">
        <f t="shared" si="467"/>
        <v>-72.195439157815557</v>
      </c>
      <c r="BN579">
        <f t="shared" si="455"/>
        <v>-167.28654108286065</v>
      </c>
      <c r="BQ579" s="56">
        <f t="shared" si="468"/>
        <v>12.616713460111313</v>
      </c>
    </row>
    <row r="580" spans="1:69" x14ac:dyDescent="0.2">
      <c r="A580">
        <f t="shared" si="472"/>
        <v>1830000</v>
      </c>
      <c r="B580">
        <f t="shared" si="456"/>
        <v>1830</v>
      </c>
      <c r="C580">
        <f t="shared" si="425"/>
        <v>1.025080247634405</v>
      </c>
      <c r="D580">
        <f t="shared" si="426"/>
        <v>0.22166210374103743</v>
      </c>
      <c r="F580">
        <f t="shared" si="427"/>
        <v>1.588765212106799E-5</v>
      </c>
      <c r="G580">
        <f t="shared" si="428"/>
        <v>8.1345206206134E-4</v>
      </c>
      <c r="H580">
        <f t="shared" si="429"/>
        <v>-3.1407791979379387</v>
      </c>
      <c r="J580">
        <f t="shared" si="430"/>
        <v>15</v>
      </c>
      <c r="M580">
        <f t="shared" si="431"/>
        <v>6.8346782941377409E-4</v>
      </c>
      <c r="N580">
        <f t="shared" si="432"/>
        <v>-1.5707963250000001</v>
      </c>
      <c r="O580">
        <f t="shared" si="433"/>
        <v>359.37854178257425</v>
      </c>
      <c r="P580">
        <f t="shared" si="434"/>
        <v>1.5680137419318603</v>
      </c>
      <c r="Q580">
        <f t="shared" si="435"/>
        <v>312.38548875224507</v>
      </c>
      <c r="R580">
        <f t="shared" si="436"/>
        <v>1.5675951483025143</v>
      </c>
      <c r="S580">
        <f t="shared" si="437"/>
        <v>0.11252289059865223</v>
      </c>
      <c r="T580">
        <f t="shared" si="438"/>
        <v>-1.4580346234399186</v>
      </c>
      <c r="U580">
        <f t="shared" si="439"/>
        <v>0.11107582286894931</v>
      </c>
      <c r="V580">
        <f t="shared" si="440"/>
        <v>-1.4594908204921844</v>
      </c>
      <c r="X580">
        <f t="shared" si="457"/>
        <v>-72.605393272531799</v>
      </c>
      <c r="Y580">
        <f t="shared" si="441"/>
        <v>-244.75782852402372</v>
      </c>
      <c r="Z580">
        <f t="shared" si="458"/>
        <v>-64.757828524023722</v>
      </c>
      <c r="AC580">
        <v>1</v>
      </c>
      <c r="AD580">
        <f t="shared" si="442"/>
        <v>359.37715048924503</v>
      </c>
      <c r="AE580">
        <f t="shared" si="443"/>
        <v>-0.49586409711253676</v>
      </c>
      <c r="AF580">
        <f t="shared" si="444"/>
        <v>5.5421464257180003E-2</v>
      </c>
      <c r="AG580">
        <f t="shared" si="473"/>
        <v>78.012170848635847</v>
      </c>
      <c r="AH580">
        <f t="shared" si="474"/>
        <v>-716.03006512962486</v>
      </c>
      <c r="AJ580">
        <f t="shared" si="445"/>
        <v>26400</v>
      </c>
      <c r="AK580">
        <f t="shared" si="446"/>
        <v>233128.89462804483</v>
      </c>
      <c r="AL580">
        <v>1</v>
      </c>
      <c r="AM580">
        <f t="shared" si="447"/>
        <v>312.38388816163206</v>
      </c>
      <c r="AN580">
        <f t="shared" si="475"/>
        <v>746.55263927004933</v>
      </c>
      <c r="AO580">
        <f t="shared" si="476"/>
        <v>-82.121544461526369</v>
      </c>
      <c r="AQ580">
        <f t="shared" si="448"/>
        <v>7.4651372491611235E-4</v>
      </c>
      <c r="AR580">
        <f t="shared" si="449"/>
        <v>-2.7322402331929712</v>
      </c>
      <c r="AT580">
        <f t="shared" si="470"/>
        <v>-1956.3079149666955</v>
      </c>
      <c r="AU580">
        <f t="shared" si="471"/>
        <v>-213.68251814243857</v>
      </c>
      <c r="AV580">
        <f t="shared" si="459"/>
        <v>-3.0327965081132002</v>
      </c>
      <c r="AW580">
        <f t="shared" si="460"/>
        <v>600.39551987860932</v>
      </c>
      <c r="AX580">
        <f t="shared" si="461"/>
        <v>-3176.0744559588015</v>
      </c>
      <c r="AY580">
        <f t="shared" si="469"/>
        <v>-1.3839640115260519</v>
      </c>
      <c r="BA580">
        <f t="shared" si="450"/>
        <v>0.60883216324765055</v>
      </c>
      <c r="BB580">
        <f t="shared" si="462"/>
        <v>-4.310048256418181</v>
      </c>
      <c r="BC580">
        <f t="shared" si="463"/>
        <v>-1.6488324965871484</v>
      </c>
      <c r="BD580">
        <f t="shared" si="451"/>
        <v>-274.47114328641135</v>
      </c>
      <c r="BF580">
        <f t="shared" si="452"/>
        <v>-76.55187133524737</v>
      </c>
      <c r="BG580">
        <f t="shared" si="453"/>
        <v>-261.72423287950107</v>
      </c>
      <c r="BH580">
        <f t="shared" si="464"/>
        <v>-81.724232879501074</v>
      </c>
      <c r="BI580">
        <f t="shared" si="465"/>
        <v>-81.724232879501074</v>
      </c>
      <c r="BJ580">
        <f t="shared" si="454"/>
        <v>0</v>
      </c>
      <c r="BK580">
        <f t="shared" si="466"/>
        <v>0</v>
      </c>
      <c r="BM580">
        <f t="shared" si="467"/>
        <v>-72.241823078829185</v>
      </c>
      <c r="BN580">
        <f t="shared" si="455"/>
        <v>-167.25308959308973</v>
      </c>
      <c r="BQ580" s="56">
        <f t="shared" si="468"/>
        <v>12.591912543866957</v>
      </c>
    </row>
    <row r="581" spans="1:69" x14ac:dyDescent="0.2">
      <c r="A581">
        <f t="shared" si="472"/>
        <v>1835000</v>
      </c>
      <c r="B581">
        <f t="shared" si="456"/>
        <v>1835</v>
      </c>
      <c r="C581">
        <f t="shared" si="425"/>
        <v>1.0252157975613214</v>
      </c>
      <c r="D581">
        <f t="shared" si="426"/>
        <v>0.22224801630876465</v>
      </c>
      <c r="F581">
        <f t="shared" si="427"/>
        <v>1.5801187530107674E-5</v>
      </c>
      <c r="G581">
        <f t="shared" si="428"/>
        <v>8.1123550222106649E-4</v>
      </c>
      <c r="H581">
        <f t="shared" si="429"/>
        <v>-3.1407814144977793</v>
      </c>
      <c r="J581">
        <f t="shared" si="430"/>
        <v>15</v>
      </c>
      <c r="M581">
        <f t="shared" si="431"/>
        <v>6.8160551925188374E-4</v>
      </c>
      <c r="N581">
        <f t="shared" si="432"/>
        <v>-1.5707963250000001</v>
      </c>
      <c r="O581">
        <f t="shared" si="433"/>
        <v>360.36044277435639</v>
      </c>
      <c r="P581">
        <f t="shared" si="434"/>
        <v>1.5680213238679868</v>
      </c>
      <c r="Q581">
        <f t="shared" si="435"/>
        <v>313.23899228213696</v>
      </c>
      <c r="R581">
        <f t="shared" si="436"/>
        <v>1.5676038708003679</v>
      </c>
      <c r="S581">
        <f t="shared" si="437"/>
        <v>0.11222015507395486</v>
      </c>
      <c r="T581">
        <f t="shared" si="438"/>
        <v>-1.458339288635262</v>
      </c>
      <c r="U581">
        <f t="shared" si="439"/>
        <v>0.11077688304680716</v>
      </c>
      <c r="V581">
        <f t="shared" si="440"/>
        <v>-1.4597916166400591</v>
      </c>
      <c r="X581">
        <f t="shared" si="457"/>
        <v>-72.674753797648378</v>
      </c>
      <c r="Y581">
        <f t="shared" si="441"/>
        <v>-244.75814141062386</v>
      </c>
      <c r="Z581">
        <f t="shared" si="458"/>
        <v>-64.758141410623864</v>
      </c>
      <c r="AC581">
        <v>1</v>
      </c>
      <c r="AD581">
        <f t="shared" si="442"/>
        <v>360.35905527200254</v>
      </c>
      <c r="AE581">
        <f t="shared" si="443"/>
        <v>-0.49857743868128684</v>
      </c>
      <c r="AF581">
        <f t="shared" si="444"/>
        <v>5.5572889022909994E-2</v>
      </c>
      <c r="AG581">
        <f t="shared" si="473"/>
        <v>77.592825542075616</v>
      </c>
      <c r="AH581">
        <f t="shared" si="474"/>
        <v>-714.12577097532903</v>
      </c>
      <c r="AJ581">
        <f t="shared" si="445"/>
        <v>26400</v>
      </c>
      <c r="AK581">
        <f t="shared" si="446"/>
        <v>233765.85882101761</v>
      </c>
      <c r="AL581">
        <v>1</v>
      </c>
      <c r="AM581">
        <f t="shared" si="447"/>
        <v>313.23739605278405</v>
      </c>
      <c r="AN581">
        <f t="shared" si="475"/>
        <v>746.55120861180364</v>
      </c>
      <c r="AO581">
        <f t="shared" si="476"/>
        <v>-81.897784602529711</v>
      </c>
      <c r="AQ581">
        <f t="shared" si="448"/>
        <v>7.4245107303112551E-4</v>
      </c>
      <c r="AR581">
        <f t="shared" si="449"/>
        <v>-2.724795438024231</v>
      </c>
      <c r="AT581">
        <f t="shared" si="470"/>
        <v>-1945.78903405253</v>
      </c>
      <c r="AU581">
        <f t="shared" si="471"/>
        <v>-211.95478050539748</v>
      </c>
      <c r="AV581">
        <f t="shared" si="459"/>
        <v>-3.0330904668045759</v>
      </c>
      <c r="AW581">
        <f t="shared" si="460"/>
        <v>601.19466397901442</v>
      </c>
      <c r="AX581">
        <f t="shared" si="461"/>
        <v>-3167.4625243624687</v>
      </c>
      <c r="AY581">
        <f t="shared" si="469"/>
        <v>-1.3832242872302589</v>
      </c>
      <c r="BA581">
        <f t="shared" si="450"/>
        <v>0.60710042664219632</v>
      </c>
      <c r="BB581">
        <f t="shared" si="462"/>
        <v>-4.3347892384960041</v>
      </c>
      <c r="BC581">
        <f t="shared" si="463"/>
        <v>-1.649866179574317</v>
      </c>
      <c r="BD581">
        <f t="shared" si="451"/>
        <v>-274.53036895899822</v>
      </c>
      <c r="BF581">
        <f t="shared" si="452"/>
        <v>-76.622863717959561</v>
      </c>
      <c r="BG581">
        <f t="shared" si="453"/>
        <v>-261.7500152342792</v>
      </c>
      <c r="BH581">
        <f t="shared" si="464"/>
        <v>-81.750015234279203</v>
      </c>
      <c r="BI581">
        <f t="shared" si="465"/>
        <v>-81.750015234279203</v>
      </c>
      <c r="BJ581">
        <f t="shared" si="454"/>
        <v>0</v>
      </c>
      <c r="BK581">
        <f t="shared" si="466"/>
        <v>0</v>
      </c>
      <c r="BM581">
        <f t="shared" si="467"/>
        <v>-72.288074479463546</v>
      </c>
      <c r="BN581">
        <f t="shared" si="455"/>
        <v>-167.21964627528098</v>
      </c>
      <c r="BQ581" s="56">
        <f t="shared" si="468"/>
        <v>12.567171561789133</v>
      </c>
    </row>
    <row r="582" spans="1:69" x14ac:dyDescent="0.2">
      <c r="A582">
        <f t="shared" si="472"/>
        <v>1840000</v>
      </c>
      <c r="B582">
        <f t="shared" si="456"/>
        <v>1840</v>
      </c>
      <c r="C582">
        <f t="shared" si="425"/>
        <v>1.0253516993450704</v>
      </c>
      <c r="D582">
        <f t="shared" si="426"/>
        <v>0.22283377376192279</v>
      </c>
      <c r="F582">
        <f t="shared" si="427"/>
        <v>1.5715426869855603E-5</v>
      </c>
      <c r="G582">
        <f t="shared" si="428"/>
        <v>8.090309894635729E-4</v>
      </c>
      <c r="H582">
        <f t="shared" si="429"/>
        <v>-3.1407836190105365</v>
      </c>
      <c r="J582">
        <f t="shared" si="430"/>
        <v>15</v>
      </c>
      <c r="M582">
        <f t="shared" si="431"/>
        <v>6.7975333034087321E-4</v>
      </c>
      <c r="N582">
        <f t="shared" si="432"/>
        <v>-1.5707963250000001</v>
      </c>
      <c r="O582">
        <f t="shared" si="433"/>
        <v>361.34234378674154</v>
      </c>
      <c r="P582">
        <f t="shared" si="434"/>
        <v>1.5680288645982552</v>
      </c>
      <c r="Q582">
        <f t="shared" si="435"/>
        <v>314.09249583573126</v>
      </c>
      <c r="R582">
        <f t="shared" si="436"/>
        <v>1.5676125458938237</v>
      </c>
      <c r="S582">
        <f t="shared" si="437"/>
        <v>0.11191903385391271</v>
      </c>
      <c r="T582">
        <f t="shared" si="438"/>
        <v>-1.4586423188376028</v>
      </c>
      <c r="U582">
        <f t="shared" si="439"/>
        <v>0.1104795380714361</v>
      </c>
      <c r="V582">
        <f t="shared" si="440"/>
        <v>-1.4600907980335176</v>
      </c>
      <c r="X582">
        <f t="shared" si="457"/>
        <v>-72.743922789026357</v>
      </c>
      <c r="Y582">
        <f t="shared" si="441"/>
        <v>-244.75828137456901</v>
      </c>
      <c r="Z582">
        <f t="shared" si="458"/>
        <v>-64.758281374569009</v>
      </c>
      <c r="AC582">
        <v>1</v>
      </c>
      <c r="AD582">
        <f t="shared" si="442"/>
        <v>361.34096005476005</v>
      </c>
      <c r="AE582">
        <f t="shared" si="443"/>
        <v>-0.50129818363767342</v>
      </c>
      <c r="AF582">
        <f t="shared" si="444"/>
        <v>5.5724313788639998E-2</v>
      </c>
      <c r="AG582">
        <f t="shared" si="473"/>
        <v>77.176838529316981</v>
      </c>
      <c r="AH582">
        <f t="shared" si="474"/>
        <v>-712.23145293779407</v>
      </c>
      <c r="AJ582">
        <f t="shared" si="445"/>
        <v>26400</v>
      </c>
      <c r="AK582">
        <f t="shared" si="446"/>
        <v>234402.82301399042</v>
      </c>
      <c r="AL582">
        <v>1</v>
      </c>
      <c r="AM582">
        <f t="shared" si="447"/>
        <v>314.09090394393604</v>
      </c>
      <c r="AN582">
        <f t="shared" si="475"/>
        <v>746.54978960052154</v>
      </c>
      <c r="AO582">
        <f t="shared" si="476"/>
        <v>-81.675240792641716</v>
      </c>
      <c r="AQ582">
        <f t="shared" si="448"/>
        <v>7.3842149556788345E-4</v>
      </c>
      <c r="AR582">
        <f t="shared" si="449"/>
        <v>-2.7173911036898111</v>
      </c>
      <c r="AT582">
        <f t="shared" si="470"/>
        <v>-1935.3544249447</v>
      </c>
      <c r="AU582">
        <f t="shared" si="471"/>
        <v>-210.24558144513981</v>
      </c>
      <c r="AV582">
        <f t="shared" si="459"/>
        <v>-3.0333828479013096</v>
      </c>
      <c r="AW582">
        <f t="shared" si="460"/>
        <v>601.98724703741073</v>
      </c>
      <c r="AX582">
        <f t="shared" si="461"/>
        <v>-3158.8970600859002</v>
      </c>
      <c r="AY582">
        <f t="shared" si="469"/>
        <v>-1.3824854482056712</v>
      </c>
      <c r="BA582">
        <f t="shared" si="450"/>
        <v>0.60537776990270242</v>
      </c>
      <c r="BB582">
        <f t="shared" si="462"/>
        <v>-4.3594706165762398</v>
      </c>
      <c r="BC582">
        <f t="shared" si="463"/>
        <v>-1.6508973996956384</v>
      </c>
      <c r="BD582">
        <f t="shared" si="451"/>
        <v>-274.58945351976644</v>
      </c>
      <c r="BF582">
        <f t="shared" si="452"/>
        <v>-76.693664684446347</v>
      </c>
      <c r="BG582">
        <f t="shared" si="453"/>
        <v>-261.77566467440181</v>
      </c>
      <c r="BH582">
        <f t="shared" si="464"/>
        <v>-81.77566467440181</v>
      </c>
      <c r="BI582">
        <f t="shared" si="465"/>
        <v>-81.77566467440181</v>
      </c>
      <c r="BJ582">
        <f t="shared" si="454"/>
        <v>0</v>
      </c>
      <c r="BK582">
        <f t="shared" si="466"/>
        <v>0</v>
      </c>
      <c r="BM582">
        <f t="shared" si="467"/>
        <v>-72.334194067870101</v>
      </c>
      <c r="BN582">
        <f t="shared" si="455"/>
        <v>-167.18621115463534</v>
      </c>
      <c r="BQ582" s="56">
        <f t="shared" si="468"/>
        <v>12.542490183708896</v>
      </c>
    </row>
    <row r="583" spans="1:69" x14ac:dyDescent="0.2">
      <c r="A583">
        <f t="shared" si="472"/>
        <v>1845000</v>
      </c>
      <c r="B583">
        <f t="shared" si="456"/>
        <v>1845</v>
      </c>
      <c r="C583">
        <f t="shared" si="425"/>
        <v>1.0254879528457634</v>
      </c>
      <c r="D583">
        <f t="shared" si="426"/>
        <v>0.22341937576030058</v>
      </c>
      <c r="F583">
        <f t="shared" si="427"/>
        <v>1.5630362519780641E-5</v>
      </c>
      <c r="G583">
        <f t="shared" si="428"/>
        <v>8.0683842583903021E-4</v>
      </c>
      <c r="H583">
        <f t="shared" si="429"/>
        <v>-3.1407858115741614</v>
      </c>
      <c r="J583">
        <f t="shared" si="430"/>
        <v>15</v>
      </c>
      <c r="M583">
        <f t="shared" si="431"/>
        <v>6.7791118039415004E-4</v>
      </c>
      <c r="N583">
        <f t="shared" si="432"/>
        <v>-1.5707963250000001</v>
      </c>
      <c r="O583">
        <f t="shared" si="433"/>
        <v>362.32424481956218</v>
      </c>
      <c r="P583">
        <f t="shared" si="434"/>
        <v>1.5680363644576689</v>
      </c>
      <c r="Q583">
        <f t="shared" si="435"/>
        <v>314.94599941283514</v>
      </c>
      <c r="R583">
        <f t="shared" si="436"/>
        <v>1.5676211739682779</v>
      </c>
      <c r="S583">
        <f t="shared" si="437"/>
        <v>0.11161951414351884</v>
      </c>
      <c r="T583">
        <f t="shared" si="438"/>
        <v>-1.458943727117856</v>
      </c>
      <c r="U583">
        <f t="shared" si="439"/>
        <v>0.11018377529370778</v>
      </c>
      <c r="V583">
        <f t="shared" si="440"/>
        <v>-1.4603883775872746</v>
      </c>
      <c r="X583">
        <f t="shared" si="457"/>
        <v>-72.812901248005105</v>
      </c>
      <c r="Y583">
        <f t="shared" si="441"/>
        <v>-244.75824988855507</v>
      </c>
      <c r="Z583">
        <f t="shared" si="458"/>
        <v>-64.758249888555071</v>
      </c>
      <c r="AC583">
        <v>1</v>
      </c>
      <c r="AD583">
        <f t="shared" si="442"/>
        <v>362.3228648375175</v>
      </c>
      <c r="AE583">
        <f t="shared" si="443"/>
        <v>-0.50402633198169644</v>
      </c>
      <c r="AF583">
        <f t="shared" si="444"/>
        <v>5.5875738554369996E-2</v>
      </c>
      <c r="AG583">
        <f t="shared" si="473"/>
        <v>76.764174194311153</v>
      </c>
      <c r="AH583">
        <f t="shared" si="474"/>
        <v>-710.34703385873081</v>
      </c>
      <c r="AJ583">
        <f t="shared" si="445"/>
        <v>26400</v>
      </c>
      <c r="AK583">
        <f t="shared" si="446"/>
        <v>235039.7872069632</v>
      </c>
      <c r="AL583">
        <v>1</v>
      </c>
      <c r="AM583">
        <f t="shared" si="447"/>
        <v>314.94441183508803</v>
      </c>
      <c r="AN583">
        <f t="shared" si="475"/>
        <v>746.54838211012191</v>
      </c>
      <c r="AO583">
        <f t="shared" si="476"/>
        <v>-81.453903145684649</v>
      </c>
      <c r="AQ583">
        <f t="shared" si="448"/>
        <v>7.3442463448236759E-4</v>
      </c>
      <c r="AR583">
        <f t="shared" si="449"/>
        <v>-2.7100269012399365</v>
      </c>
      <c r="AT583">
        <f t="shared" si="470"/>
        <v>-1925.0031934725826</v>
      </c>
      <c r="AU583">
        <f t="shared" si="471"/>
        <v>-208.55467347874907</v>
      </c>
      <c r="AV583">
        <f t="shared" si="459"/>
        <v>-3.033673664016006</v>
      </c>
      <c r="AW583">
        <f t="shared" si="460"/>
        <v>602.77334081193328</v>
      </c>
      <c r="AX583">
        <f t="shared" si="461"/>
        <v>-3150.3776888991929</v>
      </c>
      <c r="AY583">
        <f t="shared" si="469"/>
        <v>-1.3817474889059014</v>
      </c>
      <c r="BA583">
        <f t="shared" si="450"/>
        <v>0.60366412089070265</v>
      </c>
      <c r="BB583">
        <f t="shared" si="462"/>
        <v>-4.3840927182209031</v>
      </c>
      <c r="BC583">
        <f t="shared" si="463"/>
        <v>-1.6519261751101046</v>
      </c>
      <c r="BD583">
        <f t="shared" si="451"/>
        <v>-274.64839800914956</v>
      </c>
      <c r="BF583">
        <f t="shared" si="452"/>
        <v>-76.764275264678915</v>
      </c>
      <c r="BG583">
        <f t="shared" si="453"/>
        <v>-261.80118226540725</v>
      </c>
      <c r="BH583">
        <f t="shared" si="464"/>
        <v>-81.801182265407249</v>
      </c>
      <c r="BI583">
        <f t="shared" si="465"/>
        <v>-81.801182265407249</v>
      </c>
      <c r="BJ583">
        <f t="shared" si="454"/>
        <v>0</v>
      </c>
      <c r="BK583">
        <f t="shared" si="466"/>
        <v>0</v>
      </c>
      <c r="BM583">
        <f t="shared" si="467"/>
        <v>-72.380182546458002</v>
      </c>
      <c r="BN583">
        <f t="shared" si="455"/>
        <v>-167.15278425625769</v>
      </c>
      <c r="BQ583" s="56">
        <f t="shared" si="468"/>
        <v>12.517868082064233</v>
      </c>
    </row>
    <row r="584" spans="1:69" x14ac:dyDescent="0.2">
      <c r="A584">
        <f t="shared" si="472"/>
        <v>1850000</v>
      </c>
      <c r="B584">
        <f t="shared" si="456"/>
        <v>1850</v>
      </c>
      <c r="C584">
        <f t="shared" si="425"/>
        <v>1.0256245579232242</v>
      </c>
      <c r="D584">
        <f t="shared" si="426"/>
        <v>0.22400482196429364</v>
      </c>
      <c r="F584">
        <f t="shared" si="427"/>
        <v>1.5545986962195599E-5</v>
      </c>
      <c r="G584">
        <f t="shared" si="428"/>
        <v>8.046577144566081E-4</v>
      </c>
      <c r="H584">
        <f t="shared" si="429"/>
        <v>-3.1407879922855435</v>
      </c>
      <c r="J584">
        <f t="shared" si="430"/>
        <v>15</v>
      </c>
      <c r="M584">
        <f t="shared" si="431"/>
        <v>6.7607898801470639E-4</v>
      </c>
      <c r="N584">
        <f t="shared" si="432"/>
        <v>-1.5707963250000001</v>
      </c>
      <c r="O584">
        <f t="shared" si="433"/>
        <v>363.30614587265262</v>
      </c>
      <c r="P584">
        <f t="shared" si="434"/>
        <v>1.56804382377761</v>
      </c>
      <c r="Q584">
        <f t="shared" si="435"/>
        <v>315.799503013258</v>
      </c>
      <c r="R584">
        <f t="shared" si="436"/>
        <v>1.567629755404961</v>
      </c>
      <c r="S584">
        <f t="shared" si="437"/>
        <v>0.11132158328173994</v>
      </c>
      <c r="T584">
        <f t="shared" si="438"/>
        <v>-1.4592435264085681</v>
      </c>
      <c r="U584">
        <f t="shared" si="439"/>
        <v>0.1098895821970511</v>
      </c>
      <c r="V584">
        <f t="shared" si="440"/>
        <v>-1.4606843680792556</v>
      </c>
      <c r="X584">
        <f t="shared" si="457"/>
        <v>-72.881690168083026</v>
      </c>
      <c r="Y584">
        <f t="shared" si="441"/>
        <v>-244.75804840986319</v>
      </c>
      <c r="Z584">
        <f t="shared" si="458"/>
        <v>-64.758048409863193</v>
      </c>
      <c r="AC584">
        <v>1</v>
      </c>
      <c r="AD584">
        <f t="shared" si="442"/>
        <v>363.30476962027501</v>
      </c>
      <c r="AE584">
        <f t="shared" si="443"/>
        <v>-0.50676188371335573</v>
      </c>
      <c r="AF584">
        <f t="shared" si="444"/>
        <v>5.60271633201E-2</v>
      </c>
      <c r="AG584">
        <f t="shared" si="473"/>
        <v>76.354797389941766</v>
      </c>
      <c r="AH584">
        <f t="shared" si="474"/>
        <v>-708.47243736215023</v>
      </c>
      <c r="AJ584">
        <f t="shared" si="445"/>
        <v>26400</v>
      </c>
      <c r="AK584">
        <f t="shared" si="446"/>
        <v>235676.75139993604</v>
      </c>
      <c r="AL584">
        <v>1</v>
      </c>
      <c r="AM584">
        <f t="shared" si="447"/>
        <v>315.79791972624002</v>
      </c>
      <c r="AN584">
        <f t="shared" si="475"/>
        <v>746.54698601622545</v>
      </c>
      <c r="AO584">
        <f t="shared" si="476"/>
        <v>-81.233761882352894</v>
      </c>
      <c r="AQ584">
        <f t="shared" si="448"/>
        <v>7.3046013656244435E-4</v>
      </c>
      <c r="AR584">
        <f t="shared" si="449"/>
        <v>-2.7027025052810441</v>
      </c>
      <c r="AT584">
        <f t="shared" si="470"/>
        <v>-1914.7344572455224</v>
      </c>
      <c r="AU584">
        <f t="shared" si="471"/>
        <v>-206.88181306936841</v>
      </c>
      <c r="AV584">
        <f t="shared" si="459"/>
        <v>-3.0339629276277491</v>
      </c>
      <c r="AW584">
        <f t="shared" si="460"/>
        <v>603.55301608071738</v>
      </c>
      <c r="AX584">
        <f t="shared" si="461"/>
        <v>-3141.9040405716364</v>
      </c>
      <c r="AY584">
        <f t="shared" si="469"/>
        <v>-1.3810104038502635</v>
      </c>
      <c r="BA584">
        <f t="shared" si="450"/>
        <v>0.60195940822926752</v>
      </c>
      <c r="BB584">
        <f t="shared" si="462"/>
        <v>-4.4086558684117803</v>
      </c>
      <c r="BC584">
        <f t="shared" si="463"/>
        <v>-1.6529525237774856</v>
      </c>
      <c r="BD584">
        <f t="shared" si="451"/>
        <v>-274.70720345616655</v>
      </c>
      <c r="BF584">
        <f t="shared" si="452"/>
        <v>-76.834696480368109</v>
      </c>
      <c r="BG584">
        <f t="shared" si="453"/>
        <v>-261.82656906132382</v>
      </c>
      <c r="BH584">
        <f t="shared" si="464"/>
        <v>-81.826569061323823</v>
      </c>
      <c r="BI584">
        <f t="shared" si="465"/>
        <v>-81.826569061323823</v>
      </c>
      <c r="BJ584">
        <f t="shared" si="454"/>
        <v>0</v>
      </c>
      <c r="BK584">
        <f t="shared" si="466"/>
        <v>0</v>
      </c>
      <c r="BM584">
        <f t="shared" si="467"/>
        <v>-72.426040611956324</v>
      </c>
      <c r="BN584">
        <f t="shared" si="455"/>
        <v>-167.11936560515727</v>
      </c>
      <c r="BQ584" s="56">
        <f t="shared" si="468"/>
        <v>12.493304931873357</v>
      </c>
    </row>
    <row r="585" spans="1:69" x14ac:dyDescent="0.2">
      <c r="A585">
        <f t="shared" si="472"/>
        <v>1855000</v>
      </c>
      <c r="B585">
        <f t="shared" si="456"/>
        <v>1855</v>
      </c>
      <c r="C585">
        <f t="shared" ref="C585:C626" si="477">SQRT((A585/Fesr)^2+1)</f>
        <v>1.02576151443699</v>
      </c>
      <c r="D585">
        <f t="shared" ref="D585:D614" si="478">ATAN(A585/Fesr)</f>
        <v>0.22459011203490564</v>
      </c>
      <c r="F585">
        <f t="shared" ref="F585:F626" si="479">(Ro/(Ro+Rdcr))/SQRT((A585/(Q*Fo))^2+(1-(A585^2/Fo^2))^2)</f>
        <v>1.5462292780596176E-5</v>
      </c>
      <c r="G585">
        <f t="shared" ref="G585:G614" si="480">-ATAN(A585*Fo/(Q*(Fo^2-A585^2)))</f>
        <v>8.0248875947020132E-4</v>
      </c>
      <c r="H585">
        <f t="shared" ref="H585:H648" si="481">IF(G585&gt;0,G585-Pi,G585)</f>
        <v>-3.1407901612405298</v>
      </c>
      <c r="J585">
        <f t="shared" ref="J585:J648" si="482">Vin/Vramp</f>
        <v>15</v>
      </c>
      <c r="M585">
        <f t="shared" ref="M585:M614" si="483">1/(2*Pi*_Rfb1*(Cc1ea_u+Cc2ea_u)*A585)</f>
        <v>6.7425667268313026E-4</v>
      </c>
      <c r="N585">
        <f t="shared" ref="N585:N648" si="484">-Pi/2</f>
        <v>-1.5707963250000001</v>
      </c>
      <c r="O585">
        <f t="shared" ref="O585:O614" si="485">SQRT(1+(A585/Fz1_u)^2)</f>
        <v>364.28804694584898</v>
      </c>
      <c r="P585">
        <f t="shared" ref="P585:P648" si="486">ATAN2(Fz1_u,A585)</f>
        <v>1.5680512428858875</v>
      </c>
      <c r="Q585">
        <f t="shared" ref="Q585:Q614" si="487">SQRT(1+(A585/Fz2_u)^2)</f>
        <v>316.65300663681131</v>
      </c>
      <c r="R585">
        <f t="shared" ref="R585:R648" si="488">ATAN2(Fz2_u,A585)</f>
        <v>1.5676382905809922</v>
      </c>
      <c r="S585">
        <f t="shared" ref="S585:S614" si="489">1/SQRT(1+(A585/Fp1_u)^2)</f>
        <v>0.11102522873977932</v>
      </c>
      <c r="T585">
        <f t="shared" ref="T585:T648" si="490">-ATAN2(Fp1_u,A585)</f>
        <v>-1.4595417295057367</v>
      </c>
      <c r="U585">
        <f t="shared" ref="U585:U626" si="491">1/SQRT(1+(A585/Fp2_u)^2)</f>
        <v>0.10959694639573171</v>
      </c>
      <c r="V585">
        <f t="shared" ref="V585:V648" si="492">-ATAN2(Fp2_u,A585)</f>
        <v>-1.4609787821523965</v>
      </c>
      <c r="X585">
        <f t="shared" si="457"/>
        <v>-72.950290534998729</v>
      </c>
      <c r="Y585">
        <f t="shared" ref="Y585:Y614" si="493">(180/Pi)*(D585+H585+N585+P585+R585+T585+V585)</f>
        <v>-244.75767838056214</v>
      </c>
      <c r="Z585">
        <f t="shared" si="458"/>
        <v>-64.75767838056214</v>
      </c>
      <c r="AC585">
        <v>1</v>
      </c>
      <c r="AD585">
        <f t="shared" ref="AD585:AD626" si="494">Rcea1_u*Cc1ea_u*A585*2*Pi</f>
        <v>364.28667440303252</v>
      </c>
      <c r="AE585">
        <f t="shared" ref="AE585:AE626" si="495">-Rcea1_u*Cc1ea_u*Cc2ea_u*(A585*2*Pi)^2</f>
        <v>-0.50950483883265152</v>
      </c>
      <c r="AF585">
        <f t="shared" ref="AF585:AF626" si="496">(Cc2ea_u+Cc1ea_u)*A585*2*Pi</f>
        <v>5.6178588085829997E-2</v>
      </c>
      <c r="AG585">
        <f t="shared" si="473"/>
        <v>75.948673430666275</v>
      </c>
      <c r="AH585">
        <f t="shared" si="474"/>
        <v>-706.60758784462814</v>
      </c>
      <c r="AJ585">
        <f t="shared" ref="AJ585:AJ648" si="497">_Rfb1</f>
        <v>26400</v>
      </c>
      <c r="AK585">
        <f t="shared" ref="AK585:AK626" si="498">_Rfb1*Rcea2_u*Cc3ea_u*A585*2*Pi</f>
        <v>236313.71559290882</v>
      </c>
      <c r="AL585">
        <v>1</v>
      </c>
      <c r="AM585">
        <f t="shared" ref="AM585:AM626" si="499">(_Rfb1+Rcea2_u)*Cc3ea_u*A585*2*Pi</f>
        <v>316.65142761739207</v>
      </c>
      <c r="AN585">
        <f t="shared" si="475"/>
        <v>746.5456011961262</v>
      </c>
      <c r="AO585">
        <f t="shared" si="476"/>
        <v>-81.014807328772818</v>
      </c>
      <c r="AQ585">
        <f t="shared" ref="AQ585:AQ626" si="500">Eadcg/(1+(Eadcg*A585/GBP)^2)</f>
        <v>7.2652765334982653E-4</v>
      </c>
      <c r="AR585">
        <f t="shared" ref="AR585:AR626" si="501">-(A585*Eadcg*Eadcg/GBP)/(1+(Eadcg*A585/GBP)^2)</f>
        <v>-2.6954175939278562</v>
      </c>
      <c r="AT585">
        <f t="shared" si="470"/>
        <v>-1904.5473454678513</v>
      </c>
      <c r="AU585">
        <f t="shared" si="471"/>
        <v>-205.22676055313494</v>
      </c>
      <c r="AV585">
        <f t="shared" si="459"/>
        <v>-3.0342506510838541</v>
      </c>
      <c r="AW585">
        <f t="shared" si="460"/>
        <v>604.32634265793808</v>
      </c>
      <c r="AX585">
        <f t="shared" si="461"/>
        <v>-3133.4757488185396</v>
      </c>
      <c r="AY585">
        <f t="shared" si="469"/>
        <v>-1.3802741876228393</v>
      </c>
      <c r="BA585">
        <f t="shared" ref="BA585:BA648" si="502">SQRT(AT585^2+AU585^2)/SQRT(AW585^2+AX585^2)</f>
        <v>0.60026356129303893</v>
      </c>
      <c r="BB585">
        <f t="shared" si="462"/>
        <v>-4.4331603895768277</v>
      </c>
      <c r="BC585">
        <f t="shared" si="463"/>
        <v>-1.6539764634610148</v>
      </c>
      <c r="BD585">
        <f t="shared" ref="BD585:BD648" si="503">BC585*180/Pi-180</f>
        <v>-274.76587087857575</v>
      </c>
      <c r="BF585">
        <f t="shared" ref="BF585:BF648" si="504">20*LOG(BA585*J585*F585*C585)</f>
        <v>-76.904929345052196</v>
      </c>
      <c r="BG585">
        <f t="shared" ref="BG585:BG648" si="505">(180/Pi)*(D585+H585+BC585)</f>
        <v>-261.85182610482457</v>
      </c>
      <c r="BH585">
        <f t="shared" si="464"/>
        <v>-81.851826104824568</v>
      </c>
      <c r="BI585">
        <f t="shared" si="465"/>
        <v>-81.851826104824568</v>
      </c>
      <c r="BJ585">
        <f t="shared" ref="BJ585:BJ648" si="506">SUM((BF586&lt;0)*(BF585&gt;0))*A585</f>
        <v>0</v>
      </c>
      <c r="BK585">
        <f t="shared" si="466"/>
        <v>0</v>
      </c>
      <c r="BM585">
        <f t="shared" si="467"/>
        <v>-72.471768955475369</v>
      </c>
      <c r="BN585">
        <f t="shared" ref="BN585:BN648" si="507">(H585+D585)*180/Pi</f>
        <v>-167.08595522624879</v>
      </c>
      <c r="BQ585" s="56">
        <f t="shared" si="468"/>
        <v>12.46880041070831</v>
      </c>
    </row>
    <row r="586" spans="1:69" x14ac:dyDescent="0.2">
      <c r="A586">
        <f t="shared" si="472"/>
        <v>1860000</v>
      </c>
      <c r="B586">
        <f t="shared" ref="B586:B649" si="508">A586/1000</f>
        <v>1860</v>
      </c>
      <c r="C586">
        <f t="shared" si="477"/>
        <v>1.0258988222463115</v>
      </c>
      <c r="D586">
        <f t="shared" si="478"/>
        <v>0.22517524563374886</v>
      </c>
      <c r="F586">
        <f t="shared" si="479"/>
        <v>1.5379272658031108E-5</v>
      </c>
      <c r="G586">
        <f t="shared" si="480"/>
        <v>8.0033146606438678E-4</v>
      </c>
      <c r="H586">
        <f t="shared" si="481"/>
        <v>-3.1407923185339359</v>
      </c>
      <c r="J586">
        <f t="shared" si="482"/>
        <v>15</v>
      </c>
      <c r="M586">
        <f t="shared" si="483"/>
        <v>6.7244415474581004E-4</v>
      </c>
      <c r="N586">
        <f t="shared" si="484"/>
        <v>-1.5707963250000001</v>
      </c>
      <c r="O586">
        <f t="shared" si="485"/>
        <v>365.26994803898901</v>
      </c>
      <c r="P586">
        <f t="shared" si="486"/>
        <v>1.568058622106786</v>
      </c>
      <c r="Q586">
        <f t="shared" si="487"/>
        <v>317.5065102833085</v>
      </c>
      <c r="R586">
        <f t="shared" si="488"/>
        <v>1.5676467798694369</v>
      </c>
      <c r="S586">
        <f t="shared" si="489"/>
        <v>0.11073043811936664</v>
      </c>
      <c r="T586">
        <f t="shared" si="490"/>
        <v>-1.4598383490705993</v>
      </c>
      <c r="U586">
        <f t="shared" si="491"/>
        <v>0.10930585563315812</v>
      </c>
      <c r="V586">
        <f t="shared" si="492"/>
        <v>-1.4612716323164134</v>
      </c>
      <c r="X586">
        <f t="shared" ref="X586:X614" si="509">20*LOG(C586*J586*O586*Q586*F586*M586*S586*U586)</f>
        <v>-73.018703326811135</v>
      </c>
      <c r="Y586">
        <f t="shared" si="493"/>
        <v>-244.7571412277068</v>
      </c>
      <c r="Z586">
        <f t="shared" ref="Z586:Z649" si="510">Y586+180</f>
        <v>-64.757141227706796</v>
      </c>
      <c r="AC586">
        <v>1</v>
      </c>
      <c r="AD586">
        <f t="shared" si="494"/>
        <v>365.26857918578997</v>
      </c>
      <c r="AE586">
        <f t="shared" si="495"/>
        <v>-0.5122551973395838</v>
      </c>
      <c r="AF586">
        <f t="shared" si="496"/>
        <v>5.6330012851560002E-2</v>
      </c>
      <c r="AG586">
        <f t="shared" si="473"/>
        <v>75.545768085292352</v>
      </c>
      <c r="AH586">
        <f t="shared" si="474"/>
        <v>-704.75241046571944</v>
      </c>
      <c r="AJ586">
        <f t="shared" si="497"/>
        <v>26400</v>
      </c>
      <c r="AK586">
        <f t="shared" si="498"/>
        <v>236950.67978588163</v>
      </c>
      <c r="AL586">
        <v>1</v>
      </c>
      <c r="AM586">
        <f t="shared" si="499"/>
        <v>317.50493550854401</v>
      </c>
      <c r="AN586">
        <f t="shared" si="475"/>
        <v>746.54422752876621</v>
      </c>
      <c r="AO586">
        <f t="shared" si="476"/>
        <v>-80.797029915085844</v>
      </c>
      <c r="AQ586">
        <f t="shared" si="500"/>
        <v>7.2262684106350148E-4</v>
      </c>
      <c r="AR586">
        <f t="shared" si="501"/>
        <v>-2.6881718487562254</v>
      </c>
      <c r="AT586">
        <f t="shared" si="470"/>
        <v>-1894.4409987572922</v>
      </c>
      <c r="AU586">
        <f t="shared" si="471"/>
        <v>-203.58928006765612</v>
      </c>
      <c r="AV586">
        <f t="shared" ref="AV586:AV649" si="511">ATAN2(AT586,AU586)</f>
        <v>-3.0345368466015947</v>
      </c>
      <c r="AW586">
        <f t="shared" ref="AW586:AW649" si="512">AG586-AH586*AO586/_Rfb2+AG586*AN586/_Rfb2+AN586-AO586*AR586+AQ586*AN586</f>
        <v>605.09338940954751</v>
      </c>
      <c r="AX586">
        <f t="shared" ref="AX586:AX649" si="513">AH586+AH586*AN586/_Rfb2+AG586*AO586/_Rfb2+AO586+AO586*AQ586+AN586*AR586</f>
        <v>-3125.0924512489119</v>
      </c>
      <c r="AY586">
        <f t="shared" si="469"/>
        <v>-1.3795388348715605</v>
      </c>
      <c r="BA586">
        <f t="shared" si="502"/>
        <v>0.59857651019842262</v>
      </c>
      <c r="BB586">
        <f t="shared" ref="BB586:BB649" si="514">20*LOG(BA586)</f>
        <v>-4.4576066016162086</v>
      </c>
      <c r="BC586">
        <f t="shared" ref="BC586:BC649" si="515">AV586-AY586</f>
        <v>-1.6549980117300342</v>
      </c>
      <c r="BD586">
        <f t="shared" si="503"/>
        <v>-274.8244012830263</v>
      </c>
      <c r="BF586">
        <f t="shared" si="504"/>
        <v>-76.974974864183451</v>
      </c>
      <c r="BG586">
        <f t="shared" si="505"/>
        <v>-261.8769544273793</v>
      </c>
      <c r="BH586">
        <f t="shared" ref="BH586:BH649" si="516">IF(BG586&gt;180,BG586-180,BG586+180)</f>
        <v>-81.876954427379303</v>
      </c>
      <c r="BI586">
        <f t="shared" ref="BI586:BI649" si="517">IF(BH586&gt;180,BH586-360,BH586)</f>
        <v>-81.876954427379303</v>
      </c>
      <c r="BJ586">
        <f t="shared" si="506"/>
        <v>0</v>
      </c>
      <c r="BK586">
        <f t="shared" ref="BK586:BK649" si="518">IF(BJ586&gt;0,BI586,0)</f>
        <v>0</v>
      </c>
      <c r="BM586">
        <f t="shared" ref="BM586:BM649" si="519">20*LOG(J586*F586*C586)</f>
        <v>-72.517368262567246</v>
      </c>
      <c r="BN586">
        <f t="shared" si="507"/>
        <v>-167.05255314435297</v>
      </c>
      <c r="BQ586" s="56">
        <f t="shared" ref="BQ586:BQ649" si="520">20*LOG(BA586*7)</f>
        <v>12.444354198668927</v>
      </c>
    </row>
    <row r="587" spans="1:69" x14ac:dyDescent="0.2">
      <c r="A587">
        <f t="shared" si="472"/>
        <v>1865000</v>
      </c>
      <c r="B587">
        <f t="shared" si="508"/>
        <v>1865</v>
      </c>
      <c r="C587">
        <f t="shared" si="477"/>
        <v>1.0260364812101537</v>
      </c>
      <c r="D587">
        <f t="shared" si="478"/>
        <v>0.22576022242304497</v>
      </c>
      <c r="F587">
        <f t="shared" si="479"/>
        <v>1.5296919375502887E-5</v>
      </c>
      <c r="G587">
        <f t="shared" si="480"/>
        <v>7.9818574044060594E-4</v>
      </c>
      <c r="H587">
        <f t="shared" si="481"/>
        <v>-3.1407944642595598</v>
      </c>
      <c r="J587">
        <f t="shared" si="482"/>
        <v>15</v>
      </c>
      <c r="M587">
        <f t="shared" si="483"/>
        <v>6.70641355403328E-4</v>
      </c>
      <c r="N587">
        <f t="shared" si="484"/>
        <v>-1.5707963250000001</v>
      </c>
      <c r="O587">
        <f t="shared" si="485"/>
        <v>366.25184915191255</v>
      </c>
      <c r="P587">
        <f t="shared" si="486"/>
        <v>1.5680659617611121</v>
      </c>
      <c r="Q587">
        <f t="shared" si="487"/>
        <v>318.36001395256511</v>
      </c>
      <c r="R587">
        <f t="shared" si="488"/>
        <v>1.5676552236393591</v>
      </c>
      <c r="S587">
        <f t="shared" si="489"/>
        <v>0.11043719915107401</v>
      </c>
      <c r="T587">
        <f t="shared" si="490"/>
        <v>-1.4601333976313955</v>
      </c>
      <c r="U587">
        <f t="shared" si="491"/>
        <v>0.10901629778021386</v>
      </c>
      <c r="V587">
        <f t="shared" si="492"/>
        <v>-1.4615629309495468</v>
      </c>
      <c r="X587">
        <f t="shared" si="509"/>
        <v>-73.086929513978703</v>
      </c>
      <c r="Y587">
        <f t="shared" si="493"/>
        <v>-244.75643836353427</v>
      </c>
      <c r="Z587">
        <f t="shared" si="510"/>
        <v>-64.756438363534272</v>
      </c>
      <c r="AC587">
        <v>1</v>
      </c>
      <c r="AD587">
        <f t="shared" si="494"/>
        <v>366.25048396854748</v>
      </c>
      <c r="AE587">
        <f t="shared" si="495"/>
        <v>-0.51501295923415236</v>
      </c>
      <c r="AF587">
        <f t="shared" si="496"/>
        <v>5.6481437617289992E-2</v>
      </c>
      <c r="AG587">
        <f t="shared" si="473"/>
        <v>75.146047569884459</v>
      </c>
      <c r="AH587">
        <f t="shared" si="474"/>
        <v>-702.90683113850707</v>
      </c>
      <c r="AJ587">
        <f t="shared" si="497"/>
        <v>26400</v>
      </c>
      <c r="AK587">
        <f t="shared" si="498"/>
        <v>237587.64397885441</v>
      </c>
      <c r="AL587">
        <v>1</v>
      </c>
      <c r="AM587">
        <f t="shared" si="499"/>
        <v>318.35844339969606</v>
      </c>
      <c r="AN587">
        <f t="shared" si="475"/>
        <v>746.5428648947069</v>
      </c>
      <c r="AO587">
        <f t="shared" si="476"/>
        <v>-80.580420174053984</v>
      </c>
      <c r="AQ587">
        <f t="shared" si="500"/>
        <v>7.1875736052459508E-4</v>
      </c>
      <c r="AR587">
        <f t="shared" si="501"/>
        <v>-2.6809649547567398</v>
      </c>
      <c r="AT587">
        <f t="shared" si="470"/>
        <v>-1884.4145689666459</v>
      </c>
      <c r="AU587">
        <f t="shared" si="471"/>
        <v>-201.9691394819869</v>
      </c>
      <c r="AV587">
        <f t="shared" si="511"/>
        <v>-3.0348215262699054</v>
      </c>
      <c r="AW587">
        <f t="shared" si="512"/>
        <v>605.85422426870844</v>
      </c>
      <c r="AX587">
        <f t="shared" si="513"/>
        <v>-3116.7537893139561</v>
      </c>
      <c r="AY587">
        <f t="shared" ref="AY587:AY650" si="521">ATAN2(AW587,AX587)</f>
        <v>-1.3788043403073065</v>
      </c>
      <c r="BA587">
        <f t="shared" si="502"/>
        <v>0.59689818579393394</v>
      </c>
      <c r="BB587">
        <f t="shared" si="514"/>
        <v>-4.4819948219279766</v>
      </c>
      <c r="BC587">
        <f t="shared" si="515"/>
        <v>-1.6560171859625989</v>
      </c>
      <c r="BD587">
        <f t="shared" si="503"/>
        <v>-274.88279566520748</v>
      </c>
      <c r="BF587">
        <f t="shared" si="504"/>
        <v>-77.044834035213555</v>
      </c>
      <c r="BG587">
        <f t="shared" si="505"/>
        <v>-261.90195504940476</v>
      </c>
      <c r="BH587">
        <f t="shared" si="516"/>
        <v>-81.901955049404762</v>
      </c>
      <c r="BI587">
        <f t="shared" si="517"/>
        <v>-81.901955049404762</v>
      </c>
      <c r="BJ587">
        <f t="shared" si="506"/>
        <v>0</v>
      </c>
      <c r="BK587">
        <f t="shared" si="518"/>
        <v>0</v>
      </c>
      <c r="BM587">
        <f t="shared" si="519"/>
        <v>-72.562839213285585</v>
      </c>
      <c r="BN587">
        <f t="shared" si="507"/>
        <v>-167.01915938419725</v>
      </c>
      <c r="BQ587" s="56">
        <f t="shared" si="520"/>
        <v>12.419965978357158</v>
      </c>
    </row>
    <row r="588" spans="1:69" x14ac:dyDescent="0.2">
      <c r="A588">
        <f t="shared" si="472"/>
        <v>1870000</v>
      </c>
      <c r="B588">
        <f t="shared" si="508"/>
        <v>1870</v>
      </c>
      <c r="C588">
        <f t="shared" si="477"/>
        <v>1.0261744911871971</v>
      </c>
      <c r="D588">
        <f t="shared" si="478"/>
        <v>0.22634504206562606</v>
      </c>
      <c r="F588">
        <f t="shared" si="479"/>
        <v>1.5215225810398357E-5</v>
      </c>
      <c r="G588">
        <f t="shared" si="480"/>
        <v>7.9605148980356878E-4</v>
      </c>
      <c r="H588">
        <f t="shared" si="481"/>
        <v>-3.1407965985101964</v>
      </c>
      <c r="J588">
        <f t="shared" si="482"/>
        <v>15</v>
      </c>
      <c r="M588">
        <f t="shared" si="483"/>
        <v>6.6884819669904105E-4</v>
      </c>
      <c r="N588">
        <f t="shared" si="484"/>
        <v>-1.5707963250000001</v>
      </c>
      <c r="O588">
        <f t="shared" si="485"/>
        <v>367.23375028446071</v>
      </c>
      <c r="P588">
        <f t="shared" si="486"/>
        <v>1.5680732621662417</v>
      </c>
      <c r="Q588">
        <f t="shared" si="487"/>
        <v>319.21351764439856</v>
      </c>
      <c r="R588">
        <f t="shared" si="488"/>
        <v>1.5676636222558755</v>
      </c>
      <c r="S588">
        <f t="shared" si="489"/>
        <v>0.11014549969265774</v>
      </c>
      <c r="T588">
        <f t="shared" si="490"/>
        <v>-1.4604268875851019</v>
      </c>
      <c r="U588">
        <f t="shared" si="491"/>
        <v>0.10872826083361543</v>
      </c>
      <c r="V588">
        <f t="shared" si="492"/>
        <v>-1.4618526903002751</v>
      </c>
      <c r="X588">
        <f t="shared" si="509"/>
        <v>-73.154970059437517</v>
      </c>
      <c r="Y588">
        <f t="shared" si="493"/>
        <v>-244.75557118565624</v>
      </c>
      <c r="Z588">
        <f t="shared" si="510"/>
        <v>-64.755571185656237</v>
      </c>
      <c r="AC588">
        <v>1</v>
      </c>
      <c r="AD588">
        <f t="shared" si="494"/>
        <v>367.232388751305</v>
      </c>
      <c r="AE588">
        <f t="shared" si="495"/>
        <v>-0.51777812451635741</v>
      </c>
      <c r="AF588">
        <f t="shared" si="496"/>
        <v>5.6632862383020004E-2</v>
      </c>
      <c r="AG588">
        <f t="shared" si="473"/>
        <v>74.749478540798748</v>
      </c>
      <c r="AH588">
        <f t="shared" si="474"/>
        <v>-701.07077652028863</v>
      </c>
      <c r="AJ588">
        <f t="shared" si="497"/>
        <v>26400</v>
      </c>
      <c r="AK588">
        <f t="shared" si="498"/>
        <v>238224.60817182725</v>
      </c>
      <c r="AL588">
        <v>1</v>
      </c>
      <c r="AM588">
        <f t="shared" si="499"/>
        <v>319.21195129084805</v>
      </c>
      <c r="AN588">
        <f t="shared" si="475"/>
        <v>746.54151317610535</v>
      </c>
      <c r="AO588">
        <f t="shared" si="476"/>
        <v>-80.364968739688251</v>
      </c>
      <c r="AQ588">
        <f t="shared" si="500"/>
        <v>7.1491887708263909E-4</v>
      </c>
      <c r="AR588">
        <f t="shared" si="501"/>
        <v>-2.6737966002890703</v>
      </c>
      <c r="AT588">
        <f t="shared" si="470"/>
        <v>-1874.4672190087053</v>
      </c>
      <c r="AU588">
        <f t="shared" si="471"/>
        <v>-200.36611032807386</v>
      </c>
      <c r="AV588">
        <f t="shared" si="511"/>
        <v>-3.0351047020510538</v>
      </c>
      <c r="AW588">
        <f t="shared" si="512"/>
        <v>606.6089142509403</v>
      </c>
      <c r="AX588">
        <f t="shared" si="513"/>
        <v>-3108.4594082563908</v>
      </c>
      <c r="AY588">
        <f t="shared" si="521"/>
        <v>-1.378070698703016</v>
      </c>
      <c r="BA588">
        <f t="shared" si="502"/>
        <v>0.59522851965068735</v>
      </c>
      <c r="BB588">
        <f t="shared" si="514"/>
        <v>-4.5063253654335318</v>
      </c>
      <c r="BC588">
        <f t="shared" si="515"/>
        <v>-1.6570340033480377</v>
      </c>
      <c r="BD588">
        <f t="shared" si="503"/>
        <v>-274.94105500999524</v>
      </c>
      <c r="BF588">
        <f t="shared" si="504"/>
        <v>-77.114507847677942</v>
      </c>
      <c r="BG588">
        <f t="shared" si="505"/>
        <v>-261.92682898041198</v>
      </c>
      <c r="BH588">
        <f t="shared" si="516"/>
        <v>-81.926828980411983</v>
      </c>
      <c r="BI588">
        <f t="shared" si="517"/>
        <v>-81.926828980411983</v>
      </c>
      <c r="BJ588">
        <f t="shared" si="506"/>
        <v>0</v>
      </c>
      <c r="BK588">
        <f t="shared" si="518"/>
        <v>0</v>
      </c>
      <c r="BM588">
        <f t="shared" si="519"/>
        <v>-72.608182482244402</v>
      </c>
      <c r="BN588">
        <f t="shared" si="507"/>
        <v>-166.98577397041677</v>
      </c>
      <c r="BQ588" s="56">
        <f t="shared" si="520"/>
        <v>12.395635434851604</v>
      </c>
    </row>
    <row r="589" spans="1:69" x14ac:dyDescent="0.2">
      <c r="A589">
        <f t="shared" si="472"/>
        <v>1875000</v>
      </c>
      <c r="B589">
        <f t="shared" si="508"/>
        <v>1875</v>
      </c>
      <c r="C589">
        <f t="shared" si="477"/>
        <v>1.0263128520358378</v>
      </c>
      <c r="D589">
        <f t="shared" si="478"/>
        <v>0.22692970422493527</v>
      </c>
      <c r="F589">
        <f t="shared" si="479"/>
        <v>1.5134184934948558E-5</v>
      </c>
      <c r="G589">
        <f t="shared" si="480"/>
        <v>7.9392862234787631E-4</v>
      </c>
      <c r="H589">
        <f t="shared" si="481"/>
        <v>-3.1407987213776525</v>
      </c>
      <c r="J589">
        <f t="shared" si="482"/>
        <v>15</v>
      </c>
      <c r="M589">
        <f t="shared" si="483"/>
        <v>6.6706460150784362E-4</v>
      </c>
      <c r="N589">
        <f t="shared" si="484"/>
        <v>-1.5707963250000001</v>
      </c>
      <c r="O589">
        <f t="shared" si="485"/>
        <v>368.21565143647655</v>
      </c>
      <c r="P589">
        <f t="shared" si="486"/>
        <v>1.5680805236361652</v>
      </c>
      <c r="Q589">
        <f t="shared" si="487"/>
        <v>320.06702135862815</v>
      </c>
      <c r="R589">
        <f t="shared" si="488"/>
        <v>1.5676719760802091</v>
      </c>
      <c r="S589">
        <f t="shared" si="489"/>
        <v>0.10985532772742555</v>
      </c>
      <c r="T589">
        <f t="shared" si="490"/>
        <v>-1.4607188311991388</v>
      </c>
      <c r="U589">
        <f t="shared" si="491"/>
        <v>0.10844173291429501</v>
      </c>
      <c r="V589">
        <f t="shared" si="492"/>
        <v>-1.4621409224890054</v>
      </c>
      <c r="X589">
        <f t="shared" si="509"/>
        <v>-73.22282591867841</v>
      </c>
      <c r="Y589">
        <f t="shared" si="493"/>
        <v>-244.75454107724869</v>
      </c>
      <c r="Z589">
        <f t="shared" si="510"/>
        <v>-64.754541077248689</v>
      </c>
      <c r="AC589">
        <v>1</v>
      </c>
      <c r="AD589">
        <f t="shared" si="494"/>
        <v>368.21429353406251</v>
      </c>
      <c r="AE589">
        <f t="shared" si="495"/>
        <v>-0.52055069318619895</v>
      </c>
      <c r="AF589">
        <f t="shared" si="496"/>
        <v>5.6784287148749994E-2</v>
      </c>
      <c r="AG589">
        <f t="shared" si="473"/>
        <v>74.356028087843981</v>
      </c>
      <c r="AH589">
        <f t="shared" si="474"/>
        <v>-699.24417400340167</v>
      </c>
      <c r="AJ589">
        <f t="shared" si="497"/>
        <v>26400</v>
      </c>
      <c r="AK589">
        <f t="shared" si="498"/>
        <v>238861.57236480003</v>
      </c>
      <c r="AL589">
        <v>1</v>
      </c>
      <c r="AM589">
        <f t="shared" si="499"/>
        <v>320.06545918200004</v>
      </c>
      <c r="AN589">
        <f t="shared" si="475"/>
        <v>746.54017225668701</v>
      </c>
      <c r="AO589">
        <f t="shared" si="476"/>
        <v>-80.1506663458986</v>
      </c>
      <c r="AQ589">
        <f t="shared" si="500"/>
        <v>7.1111106054321351E-4</v>
      </c>
      <c r="AR589">
        <f t="shared" si="501"/>
        <v>-2.6666664770370505</v>
      </c>
      <c r="AT589">
        <f t="shared" si="470"/>
        <v>-1864.5981226843421</v>
      </c>
      <c r="AU589">
        <f t="shared" si="471"/>
        <v>-198.7799677336331</v>
      </c>
      <c r="AV589">
        <f t="shared" si="511"/>
        <v>-3.0353863857822874</v>
      </c>
      <c r="AW589">
        <f t="shared" si="512"/>
        <v>607.35752546897425</v>
      </c>
      <c r="AX589">
        <f t="shared" si="513"/>
        <v>-3100.2089570605581</v>
      </c>
      <c r="AY589">
        <f t="shared" si="521"/>
        <v>-1.377337904892816</v>
      </c>
      <c r="BA589">
        <f t="shared" si="502"/>
        <v>0.59356744405304041</v>
      </c>
      <c r="BB589">
        <f t="shared" si="514"/>
        <v>-4.5305985446026362</v>
      </c>
      <c r="BC589">
        <f t="shared" si="515"/>
        <v>-1.6580484808894713</v>
      </c>
      <c r="BD589">
        <f t="shared" si="503"/>
        <v>-274.99918029159664</v>
      </c>
      <c r="BF589">
        <f t="shared" si="504"/>
        <v>-77.18399728327897</v>
      </c>
      <c r="BG589">
        <f t="shared" si="505"/>
        <v>-261.95157721915149</v>
      </c>
      <c r="BH589">
        <f t="shared" si="516"/>
        <v>-81.951577219151488</v>
      </c>
      <c r="BI589">
        <f t="shared" si="517"/>
        <v>-81.951577219151488</v>
      </c>
      <c r="BJ589">
        <f t="shared" si="506"/>
        <v>0</v>
      </c>
      <c r="BK589">
        <f t="shared" si="518"/>
        <v>0</v>
      </c>
      <c r="BM589">
        <f t="shared" si="519"/>
        <v>-72.65339873867633</v>
      </c>
      <c r="BN589">
        <f t="shared" si="507"/>
        <v>-166.9523969275549</v>
      </c>
      <c r="BQ589" s="56">
        <f t="shared" si="520"/>
        <v>12.371362255682499</v>
      </c>
    </row>
    <row r="590" spans="1:69" x14ac:dyDescent="0.2">
      <c r="A590">
        <f t="shared" si="472"/>
        <v>1880000</v>
      </c>
      <c r="B590">
        <f t="shared" si="508"/>
        <v>1880</v>
      </c>
      <c r="C590">
        <f t="shared" si="477"/>
        <v>1.026451563614188</v>
      </c>
      <c r="D590">
        <f t="shared" si="478"/>
        <v>0.2275142085650276</v>
      </c>
      <c r="F590">
        <f t="shared" si="479"/>
        <v>1.5053789814717232E-5</v>
      </c>
      <c r="G590">
        <f t="shared" si="480"/>
        <v>7.9181704724485538E-4</v>
      </c>
      <c r="H590">
        <f t="shared" si="481"/>
        <v>-3.1408008329527553</v>
      </c>
      <c r="J590">
        <f t="shared" si="482"/>
        <v>15</v>
      </c>
      <c r="M590">
        <f t="shared" si="483"/>
        <v>6.6529049352511002E-4</v>
      </c>
      <c r="N590">
        <f t="shared" si="484"/>
        <v>-1.5707963250000001</v>
      </c>
      <c r="O590">
        <f t="shared" si="485"/>
        <v>369.19755260780471</v>
      </c>
      <c r="P590">
        <f t="shared" si="486"/>
        <v>1.5680877464815328</v>
      </c>
      <c r="Q590">
        <f t="shared" si="487"/>
        <v>320.92052509507528</v>
      </c>
      <c r="R590">
        <f t="shared" si="488"/>
        <v>1.5676802854697394</v>
      </c>
      <c r="S590">
        <f t="shared" si="489"/>
        <v>0.10956667136262882</v>
      </c>
      <c r="T590">
        <f t="shared" si="490"/>
        <v>-1.461009240613051</v>
      </c>
      <c r="U590">
        <f t="shared" si="491"/>
        <v>0.10815670226580826</v>
      </c>
      <c r="V590">
        <f t="shared" si="492"/>
        <v>-1.4624276395097358</v>
      </c>
      <c r="X590">
        <f t="shared" si="509"/>
        <v>-73.290498039823191</v>
      </c>
      <c r="Y590">
        <f t="shared" si="493"/>
        <v>-244.75334940723886</v>
      </c>
      <c r="Z590">
        <f t="shared" si="510"/>
        <v>-64.753349407238858</v>
      </c>
      <c r="AC590">
        <v>1</v>
      </c>
      <c r="AD590">
        <f t="shared" si="494"/>
        <v>369.19619831682002</v>
      </c>
      <c r="AE590">
        <f t="shared" si="495"/>
        <v>-0.52333066524367688</v>
      </c>
      <c r="AF590">
        <f t="shared" si="496"/>
        <v>5.6935711914479999E-2</v>
      </c>
      <c r="AG590">
        <f t="shared" si="473"/>
        <v>73.965663727565442</v>
      </c>
      <c r="AH590">
        <f t="shared" si="474"/>
        <v>-697.42695170617833</v>
      </c>
      <c r="AJ590">
        <f t="shared" si="497"/>
        <v>26400</v>
      </c>
      <c r="AK590">
        <f t="shared" si="498"/>
        <v>239498.53655777284</v>
      </c>
      <c r="AL590">
        <v>1</v>
      </c>
      <c r="AM590">
        <f t="shared" si="499"/>
        <v>320.91896707315203</v>
      </c>
      <c r="AN590">
        <f t="shared" si="475"/>
        <v>746.53884202172185</v>
      </c>
      <c r="AO590">
        <f t="shared" si="476"/>
        <v>-79.937503825165578</v>
      </c>
      <c r="AQ590">
        <f t="shared" si="500"/>
        <v>7.073335850969341E-4</v>
      </c>
      <c r="AR590">
        <f t="shared" si="501"/>
        <v>-2.6595742799644722</v>
      </c>
      <c r="AT590">
        <f t="shared" si="470"/>
        <v>-1854.8064645136774</v>
      </c>
      <c r="AU590">
        <f t="shared" si="471"/>
        <v>-197.2104903564277</v>
      </c>
      <c r="AV590">
        <f t="shared" si="511"/>
        <v>-3.0356665891774584</v>
      </c>
      <c r="AW590">
        <f t="shared" si="512"/>
        <v>608.10012314733069</v>
      </c>
      <c r="AX590">
        <f t="shared" si="513"/>
        <v>-3092.0020884033293</v>
      </c>
      <c r="AY590">
        <f t="shared" si="521"/>
        <v>-1.3766059537711621</v>
      </c>
      <c r="BA590">
        <f t="shared" si="502"/>
        <v>0.59191489198937552</v>
      </c>
      <c r="BB590">
        <f t="shared" si="514"/>
        <v>-4.5548146694782297</v>
      </c>
      <c r="BC590">
        <f t="shared" si="515"/>
        <v>-1.6590606354062962</v>
      </c>
      <c r="BD590">
        <f t="shared" si="503"/>
        <v>-275.05717247369205</v>
      </c>
      <c r="BF590">
        <f t="shared" si="504"/>
        <v>-77.253303315968139</v>
      </c>
      <c r="BG590">
        <f t="shared" si="505"/>
        <v>-261.97620075375596</v>
      </c>
      <c r="BH590">
        <f t="shared" si="516"/>
        <v>-81.976200753755961</v>
      </c>
      <c r="BI590">
        <f t="shared" si="517"/>
        <v>-81.976200753755961</v>
      </c>
      <c r="BJ590">
        <f t="shared" si="506"/>
        <v>0</v>
      </c>
      <c r="BK590">
        <f t="shared" si="518"/>
        <v>0</v>
      </c>
      <c r="BM590">
        <f t="shared" si="519"/>
        <v>-72.69848864648992</v>
      </c>
      <c r="BN590">
        <f t="shared" si="507"/>
        <v>-166.91902828006391</v>
      </c>
      <c r="BQ590" s="56">
        <f t="shared" si="520"/>
        <v>12.347146130806905</v>
      </c>
    </row>
    <row r="591" spans="1:69" x14ac:dyDescent="0.2">
      <c r="A591">
        <f t="shared" si="472"/>
        <v>1885000</v>
      </c>
      <c r="B591">
        <f t="shared" si="508"/>
        <v>1885</v>
      </c>
      <c r="C591">
        <f t="shared" si="477"/>
        <v>1.0265906257800776</v>
      </c>
      <c r="D591">
        <f t="shared" si="478"/>
        <v>0.22809855475057084</v>
      </c>
      <c r="F591">
        <f t="shared" si="479"/>
        <v>1.4974033607117341E-5</v>
      </c>
      <c r="G591">
        <f t="shared" si="480"/>
        <v>7.8971667462960423E-4</v>
      </c>
      <c r="H591">
        <f t="shared" si="481"/>
        <v>-3.1408029333253706</v>
      </c>
      <c r="J591">
        <f t="shared" si="482"/>
        <v>15</v>
      </c>
      <c r="M591">
        <f t="shared" si="483"/>
        <v>6.6352579725581257E-4</v>
      </c>
      <c r="N591">
        <f t="shared" si="484"/>
        <v>-1.5707963250000001</v>
      </c>
      <c r="O591">
        <f t="shared" si="485"/>
        <v>370.17945379829155</v>
      </c>
      <c r="P591">
        <f t="shared" si="486"/>
        <v>1.5680949310096988</v>
      </c>
      <c r="Q591">
        <f t="shared" si="487"/>
        <v>321.7740288535631</v>
      </c>
      <c r="R591">
        <f t="shared" si="488"/>
        <v>1.5676885507780545</v>
      </c>
      <c r="S591">
        <f t="shared" si="489"/>
        <v>0.10927951882787912</v>
      </c>
      <c r="T591">
        <f t="shared" si="490"/>
        <v>-1.461298127840164</v>
      </c>
      <c r="U591">
        <f t="shared" si="491"/>
        <v>0.10787315725276621</v>
      </c>
      <c r="V591">
        <f t="shared" si="492"/>
        <v>-1.4627128532316918</v>
      </c>
      <c r="X591">
        <f t="shared" si="509"/>
        <v>-73.357987363699777</v>
      </c>
      <c r="Y591">
        <f t="shared" si="493"/>
        <v>-244.75199753048898</v>
      </c>
      <c r="Z591">
        <f t="shared" si="510"/>
        <v>-64.751997530488978</v>
      </c>
      <c r="AC591">
        <v>1</v>
      </c>
      <c r="AD591">
        <f t="shared" si="494"/>
        <v>370.17810309957747</v>
      </c>
      <c r="AE591">
        <f t="shared" si="495"/>
        <v>-0.52611804068879131</v>
      </c>
      <c r="AF591">
        <f t="shared" si="496"/>
        <v>5.7087136680209996E-2</v>
      </c>
      <c r="AG591">
        <f t="shared" si="473"/>
        <v>73.578353396649149</v>
      </c>
      <c r="AH591">
        <f t="shared" si="474"/>
        <v>-695.61903846403334</v>
      </c>
      <c r="AJ591">
        <f t="shared" si="497"/>
        <v>26400</v>
      </c>
      <c r="AK591">
        <f t="shared" si="498"/>
        <v>240135.50075074562</v>
      </c>
      <c r="AL591">
        <v>1</v>
      </c>
      <c r="AM591">
        <f t="shared" si="499"/>
        <v>321.77247496430402</v>
      </c>
      <c r="AN591">
        <f t="shared" si="475"/>
        <v>746.53752235799914</v>
      </c>
      <c r="AO591">
        <f t="shared" si="476"/>
        <v>-79.725472107233159</v>
      </c>
      <c r="AQ591">
        <f t="shared" si="500"/>
        <v>7.0358612924975692E-4</v>
      </c>
      <c r="AR591">
        <f t="shared" si="501"/>
        <v>-2.6525197072715838</v>
      </c>
      <c r="AT591">
        <f t="shared" si="470"/>
        <v>-1845.0914395702953</v>
      </c>
      <c r="AU591">
        <f t="shared" si="471"/>
        <v>-195.65746031991029</v>
      </c>
      <c r="AV591">
        <f t="shared" si="511"/>
        <v>-3.0359453238286171</v>
      </c>
      <c r="AW591">
        <f t="shared" si="512"/>
        <v>608.83677163662128</v>
      </c>
      <c r="AX591">
        <f t="shared" si="513"/>
        <v>-3083.8384586057659</v>
      </c>
      <c r="AY591">
        <f t="shared" si="521"/>
        <v>-1.3758748402919958</v>
      </c>
      <c r="BA591">
        <f t="shared" si="502"/>
        <v>0.59027079714302744</v>
      </c>
      <c r="BB591">
        <f t="shared" si="514"/>
        <v>-4.5789740477008598</v>
      </c>
      <c r="BC591">
        <f t="shared" si="515"/>
        <v>-1.6600704835366213</v>
      </c>
      <c r="BD591">
        <f t="shared" si="503"/>
        <v>-275.11503250957497</v>
      </c>
      <c r="BF591">
        <f t="shared" si="504"/>
        <v>-77.322426912027055</v>
      </c>
      <c r="BG591">
        <f t="shared" si="505"/>
        <v>-262.00070056188082</v>
      </c>
      <c r="BH591">
        <f t="shared" si="516"/>
        <v>-82.000700561880819</v>
      </c>
      <c r="BI591">
        <f t="shared" si="517"/>
        <v>-82.000700561880819</v>
      </c>
      <c r="BJ591">
        <f t="shared" si="506"/>
        <v>0</v>
      </c>
      <c r="BK591">
        <f t="shared" si="518"/>
        <v>0</v>
      </c>
      <c r="BM591">
        <f t="shared" si="519"/>
        <v>-72.743452864326201</v>
      </c>
      <c r="BN591">
        <f t="shared" si="507"/>
        <v>-166.88566805230585</v>
      </c>
      <c r="BQ591" s="56">
        <f t="shared" si="520"/>
        <v>12.322986752584278</v>
      </c>
    </row>
    <row r="592" spans="1:69" x14ac:dyDescent="0.2">
      <c r="A592">
        <f>A591+5000</f>
        <v>1890000</v>
      </c>
      <c r="B592">
        <f t="shared" si="508"/>
        <v>1890</v>
      </c>
      <c r="C592">
        <f t="shared" si="477"/>
        <v>1.0267300383910536</v>
      </c>
      <c r="D592">
        <f t="shared" si="478"/>
        <v>0.22868274244684617</v>
      </c>
      <c r="F592">
        <f t="shared" si="479"/>
        <v>1.4894909559955026E-5</v>
      </c>
      <c r="G592">
        <f t="shared" si="480"/>
        <v>7.8762741558824226E-4</v>
      </c>
      <c r="H592">
        <f t="shared" si="481"/>
        <v>-3.140805022584412</v>
      </c>
      <c r="J592">
        <f t="shared" si="482"/>
        <v>15</v>
      </c>
      <c r="M592">
        <f t="shared" si="483"/>
        <v>6.6177043800381302E-4</v>
      </c>
      <c r="N592">
        <f t="shared" si="484"/>
        <v>-1.5707963250000001</v>
      </c>
      <c r="O592">
        <f t="shared" si="485"/>
        <v>371.16135500778501</v>
      </c>
      <c r="P592">
        <f t="shared" si="486"/>
        <v>1.5681020775247647</v>
      </c>
      <c r="Q592">
        <f t="shared" si="487"/>
        <v>322.6275326339167</v>
      </c>
      <c r="R592">
        <f t="shared" si="488"/>
        <v>1.5676967723550008</v>
      </c>
      <c r="S592">
        <f t="shared" si="489"/>
        <v>0.10899385847358878</v>
      </c>
      <c r="T592">
        <f t="shared" si="490"/>
        <v>-1.4615855047692119</v>
      </c>
      <c r="U592">
        <f t="shared" si="491"/>
        <v>0.10759108635929091</v>
      </c>
      <c r="V592">
        <f t="shared" si="492"/>
        <v>-1.4629965754009391</v>
      </c>
      <c r="X592">
        <f t="shared" si="509"/>
        <v>-73.425294823916431</v>
      </c>
      <c r="Y592">
        <f t="shared" si="493"/>
        <v>-244.75048678797714</v>
      </c>
      <c r="Z592">
        <f t="shared" si="510"/>
        <v>-64.750486787977138</v>
      </c>
      <c r="AC592">
        <v>1</v>
      </c>
      <c r="AD592">
        <f t="shared" si="494"/>
        <v>371.16000788233498</v>
      </c>
      <c r="AE592">
        <f t="shared" si="495"/>
        <v>-0.52891281952154212</v>
      </c>
      <c r="AF592">
        <f t="shared" si="496"/>
        <v>5.7238561445940001E-2</v>
      </c>
      <c r="AG592">
        <f t="shared" si="473"/>
        <v>73.19406544544465</v>
      </c>
      <c r="AH592">
        <f t="shared" si="474"/>
        <v>-693.8203638206794</v>
      </c>
      <c r="AJ592">
        <f t="shared" si="497"/>
        <v>26400</v>
      </c>
      <c r="AK592">
        <f t="shared" si="498"/>
        <v>240772.4649437184</v>
      </c>
      <c r="AL592">
        <v>1</v>
      </c>
      <c r="AM592">
        <f t="shared" si="499"/>
        <v>322.62598285545602</v>
      </c>
      <c r="AN592">
        <f t="shared" si="475"/>
        <v>746.53621315380394</v>
      </c>
      <c r="AO592">
        <f t="shared" si="476"/>
        <v>-79.514562217822203</v>
      </c>
      <c r="AQ592">
        <f t="shared" si="500"/>
        <v>6.9986837575457185E-4</v>
      </c>
      <c r="AR592">
        <f t="shared" si="501"/>
        <v>-2.6455024603522816</v>
      </c>
      <c r="AT592">
        <f t="shared" si="470"/>
        <v>-1835.4522533184245</v>
      </c>
      <c r="AU592">
        <f t="shared" si="471"/>
        <v>-194.12066315020238</v>
      </c>
      <c r="AV592">
        <f t="shared" si="511"/>
        <v>-3.036222601207589</v>
      </c>
      <c r="AW592">
        <f t="shared" si="512"/>
        <v>609.56753442758384</v>
      </c>
      <c r="AX592">
        <f t="shared" si="513"/>
        <v>-3075.7177275855493</v>
      </c>
      <c r="AY592">
        <f t="shared" si="521"/>
        <v>-1.3751445594679144</v>
      </c>
      <c r="BA592">
        <f t="shared" si="502"/>
        <v>0.58863509388334812</v>
      </c>
      <c r="BB592">
        <f t="shared" si="514"/>
        <v>-4.6030769845328461</v>
      </c>
      <c r="BC592">
        <f t="shared" si="515"/>
        <v>-1.6610780417396747</v>
      </c>
      <c r="BD592">
        <f t="shared" si="503"/>
        <v>-275.17276134228968</v>
      </c>
      <c r="BF592">
        <f t="shared" si="504"/>
        <v>-77.391369030147473</v>
      </c>
      <c r="BG592">
        <f t="shared" si="505"/>
        <v>-262.02507761084274</v>
      </c>
      <c r="BH592">
        <f t="shared" si="516"/>
        <v>-82.025077610842743</v>
      </c>
      <c r="BI592">
        <f t="shared" si="517"/>
        <v>-82.025077610842743</v>
      </c>
      <c r="BJ592">
        <f t="shared" si="506"/>
        <v>0</v>
      </c>
      <c r="BK592">
        <f t="shared" si="518"/>
        <v>0</v>
      </c>
      <c r="BM592">
        <f t="shared" si="519"/>
        <v>-72.788292045614625</v>
      </c>
      <c r="BN592">
        <f t="shared" si="507"/>
        <v>-166.8523162685531</v>
      </c>
      <c r="BQ592" s="56">
        <f t="shared" si="520"/>
        <v>12.298883815752291</v>
      </c>
    </row>
    <row r="593" spans="1:69" x14ac:dyDescent="0.2">
      <c r="A593">
        <f t="shared" ref="A593:A598" si="522">A592+5000</f>
        <v>1895000</v>
      </c>
      <c r="B593">
        <f t="shared" si="508"/>
        <v>1895</v>
      </c>
      <c r="C593">
        <f t="shared" si="477"/>
        <v>1.0268698013043824</v>
      </c>
      <c r="D593">
        <f t="shared" si="478"/>
        <v>0.22926677131974899</v>
      </c>
      <c r="F593">
        <f t="shared" si="479"/>
        <v>1.4816411010000413E-5</v>
      </c>
      <c r="G593">
        <f t="shared" si="480"/>
        <v>7.8554918214536311E-4</v>
      </c>
      <c r="H593">
        <f t="shared" si="481"/>
        <v>-3.1408071008178546</v>
      </c>
      <c r="J593">
        <f t="shared" si="482"/>
        <v>15</v>
      </c>
      <c r="M593">
        <f t="shared" si="483"/>
        <v>6.6002434186132283E-4</v>
      </c>
      <c r="N593">
        <f t="shared" si="484"/>
        <v>-1.5707963250000001</v>
      </c>
      <c r="O593">
        <f t="shared" si="485"/>
        <v>372.14325623613462</v>
      </c>
      <c r="P593">
        <f t="shared" si="486"/>
        <v>1.5681091863276233</v>
      </c>
      <c r="Q593">
        <f t="shared" si="487"/>
        <v>323.48103643596306</v>
      </c>
      <c r="R593">
        <f t="shared" si="488"/>
        <v>1.5677049505467326</v>
      </c>
      <c r="S593">
        <f t="shared" si="489"/>
        <v>0.10870967876943531</v>
      </c>
      <c r="T593">
        <f t="shared" si="490"/>
        <v>-1.4618713831659433</v>
      </c>
      <c r="U593">
        <f t="shared" si="491"/>
        <v>0.10731047818749476</v>
      </c>
      <c r="V593">
        <f t="shared" si="492"/>
        <v>-1.4632788176419698</v>
      </c>
      <c r="X593">
        <f t="shared" si="509"/>
        <v>-73.492421346935174</v>
      </c>
      <c r="Y593">
        <f t="shared" si="493"/>
        <v>-244.74881850697585</v>
      </c>
      <c r="Z593">
        <f t="shared" si="510"/>
        <v>-64.748818506975852</v>
      </c>
      <c r="AC593">
        <v>1</v>
      </c>
      <c r="AD593">
        <f t="shared" si="494"/>
        <v>372.14191266509249</v>
      </c>
      <c r="AE593">
        <f t="shared" si="495"/>
        <v>-0.53171500174192932</v>
      </c>
      <c r="AF593">
        <f t="shared" si="496"/>
        <v>5.7389986211669998E-2</v>
      </c>
      <c r="AG593">
        <f t="shared" si="473"/>
        <v>72.812768631603092</v>
      </c>
      <c r="AH593">
        <f t="shared" si="474"/>
        <v>-692.03085801946986</v>
      </c>
      <c r="AJ593">
        <f t="shared" si="497"/>
        <v>26400</v>
      </c>
      <c r="AK593">
        <f t="shared" si="498"/>
        <v>241409.42913669121</v>
      </c>
      <c r="AL593">
        <v>1</v>
      </c>
      <c r="AM593">
        <f t="shared" si="499"/>
        <v>323.47949074660806</v>
      </c>
      <c r="AN593">
        <f t="shared" si="475"/>
        <v>746.53491429889289</v>
      </c>
      <c r="AO593">
        <f t="shared" si="476"/>
        <v>-79.304765277364353</v>
      </c>
      <c r="AQ593">
        <f t="shared" si="500"/>
        <v>6.9618001154405696E-4</v>
      </c>
      <c r="AR593">
        <f t="shared" si="501"/>
        <v>-2.638522243751976</v>
      </c>
      <c r="AT593">
        <f t="shared" si="470"/>
        <v>-1825.8881214530302</v>
      </c>
      <c r="AU593">
        <f t="shared" si="471"/>
        <v>-192.59988771437571</v>
      </c>
      <c r="AV593">
        <f t="shared" si="511"/>
        <v>-3.0364984326675186</v>
      </c>
      <c r="AW593">
        <f t="shared" si="512"/>
        <v>610.29247416485282</v>
      </c>
      <c r="AX593">
        <f t="shared" si="513"/>
        <v>-3067.6395588101436</v>
      </c>
      <c r="AY593">
        <f t="shared" si="521"/>
        <v>-1.3744151063693542</v>
      </c>
      <c r="BA593">
        <f t="shared" si="502"/>
        <v>0.58700771725690803</v>
      </c>
      <c r="BB593">
        <f t="shared" si="514"/>
        <v>-4.6271237828821441</v>
      </c>
      <c r="BC593">
        <f t="shared" si="515"/>
        <v>-1.6620833262981645</v>
      </c>
      <c r="BD593">
        <f t="shared" si="503"/>
        <v>-275.23035990476666</v>
      </c>
      <c r="BF593">
        <f t="shared" si="504"/>
        <v>-77.460130621510245</v>
      </c>
      <c r="BG593">
        <f t="shared" si="505"/>
        <v>-262.04933285775559</v>
      </c>
      <c r="BH593">
        <f t="shared" si="516"/>
        <v>-82.049332857755587</v>
      </c>
      <c r="BI593">
        <f t="shared" si="517"/>
        <v>-82.049332857755587</v>
      </c>
      <c r="BJ593">
        <f t="shared" si="506"/>
        <v>0</v>
      </c>
      <c r="BK593">
        <f t="shared" si="518"/>
        <v>0</v>
      </c>
      <c r="BM593">
        <f t="shared" si="519"/>
        <v>-72.833006838628108</v>
      </c>
      <c r="BN593">
        <f t="shared" si="507"/>
        <v>-166.81897295298899</v>
      </c>
      <c r="BQ593" s="56">
        <f t="shared" si="520"/>
        <v>12.274837017402993</v>
      </c>
    </row>
    <row r="594" spans="1:69" x14ac:dyDescent="0.2">
      <c r="A594">
        <f t="shared" si="522"/>
        <v>1900000</v>
      </c>
      <c r="B594">
        <f t="shared" si="508"/>
        <v>1900</v>
      </c>
      <c r="C594">
        <f t="shared" si="477"/>
        <v>1.0270099143770484</v>
      </c>
      <c r="D594">
        <f t="shared" si="478"/>
        <v>0.22985064103578978</v>
      </c>
      <c r="F594">
        <f t="shared" si="479"/>
        <v>1.4738531381584734E-5</v>
      </c>
      <c r="G594">
        <f t="shared" si="480"/>
        <v>7.8348188725168503E-4</v>
      </c>
      <c r="H594">
        <f t="shared" si="481"/>
        <v>-3.1408091681127486</v>
      </c>
      <c r="J594">
        <f t="shared" si="482"/>
        <v>15</v>
      </c>
      <c r="M594">
        <f t="shared" si="483"/>
        <v>6.582874356985299E-4</v>
      </c>
      <c r="N594">
        <f t="shared" si="484"/>
        <v>-1.5707963250000001</v>
      </c>
      <c r="O594">
        <f t="shared" si="485"/>
        <v>373.12515748319163</v>
      </c>
      <c r="P594">
        <f t="shared" si="486"/>
        <v>1.5681162577159993</v>
      </c>
      <c r="Q594">
        <f t="shared" si="487"/>
        <v>324.33454025953085</v>
      </c>
      <c r="R594">
        <f t="shared" si="488"/>
        <v>1.5677130856957602</v>
      </c>
      <c r="S594">
        <f t="shared" si="489"/>
        <v>0.10842696830284883</v>
      </c>
      <c r="T594">
        <f t="shared" si="490"/>
        <v>-1.4621557746746996</v>
      </c>
      <c r="U594">
        <f t="shared" si="491"/>
        <v>0.10703132145598261</v>
      </c>
      <c r="V594">
        <f t="shared" si="492"/>
        <v>-1.4635595914592652</v>
      </c>
      <c r="X594">
        <f t="shared" si="509"/>
        <v>-73.559367852144092</v>
      </c>
      <c r="Y594">
        <f t="shared" si="493"/>
        <v>-244.74699400122719</v>
      </c>
      <c r="Z594">
        <f t="shared" si="510"/>
        <v>-64.746994001227193</v>
      </c>
      <c r="AC594">
        <v>1</v>
      </c>
      <c r="AD594">
        <f t="shared" si="494"/>
        <v>373.12381744785</v>
      </c>
      <c r="AE594">
        <f t="shared" si="495"/>
        <v>-0.5345245873499529</v>
      </c>
      <c r="AF594">
        <f t="shared" si="496"/>
        <v>5.7541410977400002E-2</v>
      </c>
      <c r="AG594">
        <f t="shared" si="473"/>
        <v>72.434432113829004</v>
      </c>
      <c r="AH594">
        <f t="shared" si="474"/>
        <v>-690.25045199486476</v>
      </c>
      <c r="AJ594">
        <f t="shared" si="497"/>
        <v>26400</v>
      </c>
      <c r="AK594">
        <f t="shared" si="498"/>
        <v>242046.39332966399</v>
      </c>
      <c r="AL594">
        <v>1</v>
      </c>
      <c r="AM594">
        <f t="shared" si="499"/>
        <v>324.33299863776</v>
      </c>
      <c r="AN594">
        <f t="shared" si="475"/>
        <v>746.53362568447142</v>
      </c>
      <c r="AO594">
        <f t="shared" si="476"/>
        <v>-79.096072499755991</v>
      </c>
      <c r="AQ594">
        <f t="shared" si="500"/>
        <v>6.9252072766476955E-4</v>
      </c>
      <c r="AR594">
        <f t="shared" si="501"/>
        <v>-2.6315787651261244</v>
      </c>
      <c r="AT594">
        <f t="shared" si="470"/>
        <v>-1816.39826974276</v>
      </c>
      <c r="AU594">
        <f t="shared" si="471"/>
        <v>-191.09492616000864</v>
      </c>
      <c r="AV594">
        <f t="shared" si="511"/>
        <v>-3.0367728294443967</v>
      </c>
      <c r="AW594">
        <f t="shared" si="512"/>
        <v>611.01165266047474</v>
      </c>
      <c r="AX594">
        <f t="shared" si="513"/>
        <v>-3059.6036192506895</v>
      </c>
      <c r="AY594">
        <f t="shared" si="521"/>
        <v>-1.3736864761237888</v>
      </c>
      <c r="BA594">
        <f t="shared" si="502"/>
        <v>0.58538860297883333</v>
      </c>
      <c r="BB594">
        <f t="shared" si="514"/>
        <v>-4.6511147433258966</v>
      </c>
      <c r="BC594">
        <f t="shared" si="515"/>
        <v>-1.6630863533206079</v>
      </c>
      <c r="BD594">
        <f t="shared" si="503"/>
        <v>-275.28782911995586</v>
      </c>
      <c r="BF594">
        <f t="shared" si="504"/>
        <v>-77.528712629863335</v>
      </c>
      <c r="BG594">
        <f t="shared" si="505"/>
        <v>-262.07346724966459</v>
      </c>
      <c r="BH594">
        <f t="shared" si="516"/>
        <v>-82.073467249664589</v>
      </c>
      <c r="BI594">
        <f t="shared" si="517"/>
        <v>-82.073467249664589</v>
      </c>
      <c r="BJ594">
        <f t="shared" si="506"/>
        <v>0</v>
      </c>
      <c r="BK594">
        <f t="shared" si="518"/>
        <v>0</v>
      </c>
      <c r="BM594">
        <f t="shared" si="519"/>
        <v>-72.87759788653743</v>
      </c>
      <c r="BN594">
        <f t="shared" si="507"/>
        <v>-166.7856381297087</v>
      </c>
      <c r="BQ594" s="56">
        <f t="shared" si="520"/>
        <v>12.250846056959242</v>
      </c>
    </row>
    <row r="595" spans="1:69" x14ac:dyDescent="0.2">
      <c r="A595">
        <f t="shared" si="522"/>
        <v>1905000</v>
      </c>
      <c r="B595">
        <f t="shared" si="508"/>
        <v>1905</v>
      </c>
      <c r="C595">
        <f t="shared" si="477"/>
        <v>1.0271503774657567</v>
      </c>
      <c r="D595">
        <f t="shared" si="478"/>
        <v>0.23043435126209486</v>
      </c>
      <c r="F595">
        <f t="shared" si="479"/>
        <v>1.4661264185223181E-5</v>
      </c>
      <c r="G595">
        <f t="shared" si="480"/>
        <v>7.8142544477189594E-4</v>
      </c>
      <c r="H595">
        <f t="shared" si="481"/>
        <v>-3.1408112245552284</v>
      </c>
      <c r="J595">
        <f t="shared" si="482"/>
        <v>15</v>
      </c>
      <c r="M595">
        <f t="shared" si="483"/>
        <v>6.5655964715338939E-4</v>
      </c>
      <c r="N595">
        <f t="shared" si="484"/>
        <v>-1.5707963250000001</v>
      </c>
      <c r="O595">
        <f t="shared" si="485"/>
        <v>374.10705874880858</v>
      </c>
      <c r="P595">
        <f t="shared" si="486"/>
        <v>1.5681232919844923</v>
      </c>
      <c r="Q595">
        <f t="shared" si="487"/>
        <v>325.18804410445068</v>
      </c>
      <c r="R595">
        <f t="shared" si="488"/>
        <v>1.5677211781409983</v>
      </c>
      <c r="S595">
        <f t="shared" si="489"/>
        <v>0.10814571577752231</v>
      </c>
      <c r="T595">
        <f t="shared" si="490"/>
        <v>-1.4624386908199716</v>
      </c>
      <c r="U595">
        <f t="shared" si="491"/>
        <v>0.10675360499837656</v>
      </c>
      <c r="V595">
        <f t="shared" si="492"/>
        <v>-1.4638389082388343</v>
      </c>
      <c r="X595">
        <f t="shared" si="509"/>
        <v>-73.626135251928872</v>
      </c>
      <c r="Y595">
        <f t="shared" si="493"/>
        <v>-244.74501457111592</v>
      </c>
      <c r="Z595">
        <f t="shared" si="510"/>
        <v>-64.745014571115917</v>
      </c>
      <c r="AC595">
        <v>1</v>
      </c>
      <c r="AD595">
        <f t="shared" si="494"/>
        <v>374.10572223060751</v>
      </c>
      <c r="AE595">
        <f t="shared" si="495"/>
        <v>-0.53734157634561297</v>
      </c>
      <c r="AF595">
        <f t="shared" si="496"/>
        <v>5.7692835743129993E-2</v>
      </c>
      <c r="AG595">
        <f t="shared" si="473"/>
        <v>72.059025445742947</v>
      </c>
      <c r="AH595">
        <f t="shared" si="474"/>
        <v>-688.4790773640209</v>
      </c>
      <c r="AJ595">
        <f t="shared" si="497"/>
        <v>26400</v>
      </c>
      <c r="AK595">
        <f t="shared" si="498"/>
        <v>242683.35752263683</v>
      </c>
      <c r="AL595">
        <v>1</v>
      </c>
      <c r="AM595">
        <f t="shared" si="499"/>
        <v>325.18650652891205</v>
      </c>
      <c r="AN595">
        <f t="shared" si="475"/>
        <v>746.53234720317096</v>
      </c>
      <c r="AO595">
        <f t="shared" si="476"/>
        <v>-78.88847519113159</v>
      </c>
      <c r="AQ595">
        <f t="shared" si="500"/>
        <v>6.8889021921244556E-4</v>
      </c>
      <c r="AR595">
        <f t="shared" si="501"/>
        <v>-2.6246717351994175</v>
      </c>
      <c r="AT595">
        <f t="shared" si="470"/>
        <v>-1806.9819338756834</v>
      </c>
      <c r="AU595">
        <f t="shared" si="471"/>
        <v>-189.6055738559856</v>
      </c>
      <c r="AV595">
        <f t="shared" si="511"/>
        <v>-3.0370458026585609</v>
      </c>
      <c r="AW595">
        <f t="shared" si="512"/>
        <v>611.72513090717098</v>
      </c>
      <c r="AX595">
        <f t="shared" si="513"/>
        <v>-3051.6095793366167</v>
      </c>
      <c r="AY595">
        <f t="shared" si="521"/>
        <v>-1.3729586639149391</v>
      </c>
      <c r="BA595">
        <f t="shared" si="502"/>
        <v>0.58377768742427272</v>
      </c>
      <c r="BB595">
        <f t="shared" si="514"/>
        <v>-4.6750501641337188</v>
      </c>
      <c r="BC595">
        <f t="shared" si="515"/>
        <v>-1.6640871387436218</v>
      </c>
      <c r="BD595">
        <f t="shared" si="503"/>
        <v>-275.34516990095835</v>
      </c>
      <c r="BF595">
        <f t="shared" si="504"/>
        <v>-77.597115991598614</v>
      </c>
      <c r="BG595">
        <f t="shared" si="505"/>
        <v>-262.0974817236779</v>
      </c>
      <c r="BH595">
        <f t="shared" si="516"/>
        <v>-82.097481723677902</v>
      </c>
      <c r="BI595">
        <f t="shared" si="517"/>
        <v>-82.097481723677902</v>
      </c>
      <c r="BJ595">
        <f t="shared" si="506"/>
        <v>0</v>
      </c>
      <c r="BK595">
        <f t="shared" si="518"/>
        <v>0</v>
      </c>
      <c r="BM595">
        <f t="shared" si="519"/>
        <v>-72.922065827464891</v>
      </c>
      <c r="BN595">
        <f t="shared" si="507"/>
        <v>-166.75231182271963</v>
      </c>
      <c r="BQ595" s="56">
        <f t="shared" si="520"/>
        <v>12.226910636151418</v>
      </c>
    </row>
    <row r="596" spans="1:69" x14ac:dyDescent="0.2">
      <c r="A596">
        <f t="shared" si="522"/>
        <v>1910000</v>
      </c>
      <c r="B596">
        <f t="shared" si="508"/>
        <v>1910</v>
      </c>
      <c r="C596">
        <f t="shared" si="477"/>
        <v>1.0272911904269326</v>
      </c>
      <c r="D596">
        <f t="shared" si="478"/>
        <v>0.23101790166640698</v>
      </c>
      <c r="F596">
        <f t="shared" si="479"/>
        <v>1.458460301626295E-5</v>
      </c>
      <c r="G596">
        <f t="shared" si="480"/>
        <v>7.7937976947268952E-4</v>
      </c>
      <c r="H596">
        <f t="shared" si="481"/>
        <v>-3.1408132702305274</v>
      </c>
      <c r="J596">
        <f t="shared" si="482"/>
        <v>15</v>
      </c>
      <c r="M596">
        <f t="shared" si="483"/>
        <v>6.5484090462157422E-4</v>
      </c>
      <c r="N596">
        <f t="shared" si="484"/>
        <v>-1.5707963250000001</v>
      </c>
      <c r="O596">
        <f t="shared" si="485"/>
        <v>375.08896003283979</v>
      </c>
      <c r="P596">
        <f t="shared" si="486"/>
        <v>1.568130289424617</v>
      </c>
      <c r="Q596">
        <f t="shared" si="487"/>
        <v>326.0415479705548</v>
      </c>
      <c r="R596">
        <f t="shared" si="488"/>
        <v>1.5677292282178128</v>
      </c>
      <c r="S596">
        <f t="shared" si="489"/>
        <v>0.10786591001194432</v>
      </c>
      <c r="T596">
        <f t="shared" si="490"/>
        <v>-1.4627201430079309</v>
      </c>
      <c r="U596">
        <f t="shared" si="491"/>
        <v>0.10647731776186301</v>
      </c>
      <c r="V596">
        <f t="shared" si="492"/>
        <v>-1.4641167792497294</v>
      </c>
      <c r="X596">
        <f t="shared" si="509"/>
        <v>-73.692724451743373</v>
      </c>
      <c r="Y596">
        <f t="shared" si="493"/>
        <v>-244.7428815038395</v>
      </c>
      <c r="Z596">
        <f t="shared" si="510"/>
        <v>-64.742881503839499</v>
      </c>
      <c r="AC596">
        <v>1</v>
      </c>
      <c r="AD596">
        <f t="shared" si="494"/>
        <v>375.08762701336502</v>
      </c>
      <c r="AE596">
        <f t="shared" si="495"/>
        <v>-0.54016596872890954</v>
      </c>
      <c r="AF596">
        <f t="shared" si="496"/>
        <v>5.7844260508859997E-2</v>
      </c>
      <c r="AG596">
        <f t="shared" si="473"/>
        <v>71.686518569853163</v>
      </c>
      <c r="AH596">
        <f t="shared" si="474"/>
        <v>-686.71666641850129</v>
      </c>
      <c r="AJ596">
        <f t="shared" si="497"/>
        <v>26400</v>
      </c>
      <c r="AK596">
        <f t="shared" si="498"/>
        <v>243320.32171560961</v>
      </c>
      <c r="AL596">
        <v>1</v>
      </c>
      <c r="AM596">
        <f t="shared" si="499"/>
        <v>326.04001442006404</v>
      </c>
      <c r="AN596">
        <f t="shared" si="475"/>
        <v>746.5310787490256</v>
      </c>
      <c r="AO596">
        <f t="shared" si="476"/>
        <v>-78.681964748656611</v>
      </c>
      <c r="AQ596">
        <f t="shared" si="500"/>
        <v>6.8528818526848322E-4</v>
      </c>
      <c r="AR596">
        <f t="shared" si="501"/>
        <v>-2.6178008677256059</v>
      </c>
      <c r="AT596">
        <f t="shared" si="470"/>
        <v>-1797.6383593077692</v>
      </c>
      <c r="AU596">
        <f t="shared" si="471"/>
        <v>-188.13162933451295</v>
      </c>
      <c r="AV596">
        <f t="shared" si="511"/>
        <v>-3.0373173633161734</v>
      </c>
      <c r="AW596">
        <f t="shared" si="512"/>
        <v>612.43296909135415</v>
      </c>
      <c r="AX596">
        <f t="shared" si="513"/>
        <v>-3043.6571129109543</v>
      </c>
      <c r="AY596">
        <f t="shared" si="521"/>
        <v>-1.3722316649819963</v>
      </c>
      <c r="BA596">
        <f t="shared" si="502"/>
        <v>0.58217490761999557</v>
      </c>
      <c r="BB596">
        <f t="shared" si="514"/>
        <v>-4.6989303412906773</v>
      </c>
      <c r="BC596">
        <f t="shared" si="515"/>
        <v>-1.6650856983341771</v>
      </c>
      <c r="BD596">
        <f t="shared" si="503"/>
        <v>-275.40238315115482</v>
      </c>
      <c r="BF596">
        <f t="shared" si="504"/>
        <v>-77.665341635827986</v>
      </c>
      <c r="BG596">
        <f t="shared" si="505"/>
        <v>-262.121377207097</v>
      </c>
      <c r="BH596">
        <f t="shared" si="516"/>
        <v>-82.121377207096998</v>
      </c>
      <c r="BI596">
        <f t="shared" si="517"/>
        <v>-82.121377207096998</v>
      </c>
      <c r="BJ596">
        <f t="shared" si="506"/>
        <v>0</v>
      </c>
      <c r="BK596">
        <f t="shared" si="518"/>
        <v>0</v>
      </c>
      <c r="BM596">
        <f t="shared" si="519"/>
        <v>-72.966411294537309</v>
      </c>
      <c r="BN596">
        <f t="shared" si="507"/>
        <v>-166.71899405594218</v>
      </c>
      <c r="BQ596" s="56">
        <f t="shared" si="520"/>
        <v>12.203030458994458</v>
      </c>
    </row>
    <row r="597" spans="1:69" x14ac:dyDescent="0.2">
      <c r="A597">
        <f t="shared" si="522"/>
        <v>1915000</v>
      </c>
      <c r="B597">
        <f t="shared" si="508"/>
        <v>1915</v>
      </c>
      <c r="C597">
        <f t="shared" si="477"/>
        <v>1.0274323531167224</v>
      </c>
      <c r="D597">
        <f t="shared" si="478"/>
        <v>0.23160129191708631</v>
      </c>
      <c r="F597">
        <f t="shared" si="479"/>
        <v>1.4508541553555976E-5</v>
      </c>
      <c r="G597">
        <f t="shared" si="480"/>
        <v>7.7734477701098823E-4</v>
      </c>
      <c r="H597">
        <f t="shared" si="481"/>
        <v>-3.140815305222989</v>
      </c>
      <c r="J597">
        <f t="shared" si="482"/>
        <v>15</v>
      </c>
      <c r="M597">
        <f t="shared" si="483"/>
        <v>6.5313113724658307E-4</v>
      </c>
      <c r="N597">
        <f t="shared" si="484"/>
        <v>-1.5707963250000001</v>
      </c>
      <c r="O597">
        <f t="shared" si="485"/>
        <v>376.07086133514093</v>
      </c>
      <c r="P597">
        <f t="shared" si="486"/>
        <v>1.5681372503248434</v>
      </c>
      <c r="Q597">
        <f t="shared" si="487"/>
        <v>326.89505185767723</v>
      </c>
      <c r="R597">
        <f t="shared" si="488"/>
        <v>1.5677372362580673</v>
      </c>
      <c r="S597">
        <f t="shared" si="489"/>
        <v>0.10758753993795377</v>
      </c>
      <c r="T597">
        <f t="shared" si="490"/>
        <v>-1.4630001425279386</v>
      </c>
      <c r="U597">
        <f t="shared" si="491"/>
        <v>0.10620244880576142</v>
      </c>
      <c r="V597">
        <f t="shared" si="492"/>
        <v>-1.4643932156455375</v>
      </c>
      <c r="X597">
        <f t="shared" si="509"/>
        <v>-73.759136350179389</v>
      </c>
      <c r="Y597">
        <f t="shared" si="493"/>
        <v>-244.74059607357563</v>
      </c>
      <c r="Z597">
        <f t="shared" si="510"/>
        <v>-64.740596073575631</v>
      </c>
      <c r="AC597">
        <v>1</v>
      </c>
      <c r="AD597">
        <f t="shared" si="494"/>
        <v>376.06953179612253</v>
      </c>
      <c r="AE597">
        <f t="shared" si="495"/>
        <v>-0.54299776449984238</v>
      </c>
      <c r="AF597">
        <f t="shared" si="496"/>
        <v>5.7995685274589995E-2</v>
      </c>
      <c r="AG597">
        <f t="shared" si="473"/>
        <v>71.316881811633891</v>
      </c>
      <c r="AH597">
        <f t="shared" si="474"/>
        <v>-684.96315211610386</v>
      </c>
      <c r="AJ597">
        <f t="shared" si="497"/>
        <v>26400</v>
      </c>
      <c r="AK597">
        <f t="shared" si="498"/>
        <v>243957.28590858242</v>
      </c>
      <c r="AL597">
        <v>1</v>
      </c>
      <c r="AM597">
        <f t="shared" si="499"/>
        <v>326.89352231121603</v>
      </c>
      <c r="AN597">
        <f t="shared" si="475"/>
        <v>746.52982021745197</v>
      </c>
      <c r="AO597">
        <f t="shared" si="476"/>
        <v>-78.476532659339114</v>
      </c>
      <c r="AQ597">
        <f t="shared" si="500"/>
        <v>6.8171432883758643E-4</v>
      </c>
      <c r="AR597">
        <f t="shared" si="501"/>
        <v>-2.610965879447956</v>
      </c>
      <c r="AT597">
        <f t="shared" si="470"/>
        <v>-1788.3668011140483</v>
      </c>
      <c r="AU597">
        <f t="shared" si="471"/>
        <v>-186.67289423432194</v>
      </c>
      <c r="AV597">
        <f t="shared" si="511"/>
        <v>-3.0375875223106763</v>
      </c>
      <c r="AW597">
        <f t="shared" si="512"/>
        <v>613.13522660590559</v>
      </c>
      <c r="AX597">
        <f t="shared" si="513"/>
        <v>-3035.7458971863352</v>
      </c>
      <c r="AY597">
        <f t="shared" si="521"/>
        <v>-1.3715054746188584</v>
      </c>
      <c r="BA597">
        <f t="shared" si="502"/>
        <v>0.58058020123611753</v>
      </c>
      <c r="BB597">
        <f t="shared" si="514"/>
        <v>-4.7227555685199905</v>
      </c>
      <c r="BC597">
        <f t="shared" si="515"/>
        <v>-1.6660820476918179</v>
      </c>
      <c r="BD597">
        <f t="shared" si="503"/>
        <v>-275.45946976433345</v>
      </c>
      <c r="BF597">
        <f t="shared" si="504"/>
        <v>-77.733390484458269</v>
      </c>
      <c r="BG597">
        <f t="shared" si="505"/>
        <v>-262.14515461754394</v>
      </c>
      <c r="BH597">
        <f t="shared" si="516"/>
        <v>-82.145154617543938</v>
      </c>
      <c r="BI597">
        <f t="shared" si="517"/>
        <v>-82.145154617543938</v>
      </c>
      <c r="BJ597">
        <f t="shared" si="506"/>
        <v>0</v>
      </c>
      <c r="BK597">
        <f t="shared" si="518"/>
        <v>0</v>
      </c>
      <c r="BM597">
        <f t="shared" si="519"/>
        <v>-73.010634915938283</v>
      </c>
      <c r="BN597">
        <f t="shared" si="507"/>
        <v>-166.68568485321052</v>
      </c>
      <c r="BQ597" s="56">
        <f t="shared" si="520"/>
        <v>12.179205231765147</v>
      </c>
    </row>
    <row r="598" spans="1:69" x14ac:dyDescent="0.2">
      <c r="A598">
        <f t="shared" si="522"/>
        <v>1920000</v>
      </c>
      <c r="B598">
        <f t="shared" si="508"/>
        <v>1920</v>
      </c>
      <c r="C598">
        <f t="shared" si="477"/>
        <v>1.0275738653909949</v>
      </c>
      <c r="D598">
        <f t="shared" si="478"/>
        <v>0.23218452168311107</v>
      </c>
      <c r="F598">
        <f t="shared" si="479"/>
        <v>1.4433073558155842E-5</v>
      </c>
      <c r="G598">
        <f t="shared" si="480"/>
        <v>7.753203839223514E-4</v>
      </c>
      <c r="H598">
        <f t="shared" si="481"/>
        <v>-3.1408173296160777</v>
      </c>
      <c r="J598">
        <f t="shared" si="482"/>
        <v>15</v>
      </c>
      <c r="M598">
        <f t="shared" si="483"/>
        <v>6.5143027491000344E-4</v>
      </c>
      <c r="N598">
        <f t="shared" si="484"/>
        <v>-1.5707963250000001</v>
      </c>
      <c r="O598">
        <f t="shared" si="485"/>
        <v>377.05276265556944</v>
      </c>
      <c r="P598">
        <f t="shared" si="486"/>
        <v>1.5681441749706369</v>
      </c>
      <c r="Q598">
        <f t="shared" si="487"/>
        <v>327.74855576565386</v>
      </c>
      <c r="R598">
        <f t="shared" si="488"/>
        <v>1.5677452025901677</v>
      </c>
      <c r="S598">
        <f t="shared" si="489"/>
        <v>0.10731059459931616</v>
      </c>
      <c r="T598">
        <f t="shared" si="490"/>
        <v>-1.4632787005540302</v>
      </c>
      <c r="U598">
        <f t="shared" si="491"/>
        <v>0.10592898730011477</v>
      </c>
      <c r="V598">
        <f t="shared" si="492"/>
        <v>-1.4646682284658501</v>
      </c>
      <c r="X598">
        <f t="shared" si="509"/>
        <v>-73.825371839035398</v>
      </c>
      <c r="Y598">
        <f t="shared" si="493"/>
        <v>-244.7381595416476</v>
      </c>
      <c r="Z598">
        <f t="shared" si="510"/>
        <v>-64.738159541647605</v>
      </c>
      <c r="AC598">
        <v>1</v>
      </c>
      <c r="AD598">
        <f t="shared" si="494"/>
        <v>377.05143657888004</v>
      </c>
      <c r="AE598">
        <f t="shared" si="495"/>
        <v>-0.54583696365841172</v>
      </c>
      <c r="AF598">
        <f t="shared" si="496"/>
        <v>5.8147110040319999E-2</v>
      </c>
      <c r="AG598">
        <f t="shared" si="473"/>
        <v>70.95008587370782</v>
      </c>
      <c r="AH598">
        <f t="shared" si="474"/>
        <v>-683.21846807280497</v>
      </c>
      <c r="AJ598">
        <f t="shared" si="497"/>
        <v>26400</v>
      </c>
      <c r="AK598">
        <f t="shared" si="498"/>
        <v>244594.2501015552</v>
      </c>
      <c r="AL598">
        <v>1</v>
      </c>
      <c r="AM598">
        <f t="shared" si="499"/>
        <v>327.74703020236808</v>
      </c>
      <c r="AN598">
        <f t="shared" si="475"/>
        <v>746.52857150522607</v>
      </c>
      <c r="AO598">
        <f t="shared" si="476"/>
        <v>-78.272170498859992</v>
      </c>
      <c r="AQ598">
        <f t="shared" si="500"/>
        <v>6.7816835678654263E-4</v>
      </c>
      <c r="AR598">
        <f t="shared" si="501"/>
        <v>-2.6041664900603236</v>
      </c>
      <c r="AT598">
        <f t="shared" ref="AT598:AT626" si="523">-AR598*AH598+AG598*AQ598</f>
        <v>-1779.1665238423971</v>
      </c>
      <c r="AU598">
        <f t="shared" ref="AU598:AU626" si="524">AQ598*AH598+AG598*AR598</f>
        <v>-185.22917324503138</v>
      </c>
      <c r="AV598">
        <f t="shared" si="511"/>
        <v>-3.0378562904242266</v>
      </c>
      <c r="AW598">
        <f t="shared" si="512"/>
        <v>613.83196206271373</v>
      </c>
      <c r="AX598">
        <f t="shared" si="513"/>
        <v>-3027.8756127016732</v>
      </c>
      <c r="AY598">
        <f t="shared" si="521"/>
        <v>-1.3707800881733789</v>
      </c>
      <c r="BA598">
        <f t="shared" si="502"/>
        <v>0.57899350657794846</v>
      </c>
      <c r="BB598">
        <f t="shared" si="514"/>
        <v>-4.7465261373054766</v>
      </c>
      <c r="BC598">
        <f t="shared" si="515"/>
        <v>-1.6670762022508476</v>
      </c>
      <c r="BD598">
        <f t="shared" si="503"/>
        <v>-275.51643062481463</v>
      </c>
      <c r="BF598">
        <f t="shared" si="504"/>
        <v>-77.801263452265189</v>
      </c>
      <c r="BG598">
        <f t="shared" si="505"/>
        <v>-262.1688148630875</v>
      </c>
      <c r="BH598">
        <f t="shared" si="516"/>
        <v>-82.168814863087505</v>
      </c>
      <c r="BI598">
        <f t="shared" si="517"/>
        <v>-82.168814863087505</v>
      </c>
      <c r="BJ598">
        <f t="shared" si="506"/>
        <v>0</v>
      </c>
      <c r="BK598">
        <f t="shared" si="518"/>
        <v>0</v>
      </c>
      <c r="BM598">
        <f t="shared" si="519"/>
        <v>-73.054737314959723</v>
      </c>
      <c r="BN598">
        <f t="shared" si="507"/>
        <v>-166.65238423827287</v>
      </c>
      <c r="BQ598" s="56">
        <f t="shared" si="520"/>
        <v>12.15543466297966</v>
      </c>
    </row>
    <row r="599" spans="1:69" x14ac:dyDescent="0.2">
      <c r="A599">
        <f t="shared" ref="A599:A614" si="525">A598+5000</f>
        <v>1925000</v>
      </c>
      <c r="B599">
        <f t="shared" si="508"/>
        <v>1925</v>
      </c>
      <c r="C599">
        <f t="shared" si="477"/>
        <v>1.0277157271053408</v>
      </c>
      <c r="D599">
        <f t="shared" si="478"/>
        <v>0.23276759063407826</v>
      </c>
      <c r="F599">
        <f t="shared" si="479"/>
        <v>1.4358192872038316E-5</v>
      </c>
      <c r="G599">
        <f t="shared" si="480"/>
        <v>7.7330650760956308E-4</v>
      </c>
      <c r="H599">
        <f t="shared" si="481"/>
        <v>-3.1408193434923906</v>
      </c>
      <c r="J599">
        <f t="shared" si="482"/>
        <v>15</v>
      </c>
      <c r="M599">
        <f t="shared" si="483"/>
        <v>6.4973824822192551E-4</v>
      </c>
      <c r="N599">
        <f t="shared" si="484"/>
        <v>-1.5707963250000001</v>
      </c>
      <c r="O599">
        <f t="shared" si="485"/>
        <v>378.034663993984</v>
      </c>
      <c r="P599">
        <f t="shared" si="486"/>
        <v>1.5681510636444966</v>
      </c>
      <c r="Q599">
        <f t="shared" si="487"/>
        <v>328.60205969432224</v>
      </c>
      <c r="R599">
        <f t="shared" si="488"/>
        <v>1.5677531275391092</v>
      </c>
      <c r="S599">
        <f t="shared" si="489"/>
        <v>0.10703506315032128</v>
      </c>
      <c r="T599">
        <f t="shared" si="490"/>
        <v>-1.4635558281463796</v>
      </c>
      <c r="U599">
        <f t="shared" si="491"/>
        <v>0.1056569225243007</v>
      </c>
      <c r="V599">
        <f t="shared" si="492"/>
        <v>-1.4649418286377103</v>
      </c>
      <c r="X599">
        <f t="shared" si="509"/>
        <v>-73.891431803384691</v>
      </c>
      <c r="Y599">
        <f t="shared" si="493"/>
        <v>-244.73557315668634</v>
      </c>
      <c r="Z599">
        <f t="shared" si="510"/>
        <v>-64.735573156686343</v>
      </c>
      <c r="AC599">
        <v>1</v>
      </c>
      <c r="AD599">
        <f t="shared" si="494"/>
        <v>378.0333413616375</v>
      </c>
      <c r="AE599">
        <f t="shared" si="495"/>
        <v>-0.54868356620461756</v>
      </c>
      <c r="AF599">
        <f t="shared" si="496"/>
        <v>5.8298534806049997E-2</v>
      </c>
      <c r="AG599">
        <f t="shared" si="473"/>
        <v>70.586101830131497</v>
      </c>
      <c r="AH599">
        <f t="shared" si="474"/>
        <v>-681.48254855482014</v>
      </c>
      <c r="AJ599">
        <f t="shared" si="497"/>
        <v>26400</v>
      </c>
      <c r="AK599">
        <f t="shared" si="498"/>
        <v>245231.21429452804</v>
      </c>
      <c r="AL599">
        <v>1</v>
      </c>
      <c r="AM599">
        <f t="shared" si="499"/>
        <v>328.60053809352002</v>
      </c>
      <c r="AN599">
        <f t="shared" si="475"/>
        <v>746.52733251046345</v>
      </c>
      <c r="AO599">
        <f t="shared" si="476"/>
        <v>-78.068869930421513</v>
      </c>
      <c r="AQ599">
        <f t="shared" si="500"/>
        <v>6.7464997978411336E-4</v>
      </c>
      <c r="AR599">
        <f t="shared" si="501"/>
        <v>-2.5974024221688365</v>
      </c>
      <c r="AT599">
        <f t="shared" si="523"/>
        <v>-1770.0368013699087</v>
      </c>
      <c r="AU599">
        <f t="shared" si="524"/>
        <v>-183.80027405264545</v>
      </c>
      <c r="AV599">
        <f t="shared" si="511"/>
        <v>-3.0381236783291077</v>
      </c>
      <c r="AW599">
        <f t="shared" si="512"/>
        <v>614.52323330498416</v>
      </c>
      <c r="AX599">
        <f t="shared" si="513"/>
        <v>-3020.0459432795142</v>
      </c>
      <c r="AY599">
        <f t="shared" si="521"/>
        <v>-1.3700555010466273</v>
      </c>
      <c r="BA599">
        <f t="shared" si="502"/>
        <v>0.57741476257796653</v>
      </c>
      <c r="BB599">
        <f t="shared" si="514"/>
        <v>-4.770242336913693</v>
      </c>
      <c r="BC599">
        <f t="shared" si="515"/>
        <v>-1.6680681772824804</v>
      </c>
      <c r="BD599">
        <f t="shared" si="503"/>
        <v>-275.57326660757451</v>
      </c>
      <c r="BF599">
        <f t="shared" si="504"/>
        <v>-77.86896144696658</v>
      </c>
      <c r="BG599">
        <f t="shared" si="505"/>
        <v>-262.19235884236696</v>
      </c>
      <c r="BH599">
        <f t="shared" si="516"/>
        <v>-82.192358842366957</v>
      </c>
      <c r="BI599">
        <f t="shared" si="517"/>
        <v>-82.192358842366957</v>
      </c>
      <c r="BJ599">
        <f t="shared" si="506"/>
        <v>0</v>
      </c>
      <c r="BK599">
        <f t="shared" si="518"/>
        <v>0</v>
      </c>
      <c r="BM599">
        <f t="shared" si="519"/>
        <v>-73.098719110052883</v>
      </c>
      <c r="BN599">
        <f t="shared" si="507"/>
        <v>-166.6190922347925</v>
      </c>
      <c r="BQ599" s="56">
        <f t="shared" si="520"/>
        <v>12.131718463371444</v>
      </c>
    </row>
    <row r="600" spans="1:69" x14ac:dyDescent="0.2">
      <c r="A600">
        <f t="shared" si="525"/>
        <v>1930000</v>
      </c>
      <c r="B600">
        <f t="shared" si="508"/>
        <v>1930</v>
      </c>
      <c r="C600">
        <f t="shared" si="477"/>
        <v>1.0278579381150741</v>
      </c>
      <c r="D600">
        <f t="shared" si="478"/>
        <v>0.2333504984402045</v>
      </c>
      <c r="F600">
        <f t="shared" si="479"/>
        <v>1.4283893416845106E-5</v>
      </c>
      <c r="G600">
        <f t="shared" si="480"/>
        <v>7.7130306633139793E-4</v>
      </c>
      <c r="H600">
        <f t="shared" si="481"/>
        <v>-3.1408213469336688</v>
      </c>
      <c r="J600">
        <f t="shared" si="482"/>
        <v>15</v>
      </c>
      <c r="M600">
        <f t="shared" si="483"/>
        <v>6.4805498851150606E-4</v>
      </c>
      <c r="N600">
        <f t="shared" si="484"/>
        <v>-1.5707963250000001</v>
      </c>
      <c r="O600">
        <f t="shared" si="485"/>
        <v>379.01656535024478</v>
      </c>
      <c r="P600">
        <f t="shared" si="486"/>
        <v>1.5681579166259949</v>
      </c>
      <c r="Q600">
        <f t="shared" si="487"/>
        <v>329.45556364352137</v>
      </c>
      <c r="R600">
        <f t="shared" si="488"/>
        <v>1.5677610114265184</v>
      </c>
      <c r="S600">
        <f t="shared" si="489"/>
        <v>0.10676093485440179</v>
      </c>
      <c r="T600">
        <f t="shared" si="490"/>
        <v>-1.4638315362527392</v>
      </c>
      <c r="U600">
        <f t="shared" si="491"/>
        <v>0.10538624386566384</v>
      </c>
      <c r="V600">
        <f t="shared" si="492"/>
        <v>-1.4652140269770368</v>
      </c>
      <c r="X600">
        <f t="shared" si="509"/>
        <v>-73.957317121642461</v>
      </c>
      <c r="Y600">
        <f t="shared" si="493"/>
        <v>-244.73283815479095</v>
      </c>
      <c r="Z600">
        <f t="shared" si="510"/>
        <v>-64.732838154790954</v>
      </c>
      <c r="AC600">
        <v>1</v>
      </c>
      <c r="AD600">
        <f t="shared" si="494"/>
        <v>379.01524614439501</v>
      </c>
      <c r="AE600">
        <f t="shared" si="495"/>
        <v>-0.55153757213845978</v>
      </c>
      <c r="AF600">
        <f t="shared" si="496"/>
        <v>5.8449959571780001E-2</v>
      </c>
      <c r="AG600">
        <f t="shared" si="473"/>
        <v>70.224901120780885</v>
      </c>
      <c r="AH600">
        <f t="shared" si="474"/>
        <v>-679.75532847077625</v>
      </c>
      <c r="AJ600">
        <f t="shared" si="497"/>
        <v>26400</v>
      </c>
      <c r="AK600">
        <f t="shared" si="498"/>
        <v>245868.17848750082</v>
      </c>
      <c r="AL600">
        <v>1</v>
      </c>
      <c r="AM600">
        <f t="shared" si="499"/>
        <v>329.45404598467206</v>
      </c>
      <c r="AN600">
        <f t="shared" si="475"/>
        <v>746.52610313259629</v>
      </c>
      <c r="AO600">
        <f t="shared" si="476"/>
        <v>-77.866622703613544</v>
      </c>
      <c r="AQ600">
        <f t="shared" si="500"/>
        <v>6.7115891224201244E-4</v>
      </c>
      <c r="AR600">
        <f t="shared" si="501"/>
        <v>-2.5906734012541679</v>
      </c>
      <c r="AT600">
        <f t="shared" si="523"/>
        <v>-1760.9769167617815</v>
      </c>
      <c r="AU600">
        <f t="shared" si="524"/>
        <v>-182.38600728615822</v>
      </c>
      <c r="AV600">
        <f t="shared" si="511"/>
        <v>-3.0383896965891179</v>
      </c>
      <c r="AW600">
        <f t="shared" si="512"/>
        <v>615.20909741932269</v>
      </c>
      <c r="AX600">
        <f t="shared" si="513"/>
        <v>-3012.2565759840245</v>
      </c>
      <c r="AY600">
        <f t="shared" si="521"/>
        <v>-1.3693317086921613</v>
      </c>
      <c r="BA600">
        <f t="shared" si="502"/>
        <v>0.57584390878791292</v>
      </c>
      <c r="BB600">
        <f t="shared" si="514"/>
        <v>-4.7939044544158049</v>
      </c>
      <c r="BC600">
        <f t="shared" si="515"/>
        <v>-1.6690579878969567</v>
      </c>
      <c r="BD600">
        <f t="shared" si="503"/>
        <v>-275.62997857836604</v>
      </c>
      <c r="BF600">
        <f t="shared" si="504"/>
        <v>-77.936485369294317</v>
      </c>
      <c r="BG600">
        <f t="shared" si="505"/>
        <v>-262.21578744471401</v>
      </c>
      <c r="BH600">
        <f t="shared" si="516"/>
        <v>-82.21578744471401</v>
      </c>
      <c r="BI600">
        <f t="shared" si="517"/>
        <v>-82.21578744471401</v>
      </c>
      <c r="BJ600">
        <f t="shared" si="506"/>
        <v>0</v>
      </c>
      <c r="BK600">
        <f t="shared" si="518"/>
        <v>0</v>
      </c>
      <c r="BM600">
        <f t="shared" si="519"/>
        <v>-73.142580914878522</v>
      </c>
      <c r="BN600">
        <f t="shared" si="507"/>
        <v>-166.58580886634795</v>
      </c>
      <c r="BQ600" s="56">
        <f t="shared" si="520"/>
        <v>12.108056345869331</v>
      </c>
    </row>
    <row r="601" spans="1:69" x14ac:dyDescent="0.2">
      <c r="A601">
        <f t="shared" si="525"/>
        <v>1935000</v>
      </c>
      <c r="B601">
        <f t="shared" si="508"/>
        <v>1935</v>
      </c>
      <c r="C601">
        <f t="shared" si="477"/>
        <v>1.0280004982752329</v>
      </c>
      <c r="D601">
        <f t="shared" si="478"/>
        <v>0.2339332447723266</v>
      </c>
      <c r="F601">
        <f t="shared" si="479"/>
        <v>1.4210169192650285E-5</v>
      </c>
      <c r="G601">
        <f t="shared" si="480"/>
        <v>7.6930997919156011E-4</v>
      </c>
      <c r="H601">
        <f t="shared" si="481"/>
        <v>-3.1408233400208085</v>
      </c>
      <c r="J601">
        <f t="shared" si="482"/>
        <v>15</v>
      </c>
      <c r="M601">
        <f t="shared" si="483"/>
        <v>6.4638042781767788E-4</v>
      </c>
      <c r="N601">
        <f t="shared" si="484"/>
        <v>-1.5707963250000001</v>
      </c>
      <c r="O601">
        <f t="shared" si="485"/>
        <v>379.99846672421347</v>
      </c>
      <c r="P601">
        <f t="shared" si="486"/>
        <v>1.5681647341918139</v>
      </c>
      <c r="Q601">
        <f t="shared" si="487"/>
        <v>330.30906761309228</v>
      </c>
      <c r="R601">
        <f t="shared" si="488"/>
        <v>1.5677688545706978</v>
      </c>
      <c r="S601">
        <f t="shared" si="489"/>
        <v>0.106488199082772</v>
      </c>
      <c r="T601">
        <f t="shared" si="490"/>
        <v>-1.4641058357098595</v>
      </c>
      <c r="U601">
        <f t="shared" si="491"/>
        <v>0.10511694081816801</v>
      </c>
      <c r="V601">
        <f t="shared" si="492"/>
        <v>-1.4654848341900297</v>
      </c>
      <c r="X601">
        <f t="shared" si="509"/>
        <v>-74.023028665632097</v>
      </c>
      <c r="Y601">
        <f t="shared" si="493"/>
        <v>-244.72995575968594</v>
      </c>
      <c r="Z601">
        <f t="shared" si="510"/>
        <v>-64.729955759685936</v>
      </c>
      <c r="AC601">
        <v>1</v>
      </c>
      <c r="AD601">
        <f t="shared" si="494"/>
        <v>379.99715092715252</v>
      </c>
      <c r="AE601">
        <f t="shared" si="495"/>
        <v>-0.55439898145993838</v>
      </c>
      <c r="AF601">
        <f t="shared" si="496"/>
        <v>5.8601384337509992E-2</v>
      </c>
      <c r="AG601">
        <f t="shared" si="473"/>
        <v>69.866455545835009</v>
      </c>
      <c r="AH601">
        <f t="shared" si="474"/>
        <v>-678.03674336399331</v>
      </c>
      <c r="AJ601">
        <f t="shared" si="497"/>
        <v>26400</v>
      </c>
      <c r="AK601">
        <f t="shared" si="498"/>
        <v>246505.14268047363</v>
      </c>
      <c r="AL601">
        <v>1</v>
      </c>
      <c r="AM601">
        <f t="shared" si="499"/>
        <v>330.30755387582406</v>
      </c>
      <c r="AN601">
        <f t="shared" si="475"/>
        <v>746.52488327235562</v>
      </c>
      <c r="AO601">
        <f t="shared" si="476"/>
        <v>-77.66542065329763</v>
      </c>
      <c r="AQ601">
        <f t="shared" si="500"/>
        <v>6.6769487225695084E-4</v>
      </c>
      <c r="AR601">
        <f t="shared" si="501"/>
        <v>-2.5839791556343998</v>
      </c>
      <c r="AT601">
        <f t="shared" si="523"/>
        <v>-1751.9861621326791</v>
      </c>
      <c r="AU601">
        <f t="shared" si="524"/>
        <v>-180.98618646524102</v>
      </c>
      <c r="AV601">
        <f t="shared" si="511"/>
        <v>-3.0386543556609436</v>
      </c>
      <c r="AW601">
        <f t="shared" si="512"/>
        <v>615.8896107475972</v>
      </c>
      <c r="AX601">
        <f t="shared" si="513"/>
        <v>-3004.507201079643</v>
      </c>
      <c r="AY601">
        <f t="shared" si="521"/>
        <v>-1.3686087066153119</v>
      </c>
      <c r="BA601">
        <f t="shared" si="502"/>
        <v>0.5742808853710003</v>
      </c>
      <c r="BB601">
        <f t="shared" si="514"/>
        <v>-4.817512774709253</v>
      </c>
      <c r="BC601">
        <f t="shared" si="515"/>
        <v>-1.6700456490456317</v>
      </c>
      <c r="BD601">
        <f t="shared" si="503"/>
        <v>-275.6865673938388</v>
      </c>
      <c r="BF601">
        <f t="shared" si="504"/>
        <v>-78.003836113065773</v>
      </c>
      <c r="BG601">
        <f t="shared" si="505"/>
        <v>-262.23910155027266</v>
      </c>
      <c r="BH601">
        <f t="shared" si="516"/>
        <v>-82.239101550272665</v>
      </c>
      <c r="BI601">
        <f t="shared" si="517"/>
        <v>-82.239101550272665</v>
      </c>
      <c r="BJ601">
        <f t="shared" si="506"/>
        <v>0</v>
      </c>
      <c r="BK601">
        <f t="shared" si="518"/>
        <v>0</v>
      </c>
      <c r="BM601">
        <f t="shared" si="519"/>
        <v>-73.18632333835653</v>
      </c>
      <c r="BN601">
        <f t="shared" si="507"/>
        <v>-166.55253415643389</v>
      </c>
      <c r="BQ601" s="56">
        <f t="shared" si="520"/>
        <v>12.084448025575885</v>
      </c>
    </row>
    <row r="602" spans="1:69" x14ac:dyDescent="0.2">
      <c r="A602">
        <f t="shared" si="525"/>
        <v>1940000</v>
      </c>
      <c r="B602">
        <f t="shared" si="508"/>
        <v>1940</v>
      </c>
      <c r="C602">
        <f t="shared" si="477"/>
        <v>1.0281434074405802</v>
      </c>
      <c r="D602">
        <f t="shared" si="478"/>
        <v>0.23451582930190248</v>
      </c>
      <c r="F602">
        <f t="shared" si="479"/>
        <v>1.4137014276748924E-5</v>
      </c>
      <c r="G602">
        <f t="shared" si="480"/>
        <v>7.6732716612779505E-4</v>
      </c>
      <c r="H602">
        <f t="shared" si="481"/>
        <v>-3.1408253228338725</v>
      </c>
      <c r="J602">
        <f t="shared" si="482"/>
        <v>15</v>
      </c>
      <c r="M602">
        <f t="shared" si="483"/>
        <v>6.447144988800035E-4</v>
      </c>
      <c r="N602">
        <f t="shared" si="484"/>
        <v>-1.5707963250000001</v>
      </c>
      <c r="O602">
        <f t="shared" si="485"/>
        <v>380.98036811575309</v>
      </c>
      <c r="P602">
        <f t="shared" si="486"/>
        <v>1.5681715166157839</v>
      </c>
      <c r="Q602">
        <f t="shared" si="487"/>
        <v>331.16257160287745</v>
      </c>
      <c r="R602">
        <f t="shared" si="488"/>
        <v>1.5677766572866685</v>
      </c>
      <c r="S602">
        <f t="shared" si="489"/>
        <v>0.10621684531308744</v>
      </c>
      <c r="T602">
        <f t="shared" si="490"/>
        <v>-1.4643787372448867</v>
      </c>
      <c r="U602">
        <f t="shared" si="491"/>
        <v>0.10484900298106892</v>
      </c>
      <c r="V602">
        <f t="shared" si="492"/>
        <v>-1.4657542608745509</v>
      </c>
      <c r="X602">
        <f t="shared" si="509"/>
        <v>-74.08856730065078</v>
      </c>
      <c r="Y602">
        <f t="shared" si="493"/>
        <v>-244.72692718287706</v>
      </c>
      <c r="Z602">
        <f t="shared" si="510"/>
        <v>-64.726927182877063</v>
      </c>
      <c r="AC602">
        <v>1</v>
      </c>
      <c r="AD602">
        <f t="shared" si="494"/>
        <v>380.97905570990997</v>
      </c>
      <c r="AE602">
        <f t="shared" si="495"/>
        <v>-0.55726779416905348</v>
      </c>
      <c r="AF602">
        <f t="shared" si="496"/>
        <v>5.8752809103240003E-2</v>
      </c>
      <c r="AG602">
        <f t="shared" si="473"/>
        <v>69.510737260356422</v>
      </c>
      <c r="AH602">
        <f t="shared" si="474"/>
        <v>-676.32672940487817</v>
      </c>
      <c r="AJ602">
        <f t="shared" si="497"/>
        <v>26400</v>
      </c>
      <c r="AK602">
        <f t="shared" si="498"/>
        <v>247142.10687344641</v>
      </c>
      <c r="AL602">
        <v>1</v>
      </c>
      <c r="AM602">
        <f t="shared" si="499"/>
        <v>331.16106176697605</v>
      </c>
      <c r="AN602">
        <f t="shared" si="475"/>
        <v>746.52367283174988</v>
      </c>
      <c r="AO602">
        <f t="shared" si="476"/>
        <v>-77.465255698508145</v>
      </c>
      <c r="AQ602">
        <f t="shared" si="500"/>
        <v>6.6425758155372642E-4</v>
      </c>
      <c r="AR602">
        <f t="shared" si="501"/>
        <v>-2.5773194164284585</v>
      </c>
      <c r="AT602">
        <f t="shared" si="523"/>
        <v>-1743.063838510524</v>
      </c>
      <c r="AU602">
        <f t="shared" si="524"/>
        <v>-179.60062794898835</v>
      </c>
      <c r="AV602">
        <f t="shared" si="511"/>
        <v>-3.0389176658955037</v>
      </c>
      <c r="AW602">
        <f t="shared" si="512"/>
        <v>616.5648288985833</v>
      </c>
      <c r="AX602">
        <f t="shared" si="513"/>
        <v>-2996.7975119903458</v>
      </c>
      <c r="AY602">
        <f t="shared" si="521"/>
        <v>-1.3678864903724788</v>
      </c>
      <c r="BA602">
        <f t="shared" si="502"/>
        <v>0.57272563309424496</v>
      </c>
      <c r="BB602">
        <f t="shared" si="514"/>
        <v>-4.8410675805390628</v>
      </c>
      <c r="BC602">
        <f t="shared" si="515"/>
        <v>-1.6710311755230249</v>
      </c>
      <c r="BD602">
        <f t="shared" si="503"/>
        <v>-275.74303390165636</v>
      </c>
      <c r="BF602">
        <f t="shared" si="504"/>
        <v>-78.071014565254032</v>
      </c>
      <c r="BG602">
        <f t="shared" si="505"/>
        <v>-262.26230203011806</v>
      </c>
      <c r="BH602">
        <f t="shared" si="516"/>
        <v>-82.262302030118065</v>
      </c>
      <c r="BI602">
        <f t="shared" si="517"/>
        <v>-82.262302030118065</v>
      </c>
      <c r="BJ602">
        <f t="shared" si="506"/>
        <v>0</v>
      </c>
      <c r="BK602">
        <f t="shared" si="518"/>
        <v>0</v>
      </c>
      <c r="BM602">
        <f t="shared" si="519"/>
        <v>-73.229946984714957</v>
      </c>
      <c r="BN602">
        <f t="shared" si="507"/>
        <v>-166.5192681284617</v>
      </c>
      <c r="BQ602" s="56">
        <f t="shared" si="520"/>
        <v>12.060893219746074</v>
      </c>
    </row>
    <row r="603" spans="1:69" x14ac:dyDescent="0.2">
      <c r="A603">
        <f t="shared" si="525"/>
        <v>1945000</v>
      </c>
      <c r="B603">
        <f t="shared" si="508"/>
        <v>1945</v>
      </c>
      <c r="C603">
        <f t="shared" si="477"/>
        <v>1.0282866654656035</v>
      </c>
      <c r="D603">
        <f t="shared" si="478"/>
        <v>0.23509825170101181</v>
      </c>
      <c r="F603">
        <f t="shared" si="479"/>
        <v>1.4064422822467551E-5</v>
      </c>
      <c r="G603">
        <f t="shared" si="480"/>
        <v>7.6535454790116768E-4</v>
      </c>
      <c r="H603">
        <f t="shared" si="481"/>
        <v>-3.140827295452099</v>
      </c>
      <c r="J603">
        <f t="shared" si="482"/>
        <v>15</v>
      </c>
      <c r="M603">
        <f t="shared" si="483"/>
        <v>6.4305713512966922E-4</v>
      </c>
      <c r="N603">
        <f t="shared" si="484"/>
        <v>-1.5707963250000001</v>
      </c>
      <c r="O603">
        <f t="shared" si="485"/>
        <v>381.96226952472824</v>
      </c>
      <c r="P603">
        <f t="shared" si="486"/>
        <v>1.568178264168919</v>
      </c>
      <c r="Q603">
        <f t="shared" si="487"/>
        <v>332.01607561272084</v>
      </c>
      <c r="R603">
        <f t="shared" si="488"/>
        <v>1.5677844198862125</v>
      </c>
      <c r="S603">
        <f t="shared" si="489"/>
        <v>0.10594686312812363</v>
      </c>
      <c r="T603">
        <f t="shared" si="490"/>
        <v>-1.4646502514767392</v>
      </c>
      <c r="U603">
        <f t="shared" si="491"/>
        <v>0.10458242005760597</v>
      </c>
      <c r="V603">
        <f t="shared" si="492"/>
        <v>-1.4660223175214864</v>
      </c>
      <c r="X603">
        <f t="shared" si="509"/>
        <v>-74.153933885534101</v>
      </c>
      <c r="Y603">
        <f t="shared" si="493"/>
        <v>-244.72375362380367</v>
      </c>
      <c r="Z603">
        <f t="shared" si="510"/>
        <v>-64.723753623803674</v>
      </c>
      <c r="AC603">
        <v>1</v>
      </c>
      <c r="AD603">
        <f t="shared" si="494"/>
        <v>381.96096049266748</v>
      </c>
      <c r="AE603">
        <f t="shared" si="495"/>
        <v>-0.56014401026580496</v>
      </c>
      <c r="AF603">
        <f t="shared" si="496"/>
        <v>5.8904233868969993E-2</v>
      </c>
      <c r="AG603">
        <f t="shared" si="473"/>
        <v>69.157718768966021</v>
      </c>
      <c r="AH603">
        <f t="shared" si="474"/>
        <v>-674.62522338342444</v>
      </c>
      <c r="AJ603">
        <f t="shared" si="497"/>
        <v>26400</v>
      </c>
      <c r="AK603">
        <f t="shared" si="498"/>
        <v>247779.07106641924</v>
      </c>
      <c r="AL603">
        <v>1</v>
      </c>
      <c r="AM603">
        <f t="shared" si="499"/>
        <v>332.01456965812804</v>
      </c>
      <c r="AN603">
        <f t="shared" si="475"/>
        <v>746.52247171404474</v>
      </c>
      <c r="AO603">
        <f t="shared" si="476"/>
        <v>-77.266119841370454</v>
      </c>
      <c r="AQ603">
        <f t="shared" si="500"/>
        <v>6.6084676542933459E-4</v>
      </c>
      <c r="AR603">
        <f t="shared" si="501"/>
        <v>-2.5706939175201118</v>
      </c>
      <c r="AT603">
        <f t="shared" si="523"/>
        <v>-1734.2092557026631</v>
      </c>
      <c r="AU603">
        <f t="shared" si="524"/>
        <v>-178.22915088569738</v>
      </c>
      <c r="AV603">
        <f t="shared" si="511"/>
        <v>-3.039179637539283</v>
      </c>
      <c r="AW603">
        <f t="shared" si="512"/>
        <v>617.23480675939618</v>
      </c>
      <c r="AX603">
        <f t="shared" si="513"/>
        <v>-2989.1272052595386</v>
      </c>
      <c r="AY603">
        <f t="shared" si="521"/>
        <v>-1.3671650555704387</v>
      </c>
      <c r="BA603">
        <f t="shared" si="502"/>
        <v>0.57117809332090874</v>
      </c>
      <c r="BB603">
        <f t="shared" si="514"/>
        <v>-4.8645691525189596</v>
      </c>
      <c r="BC603">
        <f t="shared" si="515"/>
        <v>-1.6720145819688443</v>
      </c>
      <c r="BD603">
        <f t="shared" si="503"/>
        <v>-275.79937894061214</v>
      </c>
      <c r="BF603">
        <f t="shared" si="504"/>
        <v>-78.138021606057251</v>
      </c>
      <c r="BG603">
        <f t="shared" si="505"/>
        <v>-262.285389746372</v>
      </c>
      <c r="BH603">
        <f t="shared" si="516"/>
        <v>-82.285389746372005</v>
      </c>
      <c r="BI603">
        <f t="shared" si="517"/>
        <v>-82.285389746372005</v>
      </c>
      <c r="BJ603">
        <f t="shared" si="506"/>
        <v>0</v>
      </c>
      <c r="BK603">
        <f t="shared" si="518"/>
        <v>0</v>
      </c>
      <c r="BM603">
        <f t="shared" si="519"/>
        <v>-73.273452453538297</v>
      </c>
      <c r="BN603">
        <f t="shared" si="507"/>
        <v>-166.48601080575983</v>
      </c>
      <c r="BQ603" s="56">
        <f t="shared" si="520"/>
        <v>12.037391647766178</v>
      </c>
    </row>
    <row r="604" spans="1:69" x14ac:dyDescent="0.2">
      <c r="A604">
        <f t="shared" si="525"/>
        <v>1950000</v>
      </c>
      <c r="B604">
        <f t="shared" si="508"/>
        <v>1950</v>
      </c>
      <c r="C604">
        <f t="shared" si="477"/>
        <v>1.0284302722045169</v>
      </c>
      <c r="D604">
        <f t="shared" si="478"/>
        <v>0.23568051164235668</v>
      </c>
      <c r="F604">
        <f t="shared" si="479"/>
        <v>1.3992389057995865E-5</v>
      </c>
      <c r="G604">
        <f t="shared" si="480"/>
        <v>7.6339204608550683E-4</v>
      </c>
      <c r="H604">
        <f t="shared" si="481"/>
        <v>-3.1408292579539148</v>
      </c>
      <c r="J604">
        <f t="shared" si="482"/>
        <v>15</v>
      </c>
      <c r="M604">
        <f t="shared" si="483"/>
        <v>6.4140827068061876E-4</v>
      </c>
      <c r="N604">
        <f t="shared" si="484"/>
        <v>-1.5707963250000001</v>
      </c>
      <c r="O604">
        <f t="shared" si="485"/>
        <v>382.94417095100476</v>
      </c>
      <c r="P604">
        <f t="shared" si="486"/>
        <v>1.5681849771194543</v>
      </c>
      <c r="Q604">
        <f t="shared" si="487"/>
        <v>332.86957964246824</v>
      </c>
      <c r="R604">
        <f t="shared" si="488"/>
        <v>1.567792142677914</v>
      </c>
      <c r="S604">
        <f t="shared" si="489"/>
        <v>0.10567824221447483</v>
      </c>
      <c r="T604">
        <f t="shared" si="490"/>
        <v>-1.4649203889174649</v>
      </c>
      <c r="U604">
        <f t="shared" si="491"/>
        <v>0.10431718185371402</v>
      </c>
      <c r="V604">
        <f t="shared" si="492"/>
        <v>-1.4662890145160887</v>
      </c>
      <c r="X604">
        <f t="shared" si="509"/>
        <v>-74.219129272720053</v>
      </c>
      <c r="Y604">
        <f t="shared" si="493"/>
        <v>-244.72043626998988</v>
      </c>
      <c r="Z604">
        <f t="shared" si="510"/>
        <v>-64.720436269989875</v>
      </c>
      <c r="AC604">
        <v>1</v>
      </c>
      <c r="AD604">
        <f t="shared" si="494"/>
        <v>382.94286527542499</v>
      </c>
      <c r="AE604">
        <f t="shared" si="495"/>
        <v>-0.56302762975019283</v>
      </c>
      <c r="AF604">
        <f t="shared" si="496"/>
        <v>5.9055658634699998E-2</v>
      </c>
      <c r="AG604">
        <f t="shared" si="473"/>
        <v>68.807372920610405</v>
      </c>
      <c r="AH604">
        <f t="shared" si="474"/>
        <v>-672.93216270181665</v>
      </c>
      <c r="AJ604">
        <f t="shared" si="497"/>
        <v>26400</v>
      </c>
      <c r="AK604">
        <f t="shared" si="498"/>
        <v>248416.03525939203</v>
      </c>
      <c r="AL604">
        <v>1</v>
      </c>
      <c r="AM604">
        <f t="shared" si="499"/>
        <v>332.86807754928003</v>
      </c>
      <c r="AN604">
        <f t="shared" si="475"/>
        <v>746.52127982374475</v>
      </c>
      <c r="AO604">
        <f t="shared" si="476"/>
        <v>-77.068005166035604</v>
      </c>
      <c r="AQ604">
        <f t="shared" si="500"/>
        <v>6.5746215269808328E-4</v>
      </c>
      <c r="AR604">
        <f t="shared" si="501"/>
        <v>-2.5641023955225251</v>
      </c>
      <c r="AT604">
        <f t="shared" si="523"/>
        <v>-1725.4217321643598</v>
      </c>
      <c r="AU604">
        <f t="shared" si="524"/>
        <v>-176.87157716365857</v>
      </c>
      <c r="AV604">
        <f t="shared" si="511"/>
        <v>-3.0394402807356364</v>
      </c>
      <c r="AW604">
        <f t="shared" si="512"/>
        <v>617.89959850671676</v>
      </c>
      <c r="AX604">
        <f t="shared" si="513"/>
        <v>-2981.495980510555</v>
      </c>
      <c r="AY604">
        <f t="shared" si="521"/>
        <v>-1.366444397865662</v>
      </c>
      <c r="BA604">
        <f t="shared" si="502"/>
        <v>0.56963820800305454</v>
      </c>
      <c r="BB604">
        <f t="shared" si="514"/>
        <v>-4.8880177691522197</v>
      </c>
      <c r="BC604">
        <f t="shared" si="515"/>
        <v>-1.6729958828699745</v>
      </c>
      <c r="BD604">
        <f t="shared" si="503"/>
        <v>-275.85560334074353</v>
      </c>
      <c r="BF604">
        <f t="shared" si="504"/>
        <v>-78.2048581089674</v>
      </c>
      <c r="BG604">
        <f t="shared" si="505"/>
        <v>-262.30836555231809</v>
      </c>
      <c r="BH604">
        <f t="shared" si="516"/>
        <v>-82.308365552318094</v>
      </c>
      <c r="BI604">
        <f t="shared" si="517"/>
        <v>-82.308365552318094</v>
      </c>
      <c r="BJ604">
        <f t="shared" si="506"/>
        <v>0</v>
      </c>
      <c r="BK604">
        <f t="shared" si="518"/>
        <v>0</v>
      </c>
      <c r="BM604">
        <f t="shared" si="519"/>
        <v>-73.316840339815187</v>
      </c>
      <c r="BN604">
        <f t="shared" si="507"/>
        <v>-166.45276221157459</v>
      </c>
      <c r="BQ604" s="56">
        <f t="shared" si="520"/>
        <v>12.013943031132916</v>
      </c>
    </row>
    <row r="605" spans="1:69" x14ac:dyDescent="0.2">
      <c r="A605">
        <f t="shared" si="525"/>
        <v>1955000</v>
      </c>
      <c r="B605">
        <f t="shared" si="508"/>
        <v>1955</v>
      </c>
      <c r="C605">
        <f t="shared" si="477"/>
        <v>1.0285742275112608</v>
      </c>
      <c r="D605">
        <f t="shared" si="478"/>
        <v>0.23626260879926239</v>
      </c>
      <c r="F605">
        <f t="shared" si="479"/>
        <v>1.3920907285239412E-5</v>
      </c>
      <c r="G605">
        <f t="shared" si="480"/>
        <v>7.6143958305700983E-4</v>
      </c>
      <c r="H605">
        <f t="shared" si="481"/>
        <v>-3.1408312104169434</v>
      </c>
      <c r="J605">
        <f t="shared" si="482"/>
        <v>15</v>
      </c>
      <c r="M605">
        <f t="shared" si="483"/>
        <v>6.3976784032082179E-4</v>
      </c>
      <c r="N605">
        <f t="shared" si="484"/>
        <v>-1.5707963250000001</v>
      </c>
      <c r="O605">
        <f t="shared" si="485"/>
        <v>383.92607239444987</v>
      </c>
      <c r="P605">
        <f t="shared" si="486"/>
        <v>1.5681916557328801</v>
      </c>
      <c r="Q605">
        <f t="shared" si="487"/>
        <v>333.72308369196696</v>
      </c>
      <c r="R605">
        <f t="shared" si="488"/>
        <v>1.5677998259672001</v>
      </c>
      <c r="S605">
        <f t="shared" si="489"/>
        <v>0.10541097236127171</v>
      </c>
      <c r="T605">
        <f t="shared" si="490"/>
        <v>-1.4651891599735758</v>
      </c>
      <c r="U605">
        <f t="shared" si="491"/>
        <v>0.10405327827675365</v>
      </c>
      <c r="V605">
        <f t="shared" si="492"/>
        <v>-1.4665543621392965</v>
      </c>
      <c r="X605">
        <f t="shared" si="509"/>
        <v>-74.284154308312068</v>
      </c>
      <c r="Y605">
        <f t="shared" si="493"/>
        <v>-244.71697629719282</v>
      </c>
      <c r="Z605">
        <f t="shared" si="510"/>
        <v>-64.716976297192815</v>
      </c>
      <c r="AC605">
        <v>1</v>
      </c>
      <c r="AD605">
        <f t="shared" si="494"/>
        <v>383.9247700581825</v>
      </c>
      <c r="AE605">
        <f t="shared" si="495"/>
        <v>-0.56591865262221719</v>
      </c>
      <c r="AF605">
        <f t="shared" si="496"/>
        <v>5.9207083400429995E-2</v>
      </c>
      <c r="AG605">
        <f t="shared" si="473"/>
        <v>68.459672903420071</v>
      </c>
      <c r="AH605">
        <f t="shared" si="474"/>
        <v>-671.24748536714037</v>
      </c>
      <c r="AJ605">
        <f t="shared" si="497"/>
        <v>26400</v>
      </c>
      <c r="AK605">
        <f t="shared" si="498"/>
        <v>249052.99945236483</v>
      </c>
      <c r="AL605">
        <v>1</v>
      </c>
      <c r="AM605">
        <f t="shared" si="499"/>
        <v>333.72158544043202</v>
      </c>
      <c r="AN605">
        <f t="shared" si="475"/>
        <v>746.52009706657464</v>
      </c>
      <c r="AO605">
        <f t="shared" si="476"/>
        <v>-76.87090383763163</v>
      </c>
      <c r="AQ605">
        <f t="shared" si="500"/>
        <v>6.5410347563768707E-4</v>
      </c>
      <c r="AR605">
        <f t="shared" si="501"/>
        <v>-2.5575445897433564</v>
      </c>
      <c r="AT605">
        <f t="shared" si="523"/>
        <v>-1716.7005948695755</v>
      </c>
      <c r="AU605">
        <f t="shared" si="524"/>
        <v>-175.52773136293354</v>
      </c>
      <c r="AV605">
        <f t="shared" si="511"/>
        <v>-3.0396996055260823</v>
      </c>
      <c r="AW605">
        <f t="shared" si="512"/>
        <v>618.55925761781373</v>
      </c>
      <c r="AX605">
        <f t="shared" si="513"/>
        <v>-2973.9035404077549</v>
      </c>
      <c r="AY605">
        <f t="shared" si="521"/>
        <v>-1.3657245129636433</v>
      </c>
      <c r="BA605">
        <f t="shared" si="502"/>
        <v>0.56810591967421264</v>
      </c>
      <c r="BB605">
        <f t="shared" si="514"/>
        <v>-4.9114137068522625</v>
      </c>
      <c r="BC605">
        <f t="shared" si="515"/>
        <v>-1.673975092562439</v>
      </c>
      <c r="BD605">
        <f t="shared" si="503"/>
        <v>-275.91170792344417</v>
      </c>
      <c r="BF605">
        <f t="shared" si="504"/>
        <v>-78.271524940837807</v>
      </c>
      <c r="BG605">
        <f t="shared" si="505"/>
        <v>-262.33123029251465</v>
      </c>
      <c r="BH605">
        <f t="shared" si="516"/>
        <v>-82.331230292514647</v>
      </c>
      <c r="BI605">
        <f t="shared" si="517"/>
        <v>-82.331230292514647</v>
      </c>
      <c r="BJ605">
        <f t="shared" si="506"/>
        <v>0</v>
      </c>
      <c r="BK605">
        <f t="shared" si="518"/>
        <v>0</v>
      </c>
      <c r="BM605">
        <f t="shared" si="519"/>
        <v>-73.360111233985549</v>
      </c>
      <c r="BN605">
        <f t="shared" si="507"/>
        <v>-166.41952236907051</v>
      </c>
      <c r="BQ605" s="56">
        <f t="shared" si="520"/>
        <v>11.990547093432875</v>
      </c>
    </row>
    <row r="606" spans="1:69" x14ac:dyDescent="0.2">
      <c r="A606">
        <f t="shared" si="525"/>
        <v>1960000</v>
      </c>
      <c r="B606">
        <f t="shared" si="508"/>
        <v>1960</v>
      </c>
      <c r="C606">
        <f t="shared" si="477"/>
        <v>1.0287185312395033</v>
      </c>
      <c r="D606">
        <f t="shared" si="478"/>
        <v>0.23684454284567819</v>
      </c>
      <c r="F606">
        <f t="shared" si="479"/>
        <v>1.3849971878692655E-5</v>
      </c>
      <c r="G606">
        <f t="shared" si="480"/>
        <v>7.5949708198400827E-4</v>
      </c>
      <c r="H606">
        <f t="shared" si="481"/>
        <v>-3.1408331529180162</v>
      </c>
      <c r="J606">
        <f t="shared" si="482"/>
        <v>15</v>
      </c>
      <c r="M606">
        <f t="shared" si="483"/>
        <v>6.3813577950367685E-4</v>
      </c>
      <c r="N606">
        <f t="shared" si="484"/>
        <v>-1.5707963250000001</v>
      </c>
      <c r="O606">
        <f t="shared" si="485"/>
        <v>384.90797385493221</v>
      </c>
      <c r="P606">
        <f t="shared" si="486"/>
        <v>1.5681983002719784</v>
      </c>
      <c r="Q606">
        <f t="shared" si="487"/>
        <v>334.57658776106581</v>
      </c>
      <c r="R606">
        <f t="shared" si="488"/>
        <v>1.5678074700563818</v>
      </c>
      <c r="S606">
        <f t="shared" si="489"/>
        <v>0.10514504345891781</v>
      </c>
      <c r="T606">
        <f t="shared" si="490"/>
        <v>-1.4654565749473649</v>
      </c>
      <c r="U606">
        <f t="shared" si="491"/>
        <v>0.10379069933426012</v>
      </c>
      <c r="V606">
        <f t="shared" si="492"/>
        <v>-1.4668183705690372</v>
      </c>
      <c r="X606">
        <f t="shared" si="509"/>
        <v>-74.349009832141462</v>
      </c>
      <c r="Y606">
        <f t="shared" si="493"/>
        <v>-244.71337486954849</v>
      </c>
      <c r="Z606">
        <f t="shared" si="510"/>
        <v>-64.713374869548488</v>
      </c>
      <c r="AC606">
        <v>1</v>
      </c>
      <c r="AD606">
        <f t="shared" si="494"/>
        <v>384.90667484094001</v>
      </c>
      <c r="AE606">
        <f t="shared" si="495"/>
        <v>-0.56881707888187794</v>
      </c>
      <c r="AF606">
        <f t="shared" si="496"/>
        <v>5.935850816616E-2</v>
      </c>
      <c r="AG606">
        <f t="shared" si="473"/>
        <v>68.114592239656744</v>
      </c>
      <c r="AH606">
        <f t="shared" si="474"/>
        <v>-669.57112998419439</v>
      </c>
      <c r="AJ606">
        <f t="shared" si="497"/>
        <v>26400</v>
      </c>
      <c r="AK606">
        <f t="shared" si="498"/>
        <v>249689.96364533762</v>
      </c>
      <c r="AL606">
        <v>1</v>
      </c>
      <c r="AM606">
        <f t="shared" si="499"/>
        <v>334.57509333158407</v>
      </c>
      <c r="AN606">
        <f t="shared" si="475"/>
        <v>746.51892334945887</v>
      </c>
      <c r="AO606">
        <f t="shared" si="476"/>
        <v>-76.674808101230639</v>
      </c>
      <c r="AQ606">
        <f t="shared" si="500"/>
        <v>6.5077046993632407E-4</v>
      </c>
      <c r="AR606">
        <f t="shared" si="501"/>
        <v>-2.5510202421503902</v>
      </c>
      <c r="AT606">
        <f t="shared" si="523"/>
        <v>-1708.0451791839885</v>
      </c>
      <c r="AU606">
        <f t="shared" si="524"/>
        <v>-174.19744070809983</v>
      </c>
      <c r="AV606">
        <f t="shared" si="511"/>
        <v>-3.0399576218515691</v>
      </c>
      <c r="AW606">
        <f t="shared" si="512"/>
        <v>619.21383688136507</v>
      </c>
      <c r="AX606">
        <f t="shared" si="513"/>
        <v>-2966.3495906182047</v>
      </c>
      <c r="AY606">
        <f t="shared" si="521"/>
        <v>-1.3650053966182414</v>
      </c>
      <c r="BA606">
        <f t="shared" si="502"/>
        <v>0.56658117144215769</v>
      </c>
      <c r="BB606">
        <f t="shared" si="514"/>
        <v>-4.9347572399629716</v>
      </c>
      <c r="BC606">
        <f t="shared" si="515"/>
        <v>-1.6749522252333278</v>
      </c>
      <c r="BD606">
        <f t="shared" si="503"/>
        <v>-275.96769350157444</v>
      </c>
      <c r="BF606">
        <f t="shared" si="504"/>
        <v>-78.338022961950074</v>
      </c>
      <c r="BG606">
        <f t="shared" si="505"/>
        <v>-262.35398480290553</v>
      </c>
      <c r="BH606">
        <f t="shared" si="516"/>
        <v>-82.353984802905529</v>
      </c>
      <c r="BI606">
        <f t="shared" si="517"/>
        <v>-82.353984802905529</v>
      </c>
      <c r="BJ606">
        <f t="shared" si="506"/>
        <v>0</v>
      </c>
      <c r="BK606">
        <f t="shared" si="518"/>
        <v>0</v>
      </c>
      <c r="BM606">
        <f t="shared" si="519"/>
        <v>-73.403265721987111</v>
      </c>
      <c r="BN606">
        <f t="shared" si="507"/>
        <v>-166.38629130133111</v>
      </c>
      <c r="BQ606" s="56">
        <f t="shared" si="520"/>
        <v>11.967203560322165</v>
      </c>
    </row>
    <row r="607" spans="1:69" x14ac:dyDescent="0.2">
      <c r="A607">
        <f t="shared" si="525"/>
        <v>1965000</v>
      </c>
      <c r="B607">
        <f t="shared" si="508"/>
        <v>1965</v>
      </c>
      <c r="C607">
        <f t="shared" si="477"/>
        <v>1.02886318324264</v>
      </c>
      <c r="D607">
        <f t="shared" si="478"/>
        <v>0.23742631345617776</v>
      </c>
      <c r="F607">
        <f t="shared" si="479"/>
        <v>1.377957728433215E-5</v>
      </c>
      <c r="G607">
        <f t="shared" si="480"/>
        <v>7.5756446681688892E-4</v>
      </c>
      <c r="H607">
        <f t="shared" si="481"/>
        <v>-3.1408350855331832</v>
      </c>
      <c r="J607">
        <f t="shared" si="482"/>
        <v>15</v>
      </c>
      <c r="M607">
        <f t="shared" si="483"/>
        <v>6.3651202433954546E-4</v>
      </c>
      <c r="N607">
        <f t="shared" si="484"/>
        <v>-1.5707963250000001</v>
      </c>
      <c r="O607">
        <f t="shared" si="485"/>
        <v>385.88987533232171</v>
      </c>
      <c r="P607">
        <f t="shared" si="486"/>
        <v>1.5682049109968559</v>
      </c>
      <c r="Q607">
        <f t="shared" si="487"/>
        <v>335.43009184961517</v>
      </c>
      <c r="R607">
        <f t="shared" si="488"/>
        <v>1.5678150752446929</v>
      </c>
      <c r="S607">
        <f t="shared" si="489"/>
        <v>0.10488044549784487</v>
      </c>
      <c r="T607">
        <f t="shared" si="490"/>
        <v>-1.4657226440382021</v>
      </c>
      <c r="U607">
        <f t="shared" si="491"/>
        <v>0.10352943513271121</v>
      </c>
      <c r="V607">
        <f t="shared" si="492"/>
        <v>-1.4670810498815086</v>
      </c>
      <c r="X607">
        <f t="shared" si="509"/>
        <v>-74.413696677828995</v>
      </c>
      <c r="Y607">
        <f t="shared" si="493"/>
        <v>-244.70963313971657</v>
      </c>
      <c r="Z607">
        <f t="shared" si="510"/>
        <v>-64.709633139716573</v>
      </c>
      <c r="AC607">
        <v>1</v>
      </c>
      <c r="AD607">
        <f t="shared" si="494"/>
        <v>385.88857962369752</v>
      </c>
      <c r="AE607">
        <f t="shared" si="495"/>
        <v>-0.57172290852917518</v>
      </c>
      <c r="AF607">
        <f t="shared" si="496"/>
        <v>5.9509932931889997E-2</v>
      </c>
      <c r="AG607">
        <f t="shared" si="473"/>
        <v>67.772104780747796</v>
      </c>
      <c r="AH607">
        <f t="shared" si="474"/>
        <v>-667.90303574840232</v>
      </c>
      <c r="AJ607">
        <f t="shared" si="497"/>
        <v>26400</v>
      </c>
      <c r="AK607">
        <f t="shared" si="498"/>
        <v>250326.92783831045</v>
      </c>
      <c r="AL607">
        <v>1</v>
      </c>
      <c r="AM607">
        <f t="shared" si="499"/>
        <v>335.42860122273601</v>
      </c>
      <c r="AN607">
        <f t="shared" si="475"/>
        <v>746.51775858050598</v>
      </c>
      <c r="AO607">
        <f t="shared" si="476"/>
        <v>-76.479710280831725</v>
      </c>
      <c r="AQ607">
        <f t="shared" si="500"/>
        <v>6.4746287464063381E-4</v>
      </c>
      <c r="AR607">
        <f t="shared" si="501"/>
        <v>-2.5445290973376911</v>
      </c>
      <c r="AT607">
        <f t="shared" si="523"/>
        <v>-1699.454828740204</v>
      </c>
      <c r="AU607">
        <f t="shared" si="524"/>
        <v>-172.88053502193847</v>
      </c>
      <c r="AV607">
        <f t="shared" si="511"/>
        <v>-3.0402143395537289</v>
      </c>
      <c r="AW607">
        <f t="shared" si="512"/>
        <v>619.86338840808753</v>
      </c>
      <c r="AX607">
        <f t="shared" si="513"/>
        <v>-2958.8338397739444</v>
      </c>
      <c r="AY607">
        <f t="shared" si="521"/>
        <v>-1.3642870446310285</v>
      </c>
      <c r="BA607">
        <f t="shared" si="502"/>
        <v>0.56506390698178754</v>
      </c>
      <c r="BB607">
        <f t="shared" si="514"/>
        <v>-4.9580486407788396</v>
      </c>
      <c r="BC607">
        <f t="shared" si="515"/>
        <v>-1.6759272949227004</v>
      </c>
      <c r="BD607">
        <f t="shared" si="503"/>
        <v>-276.02356087957048</v>
      </c>
      <c r="BF607">
        <f t="shared" si="504"/>
        <v>-78.404353026080088</v>
      </c>
      <c r="BG607">
        <f t="shared" si="505"/>
        <v>-262.37662991092969</v>
      </c>
      <c r="BH607">
        <f t="shared" si="516"/>
        <v>-82.376629910929694</v>
      </c>
      <c r="BI607">
        <f t="shared" si="517"/>
        <v>-82.376629910929694</v>
      </c>
      <c r="BJ607">
        <f t="shared" si="506"/>
        <v>0</v>
      </c>
      <c r="BK607">
        <f t="shared" si="518"/>
        <v>0</v>
      </c>
      <c r="BM607">
        <f t="shared" si="519"/>
        <v>-73.446304385301246</v>
      </c>
      <c r="BN607">
        <f t="shared" si="507"/>
        <v>-166.35306903135927</v>
      </c>
      <c r="BQ607" s="56">
        <f t="shared" si="520"/>
        <v>11.943912159506295</v>
      </c>
    </row>
    <row r="608" spans="1:69" x14ac:dyDescent="0.2">
      <c r="A608">
        <f t="shared" si="525"/>
        <v>1970000</v>
      </c>
      <c r="B608">
        <f t="shared" si="508"/>
        <v>1970</v>
      </c>
      <c r="C608">
        <f t="shared" si="477"/>
        <v>1.0290081833737958</v>
      </c>
      <c r="D608">
        <f t="shared" si="478"/>
        <v>0.23800792030596024</v>
      </c>
      <c r="F608">
        <f t="shared" si="479"/>
        <v>1.3709718018529309E-5</v>
      </c>
      <c r="G608">
        <f t="shared" si="480"/>
        <v>7.5564166227816843E-4</v>
      </c>
      <c r="H608">
        <f t="shared" si="481"/>
        <v>-3.1408370083377219</v>
      </c>
      <c r="J608">
        <f t="shared" si="482"/>
        <v>15</v>
      </c>
      <c r="M608">
        <f t="shared" si="483"/>
        <v>6.348965115874146E-4</v>
      </c>
      <c r="N608">
        <f t="shared" si="484"/>
        <v>-1.5707963250000001</v>
      </c>
      <c r="O608">
        <f t="shared" si="485"/>
        <v>386.87177682648962</v>
      </c>
      <c r="P608">
        <f t="shared" si="486"/>
        <v>1.5682114881649789</v>
      </c>
      <c r="Q608">
        <f t="shared" si="487"/>
        <v>336.28359595746696</v>
      </c>
      <c r="R608">
        <f t="shared" si="488"/>
        <v>1.5678226418283294</v>
      </c>
      <c r="S608">
        <f t="shared" si="489"/>
        <v>0.10461716856728578</v>
      </c>
      <c r="T608">
        <f t="shared" si="490"/>
        <v>-1.4659873773438119</v>
      </c>
      <c r="U608">
        <f t="shared" si="491"/>
        <v>0.10326947587631231</v>
      </c>
      <c r="V608">
        <f t="shared" si="492"/>
        <v>-1.4673424100524424</v>
      </c>
      <c r="X608">
        <f t="shared" si="509"/>
        <v>-74.478215672845721</v>
      </c>
      <c r="Y608">
        <f t="shared" si="493"/>
        <v>-244.7057522490216</v>
      </c>
      <c r="Z608">
        <f t="shared" si="510"/>
        <v>-64.7057522490216</v>
      </c>
      <c r="AC608">
        <v>1</v>
      </c>
      <c r="AD608">
        <f t="shared" si="494"/>
        <v>386.87048440645498</v>
      </c>
      <c r="AE608">
        <f t="shared" si="495"/>
        <v>-0.5746361415641088</v>
      </c>
      <c r="AF608">
        <f t="shared" si="496"/>
        <v>5.9661357697620002E-2</v>
      </c>
      <c r="AG608">
        <f t="shared" si="473"/>
        <v>67.432184702406289</v>
      </c>
      <c r="AH608">
        <f t="shared" si="474"/>
        <v>-666.24314243882395</v>
      </c>
      <c r="AJ608">
        <f t="shared" si="497"/>
        <v>26400</v>
      </c>
      <c r="AK608">
        <f t="shared" si="498"/>
        <v>250963.89203128321</v>
      </c>
      <c r="AL608">
        <v>1</v>
      </c>
      <c r="AM608">
        <f t="shared" si="499"/>
        <v>336.28210911388805</v>
      </c>
      <c r="AN608">
        <f t="shared" si="475"/>
        <v>746.51660266898784</v>
      </c>
      <c r="AO608">
        <f t="shared" si="476"/>
        <v>-76.28560277835949</v>
      </c>
      <c r="AQ608">
        <f t="shared" si="500"/>
        <v>6.4418043210463858E-4</v>
      </c>
      <c r="AR608">
        <f t="shared" si="501"/>
        <v>-2.5380709024922763</v>
      </c>
      <c r="AT608">
        <f t="shared" si="523"/>
        <v>-1690.9288953151167</v>
      </c>
      <c r="AU608">
        <f t="shared" si="524"/>
        <v>-171.57684668004518</v>
      </c>
      <c r="AV608">
        <f t="shared" si="511"/>
        <v>-3.0404697683761075</v>
      </c>
      <c r="AW608">
        <f t="shared" si="512"/>
        <v>620.50796364117025</v>
      </c>
      <c r="AX608">
        <f t="shared" si="513"/>
        <v>-2951.355999434807</v>
      </c>
      <c r="AY608">
        <f t="shared" si="521"/>
        <v>-1.3635694528506521</v>
      </c>
      <c r="BA608">
        <f t="shared" si="502"/>
        <v>0.56355407052811246</v>
      </c>
      <c r="BB608">
        <f t="shared" si="514"/>
        <v>-4.9812881795648005</v>
      </c>
      <c r="BC608">
        <f t="shared" si="515"/>
        <v>-1.6769003155254554</v>
      </c>
      <c r="BD608">
        <f t="shared" si="503"/>
        <v>-276.07931085355131</v>
      </c>
      <c r="BF608">
        <f t="shared" si="504"/>
        <v>-78.470515980563206</v>
      </c>
      <c r="BG608">
        <f t="shared" si="505"/>
        <v>-262.39916643562901</v>
      </c>
      <c r="BH608">
        <f t="shared" si="516"/>
        <v>-82.399166435629013</v>
      </c>
      <c r="BI608">
        <f t="shared" si="517"/>
        <v>-82.399166435629013</v>
      </c>
      <c r="BJ608">
        <f t="shared" si="506"/>
        <v>0</v>
      </c>
      <c r="BK608">
        <f t="shared" si="518"/>
        <v>0</v>
      </c>
      <c r="BM608">
        <f t="shared" si="519"/>
        <v>-73.489227800998393</v>
      </c>
      <c r="BN608">
        <f t="shared" si="507"/>
        <v>-166.31985558207779</v>
      </c>
      <c r="BQ608" s="56">
        <f t="shared" si="520"/>
        <v>11.920672620720335</v>
      </c>
    </row>
    <row r="609" spans="1:69" x14ac:dyDescent="0.2">
      <c r="A609">
        <f t="shared" si="525"/>
        <v>1975000</v>
      </c>
      <c r="B609">
        <f t="shared" si="508"/>
        <v>1975</v>
      </c>
      <c r="C609">
        <f t="shared" si="477"/>
        <v>1.0291535314858247</v>
      </c>
      <c r="D609">
        <f t="shared" si="478"/>
        <v>0.23858936307085074</v>
      </c>
      <c r="F609">
        <f t="shared" si="479"/>
        <v>1.364038866698246E-5</v>
      </c>
      <c r="G609">
        <f t="shared" si="480"/>
        <v>7.5372859385271847E-4</v>
      </c>
      <c r="H609">
        <f t="shared" si="481"/>
        <v>-3.1408389214061474</v>
      </c>
      <c r="J609">
        <f t="shared" si="482"/>
        <v>15</v>
      </c>
      <c r="M609">
        <f t="shared" si="483"/>
        <v>6.3328917864668695E-4</v>
      </c>
      <c r="N609">
        <f t="shared" si="484"/>
        <v>-1.5707963250000001</v>
      </c>
      <c r="O609">
        <f t="shared" si="485"/>
        <v>387.85367833730851</v>
      </c>
      <c r="P609">
        <f t="shared" si="486"/>
        <v>1.5682180320312069</v>
      </c>
      <c r="Q609">
        <f t="shared" si="487"/>
        <v>337.13710008447458</v>
      </c>
      <c r="R609">
        <f t="shared" si="488"/>
        <v>1.567830170100488</v>
      </c>
      <c r="S609">
        <f t="shared" si="489"/>
        <v>0.10435520285406612</v>
      </c>
      <c r="T609">
        <f t="shared" si="490"/>
        <v>-1.4662507848615316</v>
      </c>
      <c r="U609">
        <f t="shared" si="491"/>
        <v>0.10301081186579998</v>
      </c>
      <c r="V609">
        <f t="shared" si="492"/>
        <v>-1.4676024609583485</v>
      </c>
      <c r="X609">
        <f t="shared" si="509"/>
        <v>-74.542567638573146</v>
      </c>
      <c r="Y609">
        <f t="shared" si="493"/>
        <v>-244.7017333275931</v>
      </c>
      <c r="Z609">
        <f t="shared" si="510"/>
        <v>-64.701733327593104</v>
      </c>
      <c r="AC609">
        <v>1</v>
      </c>
      <c r="AD609">
        <f t="shared" si="494"/>
        <v>387.85238918921249</v>
      </c>
      <c r="AE609">
        <f t="shared" si="495"/>
        <v>-0.57755677798667882</v>
      </c>
      <c r="AF609">
        <f t="shared" si="496"/>
        <v>5.9812782463349992E-2</v>
      </c>
      <c r="AG609">
        <f t="shared" si="473"/>
        <v>67.094806499834888</v>
      </c>
      <c r="AH609">
        <f t="shared" si="474"/>
        <v>-664.59139041126525</v>
      </c>
      <c r="AJ609">
        <f t="shared" si="497"/>
        <v>26400</v>
      </c>
      <c r="AK609">
        <f t="shared" si="498"/>
        <v>251600.85622425599</v>
      </c>
      <c r="AL609">
        <v>1</v>
      </c>
      <c r="AM609">
        <f t="shared" si="499"/>
        <v>337.13561700504005</v>
      </c>
      <c r="AN609">
        <f t="shared" si="475"/>
        <v>746.51545552532411</v>
      </c>
      <c r="AO609">
        <f t="shared" si="476"/>
        <v>-76.092478072677693</v>
      </c>
      <c r="AQ609">
        <f t="shared" si="500"/>
        <v>6.4092288793956816E-4</v>
      </c>
      <c r="AR609">
        <f t="shared" si="501"/>
        <v>-2.5316454073612942</v>
      </c>
      <c r="AT609">
        <f t="shared" si="523"/>
        <v>-1682.4667387093889</v>
      </c>
      <c r="AU609">
        <f t="shared" si="524"/>
        <v>-170.28621056634387</v>
      </c>
      <c r="AV609">
        <f t="shared" si="511"/>
        <v>-3.0407239179653813</v>
      </c>
      <c r="AW609">
        <f t="shared" si="512"/>
        <v>621.14761336652634</v>
      </c>
      <c r="AX609">
        <f t="shared" si="513"/>
        <v>-2943.9157840518096</v>
      </c>
      <c r="AY609">
        <f t="shared" si="521"/>
        <v>-1.3628526171722053</v>
      </c>
      <c r="BA609">
        <f t="shared" si="502"/>
        <v>0.56205160686934552</v>
      </c>
      <c r="BB609">
        <f t="shared" si="514"/>
        <v>-5.0044761245758522</v>
      </c>
      <c r="BC609">
        <f t="shared" si="515"/>
        <v>-1.677871300793176</v>
      </c>
      <c r="BD609">
        <f t="shared" si="503"/>
        <v>-276.13494421142462</v>
      </c>
      <c r="BF609">
        <f t="shared" si="504"/>
        <v>-78.53651266635859</v>
      </c>
      <c r="BG609">
        <f t="shared" si="505"/>
        <v>-262.42159518775452</v>
      </c>
      <c r="BH609">
        <f t="shared" si="516"/>
        <v>-82.421595187754519</v>
      </c>
      <c r="BI609">
        <f t="shared" si="517"/>
        <v>-82.421595187754519</v>
      </c>
      <c r="BJ609">
        <f t="shared" si="506"/>
        <v>0</v>
      </c>
      <c r="BK609">
        <f t="shared" si="518"/>
        <v>0</v>
      </c>
      <c r="BM609">
        <f t="shared" si="519"/>
        <v>-73.532036541782745</v>
      </c>
      <c r="BN609">
        <f t="shared" si="507"/>
        <v>-166.2866509763299</v>
      </c>
      <c r="BQ609" s="56">
        <f t="shared" si="520"/>
        <v>11.897484675709284</v>
      </c>
    </row>
    <row r="610" spans="1:69" x14ac:dyDescent="0.2">
      <c r="A610">
        <f t="shared" si="525"/>
        <v>1980000</v>
      </c>
      <c r="B610">
        <f t="shared" si="508"/>
        <v>1980</v>
      </c>
      <c r="C610">
        <f t="shared" si="477"/>
        <v>1.0292992274313104</v>
      </c>
      <c r="D610">
        <f t="shared" si="478"/>
        <v>0.23917064142730091</v>
      </c>
      <c r="F610">
        <f t="shared" si="479"/>
        <v>1.3571583883667718E-5</v>
      </c>
      <c r="G610">
        <f t="shared" si="480"/>
        <v>7.518251877781393E-4</v>
      </c>
      <c r="H610">
        <f t="shared" si="481"/>
        <v>-3.1408408248122219</v>
      </c>
      <c r="J610">
        <f t="shared" si="482"/>
        <v>15</v>
      </c>
      <c r="M610">
        <f t="shared" si="483"/>
        <v>6.316899635490943E-4</v>
      </c>
      <c r="N610">
        <f t="shared" si="484"/>
        <v>-1.5707963250000001</v>
      </c>
      <c r="O610">
        <f t="shared" si="485"/>
        <v>388.83557986465235</v>
      </c>
      <c r="P610">
        <f t="shared" si="486"/>
        <v>1.5682245428478248</v>
      </c>
      <c r="Q610">
        <f t="shared" si="487"/>
        <v>337.99060423049292</v>
      </c>
      <c r="R610">
        <f t="shared" si="488"/>
        <v>1.5678376603514037</v>
      </c>
      <c r="S610">
        <f t="shared" si="489"/>
        <v>0.1040945386414126</v>
      </c>
      <c r="T610">
        <f t="shared" si="490"/>
        <v>-1.4665128764895508</v>
      </c>
      <c r="U610">
        <f t="shared" si="491"/>
        <v>0.1027534334972624</v>
      </c>
      <c r="V610">
        <f t="shared" si="492"/>
        <v>-1.467861212377741</v>
      </c>
      <c r="X610">
        <f t="shared" si="509"/>
        <v>-74.606753390362542</v>
      </c>
      <c r="Y610">
        <f t="shared" si="493"/>
        <v>-244.69757749450335</v>
      </c>
      <c r="Z610">
        <f t="shared" si="510"/>
        <v>-64.697577494503349</v>
      </c>
      <c r="AC610">
        <v>1</v>
      </c>
      <c r="AD610">
        <f t="shared" si="494"/>
        <v>388.83429397197</v>
      </c>
      <c r="AE610">
        <f t="shared" si="495"/>
        <v>-0.58048481779688521</v>
      </c>
      <c r="AF610">
        <f t="shared" si="496"/>
        <v>5.9964207229079997E-2</v>
      </c>
      <c r="AG610">
        <f t="shared" si="473"/>
        <v>66.759944983012062</v>
      </c>
      <c r="AH610">
        <f t="shared" si="474"/>
        <v>-662.94772059148181</v>
      </c>
      <c r="AJ610">
        <f t="shared" si="497"/>
        <v>26400</v>
      </c>
      <c r="AK610">
        <f t="shared" si="498"/>
        <v>252237.82041722882</v>
      </c>
      <c r="AL610">
        <v>1</v>
      </c>
      <c r="AM610">
        <f t="shared" si="499"/>
        <v>337.98912489619204</v>
      </c>
      <c r="AN610">
        <f t="shared" si="475"/>
        <v>746.51431706106393</v>
      </c>
      <c r="AO610">
        <f t="shared" si="476"/>
        <v>-75.900328718617772</v>
      </c>
      <c r="AQ610">
        <f t="shared" si="500"/>
        <v>6.3768999096457048E-4</v>
      </c>
      <c r="AR610">
        <f t="shared" si="501"/>
        <v>-2.5252523642196993</v>
      </c>
      <c r="AT610">
        <f t="shared" si="523"/>
        <v>-1674.0677266289872</v>
      </c>
      <c r="AU610">
        <f t="shared" si="524"/>
        <v>-169.00846402948221</v>
      </c>
      <c r="AV610">
        <f t="shared" si="511"/>
        <v>-3.0409767978725522</v>
      </c>
      <c r="AW610">
        <f t="shared" si="512"/>
        <v>621.78238772285795</v>
      </c>
      <c r="AX610">
        <f t="shared" si="513"/>
        <v>-2936.5129109310819</v>
      </c>
      <c r="AY610">
        <f t="shared" si="521"/>
        <v>-1.3621365335366074</v>
      </c>
      <c r="BA610">
        <f t="shared" si="502"/>
        <v>0.56055646134009307</v>
      </c>
      <c r="BB610">
        <f t="shared" si="514"/>
        <v>-5.0276127420764638</v>
      </c>
      <c r="BC610">
        <f t="shared" si="515"/>
        <v>-1.6788402643359448</v>
      </c>
      <c r="BD610">
        <f t="shared" si="503"/>
        <v>-276.1904617329908</v>
      </c>
      <c r="BF610">
        <f t="shared" si="504"/>
        <v>-78.602343918112894</v>
      </c>
      <c r="BG610">
        <f t="shared" si="505"/>
        <v>-262.4439169698706</v>
      </c>
      <c r="BH610">
        <f t="shared" si="516"/>
        <v>-82.4439169698706</v>
      </c>
      <c r="BI610">
        <f t="shared" si="517"/>
        <v>-82.4439169698706</v>
      </c>
      <c r="BJ610">
        <f t="shared" si="506"/>
        <v>0</v>
      </c>
      <c r="BK610">
        <f t="shared" si="518"/>
        <v>0</v>
      </c>
      <c r="BM610">
        <f t="shared" si="519"/>
        <v>-73.574731176036437</v>
      </c>
      <c r="BN610">
        <f t="shared" si="507"/>
        <v>-166.25345523687986</v>
      </c>
      <c r="BQ610" s="56">
        <f t="shared" si="520"/>
        <v>11.874348058208673</v>
      </c>
    </row>
    <row r="611" spans="1:69" x14ac:dyDescent="0.2">
      <c r="A611">
        <f t="shared" si="525"/>
        <v>1985000</v>
      </c>
      <c r="B611">
        <f t="shared" si="508"/>
        <v>1985</v>
      </c>
      <c r="C611">
        <f t="shared" si="477"/>
        <v>1.0294452710625681</v>
      </c>
      <c r="D611">
        <f t="shared" si="478"/>
        <v>0.23975175505238991</v>
      </c>
      <c r="F611">
        <f t="shared" si="479"/>
        <v>1.3503298389808345E-5</v>
      </c>
      <c r="G611">
        <f t="shared" si="480"/>
        <v>7.4993137103527945E-4</v>
      </c>
      <c r="H611">
        <f t="shared" si="481"/>
        <v>-3.1408427186289649</v>
      </c>
      <c r="J611">
        <f t="shared" si="482"/>
        <v>15</v>
      </c>
      <c r="M611">
        <f t="shared" si="483"/>
        <v>6.3009880495073383E-4</v>
      </c>
      <c r="N611">
        <f t="shared" si="484"/>
        <v>-1.5707963250000001</v>
      </c>
      <c r="O611">
        <f t="shared" si="485"/>
        <v>389.81748140839613</v>
      </c>
      <c r="P611">
        <f t="shared" si="486"/>
        <v>1.5682310208645751</v>
      </c>
      <c r="Q611">
        <f t="shared" si="487"/>
        <v>338.84410839537827</v>
      </c>
      <c r="R611">
        <f t="shared" si="488"/>
        <v>1.5678451128683872</v>
      </c>
      <c r="S611">
        <f t="shared" si="489"/>
        <v>0.10383516630777946</v>
      </c>
      <c r="T611">
        <f t="shared" si="490"/>
        <v>-1.4667736620281331</v>
      </c>
      <c r="U611">
        <f t="shared" si="491"/>
        <v>0.10249733126097739</v>
      </c>
      <c r="V611">
        <f t="shared" si="492"/>
        <v>-1.4681186739923466</v>
      </c>
      <c r="X611">
        <f t="shared" si="509"/>
        <v>-74.670773737593677</v>
      </c>
      <c r="Y611">
        <f t="shared" si="493"/>
        <v>-244.69328585790285</v>
      </c>
      <c r="Z611">
        <f t="shared" si="510"/>
        <v>-64.69328585790285</v>
      </c>
      <c r="AC611">
        <v>1</v>
      </c>
      <c r="AD611">
        <f t="shared" si="494"/>
        <v>389.81619875472751</v>
      </c>
      <c r="AE611">
        <f t="shared" si="495"/>
        <v>-0.5834202609947281</v>
      </c>
      <c r="AF611">
        <f t="shared" si="496"/>
        <v>6.0115631994809994E-2</v>
      </c>
      <c r="AG611">
        <f t="shared" si="473"/>
        <v>66.427575272058732</v>
      </c>
      <c r="AH611">
        <f t="shared" si="474"/>
        <v>-661.31207446847861</v>
      </c>
      <c r="AJ611">
        <f t="shared" si="497"/>
        <v>26400</v>
      </c>
      <c r="AK611">
        <f t="shared" si="498"/>
        <v>252874.7846102016</v>
      </c>
      <c r="AL611">
        <v>1</v>
      </c>
      <c r="AM611">
        <f t="shared" si="499"/>
        <v>338.84263278734403</v>
      </c>
      <c r="AN611">
        <f t="shared" si="475"/>
        <v>746.51318718886864</v>
      </c>
      <c r="AO611">
        <f t="shared" si="476"/>
        <v>-75.709147346022235</v>
      </c>
      <c r="AQ611">
        <f t="shared" si="500"/>
        <v>6.344814931582909E-4</v>
      </c>
      <c r="AR611">
        <f t="shared" si="501"/>
        <v>-2.5188915278384147</v>
      </c>
      <c r="AT611">
        <f t="shared" si="523"/>
        <v>-1665.7312345687519</v>
      </c>
      <c r="AU611">
        <f t="shared" si="524"/>
        <v>-167.74344684008966</v>
      </c>
      <c r="AV611">
        <f t="shared" si="511"/>
        <v>-3.0412284175541262</v>
      </c>
      <c r="AW611">
        <f t="shared" si="512"/>
        <v>622.41233621154129</v>
      </c>
      <c r="AX611">
        <f t="shared" si="513"/>
        <v>-2929.1471001983346</v>
      </c>
      <c r="AY611">
        <f t="shared" si="521"/>
        <v>-1.3614211979299946</v>
      </c>
      <c r="BA611">
        <f t="shared" si="502"/>
        <v>0.55906857981464686</v>
      </c>
      <c r="BB611">
        <f t="shared" si="514"/>
        <v>-5.0506982963597302</v>
      </c>
      <c r="BC611">
        <f t="shared" si="515"/>
        <v>-1.6798072196241316</v>
      </c>
      <c r="BD611">
        <f t="shared" si="503"/>
        <v>-276.24586419004504</v>
      </c>
      <c r="BF611">
        <f t="shared" si="504"/>
        <v>-78.668010564222911</v>
      </c>
      <c r="BG611">
        <f t="shared" si="505"/>
        <v>-262.46613257645834</v>
      </c>
      <c r="BH611">
        <f t="shared" si="516"/>
        <v>-82.466132576458335</v>
      </c>
      <c r="BI611">
        <f t="shared" si="517"/>
        <v>-82.466132576458335</v>
      </c>
      <c r="BJ611">
        <f t="shared" si="506"/>
        <v>0</v>
      </c>
      <c r="BK611">
        <f t="shared" si="518"/>
        <v>0</v>
      </c>
      <c r="BM611">
        <f t="shared" si="519"/>
        <v>-73.617312267863184</v>
      </c>
      <c r="BN611">
        <f t="shared" si="507"/>
        <v>-166.22026838641332</v>
      </c>
      <c r="BQ611" s="56">
        <f t="shared" si="520"/>
        <v>11.851262503925406</v>
      </c>
    </row>
    <row r="612" spans="1:69" x14ac:dyDescent="0.2">
      <c r="A612">
        <f t="shared" si="525"/>
        <v>1990000</v>
      </c>
      <c r="B612">
        <f t="shared" si="508"/>
        <v>1990</v>
      </c>
      <c r="C612">
        <f t="shared" si="477"/>
        <v>1.0295916622316441</v>
      </c>
      <c r="D612">
        <f t="shared" si="478"/>
        <v>0.24033270362382486</v>
      </c>
      <c r="F612">
        <f t="shared" si="479"/>
        <v>1.3435526972862239E-5</v>
      </c>
      <c r="G612">
        <f t="shared" si="480"/>
        <v>7.4804707133889654E-4</v>
      </c>
      <c r="H612">
        <f t="shared" si="481"/>
        <v>-3.1408446029286612</v>
      </c>
      <c r="J612">
        <f t="shared" si="482"/>
        <v>15</v>
      </c>
      <c r="M612">
        <f t="shared" si="483"/>
        <v>6.2851564212422452E-4</v>
      </c>
      <c r="N612">
        <f t="shared" si="484"/>
        <v>-1.5707963250000001</v>
      </c>
      <c r="O612">
        <f t="shared" si="485"/>
        <v>390.7993829684163</v>
      </c>
      <c r="P612">
        <f t="shared" si="486"/>
        <v>1.5682374663286913</v>
      </c>
      <c r="Q612">
        <f t="shared" si="487"/>
        <v>339.69761257898847</v>
      </c>
      <c r="R612">
        <f t="shared" si="488"/>
        <v>1.5678525279358622</v>
      </c>
      <c r="S612">
        <f t="shared" si="489"/>
        <v>0.10357707632569128</v>
      </c>
      <c r="T612">
        <f t="shared" si="490"/>
        <v>-1.4670331511808192</v>
      </c>
      <c r="U612">
        <f t="shared" si="491"/>
        <v>0.10224249574026695</v>
      </c>
      <c r="V612">
        <f t="shared" si="492"/>
        <v>-1.4683748553882938</v>
      </c>
      <c r="X612">
        <f t="shared" si="509"/>
        <v>-74.734629483732746</v>
      </c>
      <c r="Y612">
        <f t="shared" si="493"/>
        <v>-244.68885951515432</v>
      </c>
      <c r="Z612">
        <f t="shared" si="510"/>
        <v>-64.68885951515432</v>
      </c>
      <c r="AC612">
        <v>1</v>
      </c>
      <c r="AD612">
        <f t="shared" si="494"/>
        <v>390.79810353748502</v>
      </c>
      <c r="AE612">
        <f t="shared" si="495"/>
        <v>-0.58636310758020749</v>
      </c>
      <c r="AF612">
        <f t="shared" si="496"/>
        <v>6.0267056760539998E-2</v>
      </c>
      <c r="AG612">
        <f t="shared" si="473"/>
        <v>66.097672792684207</v>
      </c>
      <c r="AH612">
        <f t="shared" si="474"/>
        <v>-659.68439408790232</v>
      </c>
      <c r="AJ612">
        <f t="shared" si="497"/>
        <v>26400</v>
      </c>
      <c r="AK612">
        <f t="shared" si="498"/>
        <v>253511.74880317441</v>
      </c>
      <c r="AL612">
        <v>1</v>
      </c>
      <c r="AM612">
        <f t="shared" si="499"/>
        <v>339.69614067849602</v>
      </c>
      <c r="AN612">
        <f t="shared" si="475"/>
        <v>746.51206582249586</v>
      </c>
      <c r="AO612">
        <f t="shared" si="476"/>
        <v>-75.518926658802243</v>
      </c>
      <c r="AQ612">
        <f t="shared" si="500"/>
        <v>6.3129714961130084E-4</v>
      </c>
      <c r="AR612">
        <f t="shared" si="501"/>
        <v>-2.5125626554529776</v>
      </c>
      <c r="AT612">
        <f t="shared" si="523"/>
        <v>-1657.4566456979585</v>
      </c>
      <c r="AU612">
        <f t="shared" si="524"/>
        <v>-166.49100114887943</v>
      </c>
      <c r="AV612">
        <f t="shared" si="511"/>
        <v>-3.041478786373276</v>
      </c>
      <c r="AW612">
        <f t="shared" si="512"/>
        <v>623.03750770633872</v>
      </c>
      <c r="AX612">
        <f t="shared" si="513"/>
        <v>-2921.8180747638598</v>
      </c>
      <c r="AY612">
        <f t="shared" si="521"/>
        <v>-1.3607066063831201</v>
      </c>
      <c r="BA612">
        <f t="shared" si="502"/>
        <v>0.55758790870037445</v>
      </c>
      <c r="BB612">
        <f t="shared" si="514"/>
        <v>-5.0737330497662914</v>
      </c>
      <c r="BC612">
        <f t="shared" si="515"/>
        <v>-1.6807721799901558</v>
      </c>
      <c r="BD612">
        <f t="shared" si="503"/>
        <v>-276.30115234647883</v>
      </c>
      <c r="BF612">
        <f t="shared" si="504"/>
        <v>-78.733513426897701</v>
      </c>
      <c r="BG612">
        <f t="shared" si="505"/>
        <v>-262.48824279401674</v>
      </c>
      <c r="BH612">
        <f t="shared" si="516"/>
        <v>-82.488242794016742</v>
      </c>
      <c r="BI612">
        <f t="shared" si="517"/>
        <v>-82.488242794016742</v>
      </c>
      <c r="BJ612">
        <f t="shared" si="506"/>
        <v>0</v>
      </c>
      <c r="BK612">
        <f t="shared" si="518"/>
        <v>0</v>
      </c>
      <c r="BM612">
        <f t="shared" si="519"/>
        <v>-73.659780377131412</v>
      </c>
      <c r="BN612">
        <f t="shared" si="507"/>
        <v>-166.18709044753797</v>
      </c>
      <c r="BQ612" s="56">
        <f t="shared" si="520"/>
        <v>11.828227750518845</v>
      </c>
    </row>
    <row r="613" spans="1:69" x14ac:dyDescent="0.2">
      <c r="A613">
        <f t="shared" si="525"/>
        <v>1995000</v>
      </c>
      <c r="B613">
        <f t="shared" si="508"/>
        <v>1995</v>
      </c>
      <c r="C613">
        <f t="shared" si="477"/>
        <v>1.0297384007903168</v>
      </c>
      <c r="D613">
        <f t="shared" si="478"/>
        <v>0.24091348681994154</v>
      </c>
      <c r="F613">
        <f t="shared" si="479"/>
        <v>1.3368264485527133E-5</v>
      </c>
      <c r="G613">
        <f t="shared" si="480"/>
        <v>7.4617221712846085E-4</v>
      </c>
      <c r="H613">
        <f t="shared" si="481"/>
        <v>-3.1408464777828717</v>
      </c>
      <c r="J613">
        <f t="shared" si="482"/>
        <v>15</v>
      </c>
      <c r="M613">
        <f t="shared" si="483"/>
        <v>6.2694041495098079E-4</v>
      </c>
      <c r="N613">
        <f t="shared" si="484"/>
        <v>-1.5707963250000001</v>
      </c>
      <c r="O613">
        <f t="shared" si="485"/>
        <v>391.78128454459039</v>
      </c>
      <c r="P613">
        <f t="shared" si="486"/>
        <v>1.5682438794849276</v>
      </c>
      <c r="Q613">
        <f t="shared" si="487"/>
        <v>340.55111678118271</v>
      </c>
      <c r="R613">
        <f t="shared" si="488"/>
        <v>1.5678599058354004</v>
      </c>
      <c r="S613">
        <f t="shared" si="489"/>
        <v>0.10332025926060294</v>
      </c>
      <c r="T613">
        <f t="shared" si="490"/>
        <v>-1.467291353555614</v>
      </c>
      <c r="U613">
        <f t="shared" si="491"/>
        <v>0.10198891761036848</v>
      </c>
      <c r="V613">
        <f t="shared" si="492"/>
        <v>-1.4686297660572869</v>
      </c>
      <c r="X613">
        <f t="shared" si="509"/>
        <v>-74.798321426389705</v>
      </c>
      <c r="Y613">
        <f t="shared" si="493"/>
        <v>-244.68429955296415</v>
      </c>
      <c r="Z613">
        <f t="shared" si="510"/>
        <v>-64.684299552964148</v>
      </c>
      <c r="AC613">
        <v>1</v>
      </c>
      <c r="AD613">
        <f t="shared" si="494"/>
        <v>391.78000832024253</v>
      </c>
      <c r="AE613">
        <f t="shared" si="495"/>
        <v>-0.58931335755332326</v>
      </c>
      <c r="AF613">
        <f t="shared" si="496"/>
        <v>6.0418481526269996E-2</v>
      </c>
      <c r="AG613">
        <f t="shared" si="473"/>
        <v>65.770213271709693</v>
      </c>
      <c r="AH613">
        <f t="shared" si="474"/>
        <v>-658.06462204552486</v>
      </c>
      <c r="AJ613">
        <f t="shared" si="497"/>
        <v>26400</v>
      </c>
      <c r="AK613">
        <f t="shared" si="498"/>
        <v>254148.71299614719</v>
      </c>
      <c r="AL613">
        <v>1</v>
      </c>
      <c r="AM613">
        <f t="shared" si="499"/>
        <v>340.54964856964807</v>
      </c>
      <c r="AN613">
        <f t="shared" si="475"/>
        <v>746.51095287678197</v>
      </c>
      <c r="AO613">
        <f t="shared" si="476"/>
        <v>-75.329659434009514</v>
      </c>
      <c r="AQ613">
        <f t="shared" si="500"/>
        <v>6.2813671847936146E-4</v>
      </c>
      <c r="AR613">
        <f t="shared" si="501"/>
        <v>-2.5062655067326518</v>
      </c>
      <c r="AT613">
        <f t="shared" si="523"/>
        <v>-1649.2433507478202</v>
      </c>
      <c r="AU613">
        <f t="shared" si="524"/>
        <v>-165.25097144557512</v>
      </c>
      <c r="AV613">
        <f t="shared" si="511"/>
        <v>-3.041727913600984</v>
      </c>
      <c r="AW613">
        <f t="shared" si="512"/>
        <v>623.65795046293567</v>
      </c>
      <c r="AX613">
        <f t="shared" si="513"/>
        <v>-2914.5255602880457</v>
      </c>
      <c r="AY613">
        <f t="shared" si="521"/>
        <v>-1.3599927549707636</v>
      </c>
      <c r="BA613">
        <f t="shared" si="502"/>
        <v>0.55611439493120374</v>
      </c>
      <c r="BB613">
        <f t="shared" si="514"/>
        <v>-5.0967172627030601</v>
      </c>
      <c r="BC613">
        <f t="shared" si="515"/>
        <v>-1.6817351586302205</v>
      </c>
      <c r="BD613">
        <f t="shared" si="503"/>
        <v>-276.35632695837882</v>
      </c>
      <c r="BF613">
        <f t="shared" si="504"/>
        <v>-78.79885332221977</v>
      </c>
      <c r="BG613">
        <f t="shared" si="505"/>
        <v>-262.5102484011627</v>
      </c>
      <c r="BH613">
        <f t="shared" si="516"/>
        <v>-82.510248401162698</v>
      </c>
      <c r="BI613">
        <f t="shared" si="517"/>
        <v>-82.510248401162698</v>
      </c>
      <c r="BJ613">
        <f t="shared" si="506"/>
        <v>0</v>
      </c>
      <c r="BK613">
        <f t="shared" si="518"/>
        <v>0</v>
      </c>
      <c r="BM613">
        <f t="shared" si="519"/>
        <v>-73.702136059516718</v>
      </c>
      <c r="BN613">
        <f t="shared" si="507"/>
        <v>-166.15392144278394</v>
      </c>
      <c r="BQ613" s="56">
        <f t="shared" si="520"/>
        <v>11.805243537582076</v>
      </c>
    </row>
    <row r="614" spans="1:69" x14ac:dyDescent="0.2">
      <c r="A614">
        <f t="shared" si="525"/>
        <v>2000000</v>
      </c>
      <c r="B614">
        <f t="shared" si="508"/>
        <v>2000</v>
      </c>
      <c r="C614">
        <f t="shared" si="477"/>
        <v>1.0298854865900975</v>
      </c>
      <c r="D614">
        <f t="shared" si="478"/>
        <v>0.24149410431970519</v>
      </c>
      <c r="F614">
        <f t="shared" si="479"/>
        <v>1.3301505844763182E-5</v>
      </c>
      <c r="G614">
        <f t="shared" si="480"/>
        <v>7.4430673755909423E-4</v>
      </c>
      <c r="H614">
        <f t="shared" si="481"/>
        <v>-3.1408483432624412</v>
      </c>
      <c r="J614">
        <f t="shared" si="482"/>
        <v>15</v>
      </c>
      <c r="M614">
        <f t="shared" si="483"/>
        <v>6.2537306391360339E-4</v>
      </c>
      <c r="N614">
        <f t="shared" si="484"/>
        <v>-1.5707963250000001</v>
      </c>
      <c r="O614">
        <f t="shared" si="485"/>
        <v>392.7631861367974</v>
      </c>
      <c r="P614">
        <f t="shared" si="486"/>
        <v>1.5682502605755912</v>
      </c>
      <c r="Q614">
        <f t="shared" si="487"/>
        <v>341.40462100182168</v>
      </c>
      <c r="R614">
        <f t="shared" si="488"/>
        <v>1.5678672468457582</v>
      </c>
      <c r="S614">
        <f t="shared" si="489"/>
        <v>0.10306470576977586</v>
      </c>
      <c r="T614">
        <f t="shared" si="490"/>
        <v>-1.4675482786661538</v>
      </c>
      <c r="U614">
        <f t="shared" si="491"/>
        <v>0.10173658763732248</v>
      </c>
      <c r="V614">
        <f t="shared" si="492"/>
        <v>-1.4688834153977608</v>
      </c>
      <c r="X614">
        <f t="shared" si="509"/>
        <v>-74.86185035737472</v>
      </c>
      <c r="Y614">
        <f t="shared" si="493"/>
        <v>-244.67960704751269</v>
      </c>
      <c r="Z614">
        <f t="shared" si="510"/>
        <v>-64.67960704751269</v>
      </c>
      <c r="AC614">
        <v>1</v>
      </c>
      <c r="AD614">
        <f t="shared" si="494"/>
        <v>392.76191310300004</v>
      </c>
      <c r="AE614">
        <f t="shared" si="495"/>
        <v>-0.59227101091407541</v>
      </c>
      <c r="AF614">
        <f t="shared" si="496"/>
        <v>6.0569906292E-2</v>
      </c>
      <c r="AG614">
        <f t="shared" si="473"/>
        <v>65.445172732667515</v>
      </c>
      <c r="AH614">
        <f t="shared" si="474"/>
        <v>-656.4527014808159</v>
      </c>
      <c r="AJ614">
        <f t="shared" si="497"/>
        <v>26400</v>
      </c>
      <c r="AK614">
        <f t="shared" si="498"/>
        <v>254785.67718912003</v>
      </c>
      <c r="AL614">
        <v>1</v>
      </c>
      <c r="AM614">
        <f t="shared" si="499"/>
        <v>341.40315646080006</v>
      </c>
      <c r="AN614">
        <f t="shared" si="475"/>
        <v>746.5098482676276</v>
      </c>
      <c r="AO614">
        <f t="shared" si="476"/>
        <v>-75.141338520922289</v>
      </c>
      <c r="AQ614">
        <f t="shared" si="500"/>
        <v>6.2499996093750242E-4</v>
      </c>
      <c r="AR614">
        <f t="shared" si="501"/>
        <v>-2.4999998437500097</v>
      </c>
      <c r="AT614">
        <f t="shared" si="523"/>
        <v>-1641.0907479009102</v>
      </c>
      <c r="AU614">
        <f t="shared" si="524"/>
        <v>-164.02320451864401</v>
      </c>
      <c r="AV614">
        <f t="shared" si="511"/>
        <v>-3.0419758084171713</v>
      </c>
      <c r="AW614">
        <f t="shared" si="512"/>
        <v>624.27371212830974</v>
      </c>
      <c r="AX614">
        <f t="shared" si="513"/>
        <v>-2907.2692851474058</v>
      </c>
      <c r="AY614">
        <f t="shared" si="521"/>
        <v>-1.3592796398111491</v>
      </c>
      <c r="BA614">
        <f t="shared" si="502"/>
        <v>0.55464798596120413</v>
      </c>
      <c r="BB614">
        <f t="shared" si="514"/>
        <v>-5.1196511936617108</v>
      </c>
      <c r="BC614">
        <f t="shared" si="515"/>
        <v>-1.6826961686060222</v>
      </c>
      <c r="BD614">
        <f t="shared" si="503"/>
        <v>-276.41138877412516</v>
      </c>
      <c r="BF614">
        <f t="shared" si="504"/>
        <v>-78.864031060205619</v>
      </c>
      <c r="BG614">
        <f t="shared" si="505"/>
        <v>-262.53215016872934</v>
      </c>
      <c r="BH614">
        <f t="shared" si="516"/>
        <v>-82.532150168729345</v>
      </c>
      <c r="BI614">
        <f t="shared" si="517"/>
        <v>-82.532150168729345</v>
      </c>
      <c r="BJ614">
        <f t="shared" si="506"/>
        <v>0</v>
      </c>
      <c r="BK614">
        <f t="shared" si="518"/>
        <v>0</v>
      </c>
      <c r="BM614">
        <f t="shared" si="519"/>
        <v>-73.744379866543909</v>
      </c>
      <c r="BN614">
        <f t="shared" si="507"/>
        <v>-166.12076139460427</v>
      </c>
      <c r="BQ614" s="56">
        <f t="shared" si="520"/>
        <v>11.782309606623427</v>
      </c>
    </row>
    <row r="615" spans="1:69" x14ac:dyDescent="0.2">
      <c r="A615">
        <f>A614+250000</f>
        <v>2250000</v>
      </c>
      <c r="B615">
        <f t="shared" si="508"/>
        <v>2250</v>
      </c>
      <c r="C615">
        <f t="shared" si="477"/>
        <v>1.0376791513592567</v>
      </c>
      <c r="D615">
        <f t="shared" ref="D615:D626" si="526">ATAN(A615/Fesr)</f>
        <v>0.27030680782939831</v>
      </c>
      <c r="F615">
        <f t="shared" si="479"/>
        <v>1.0509803033028714E-5</v>
      </c>
      <c r="G615">
        <f t="shared" ref="G615:G626" si="527">-ATAN(A615*Fo/(Q*(Fo^2-A615^2)))</f>
        <v>6.6160416655497727E-4</v>
      </c>
      <c r="H615">
        <f t="shared" si="481"/>
        <v>-3.1409310458334452</v>
      </c>
      <c r="J615">
        <f t="shared" si="482"/>
        <v>15</v>
      </c>
      <c r="M615">
        <f t="shared" ref="M615:M626" si="528">1/(2*Pi*_Rfb1*(Cc1ea_u+Cc2ea_u)*A615)</f>
        <v>5.5588716792320293E-4</v>
      </c>
      <c r="N615">
        <f t="shared" si="484"/>
        <v>-1.5707963250000001</v>
      </c>
      <c r="O615">
        <f t="shared" ref="O615:O626" si="529">SQRT(1+(A615/Fz1_u)^2)</f>
        <v>441.85828382685759</v>
      </c>
      <c r="P615">
        <f t="shared" si="486"/>
        <v>1.5685331557958224</v>
      </c>
      <c r="Q615">
        <f t="shared" ref="Q615:Q626" si="530">SQRT(1+(A615/Fz2_u)^2)</f>
        <v>384.07985283322756</v>
      </c>
      <c r="R615">
        <f t="shared" si="488"/>
        <v>1.5681926986107118</v>
      </c>
      <c r="S615">
        <f t="shared" ref="S615:S626" si="531">1/SQRT(1+(A615/Fp1_u)^2)</f>
        <v>9.1715362974730832E-2</v>
      </c>
      <c r="T615">
        <f t="shared" si="490"/>
        <v>-1.4789518941851267</v>
      </c>
      <c r="U615">
        <f t="shared" si="491"/>
        <v>9.0530905591145891E-2</v>
      </c>
      <c r="V615">
        <f t="shared" si="492"/>
        <v>-1.4801413000051593</v>
      </c>
      <c r="X615">
        <f t="shared" ref="X615:X626" si="532">20*LOG(C615*J615*O615*Q615*F615*M615*S615*U615)</f>
        <v>-77.846418843070296</v>
      </c>
      <c r="Y615">
        <f t="shared" ref="Y615:Y626" si="533">(180/Pi)*(D615+H615+N615+P615+R615+T615+V615)</f>
        <v>-244.29705184782748</v>
      </c>
      <c r="Z615">
        <f t="shared" si="510"/>
        <v>-64.297051847827476</v>
      </c>
      <c r="AC615">
        <v>1</v>
      </c>
      <c r="AD615">
        <f t="shared" si="494"/>
        <v>441.85715224087494</v>
      </c>
      <c r="AE615">
        <f t="shared" si="495"/>
        <v>-0.74959299818812652</v>
      </c>
      <c r="AF615">
        <f t="shared" si="496"/>
        <v>6.8141144578499999E-2</v>
      </c>
      <c r="AG615">
        <f t="shared" si="473"/>
        <v>51.822339371630598</v>
      </c>
      <c r="AH615">
        <f t="shared" si="474"/>
        <v>-584.75188506409893</v>
      </c>
      <c r="AJ615">
        <f t="shared" si="497"/>
        <v>26400</v>
      </c>
      <c r="AK615">
        <f t="shared" si="498"/>
        <v>286633.88683775999</v>
      </c>
      <c r="AL615">
        <v>1</v>
      </c>
      <c r="AM615">
        <f t="shared" si="499"/>
        <v>384.07855101840005</v>
      </c>
      <c r="AN615">
        <f t="shared" si="475"/>
        <v>746.46365567339672</v>
      </c>
      <c r="AO615">
        <f t="shared" si="476"/>
        <v>-66.792421176098486</v>
      </c>
      <c r="AQ615">
        <f t="shared" si="500"/>
        <v>4.9382713610730193E-4</v>
      </c>
      <c r="AR615">
        <f t="shared" si="501"/>
        <v>-2.2222221124828585</v>
      </c>
      <c r="AT615">
        <f t="shared" si="523"/>
        <v>-1299.4229780280373</v>
      </c>
      <c r="AU615">
        <f t="shared" si="524"/>
        <v>-115.44951482096312</v>
      </c>
      <c r="AV615">
        <f t="shared" si="511"/>
        <v>-3.0529785755805658</v>
      </c>
      <c r="AW615">
        <f t="shared" si="512"/>
        <v>649.9935854593823</v>
      </c>
      <c r="AX615">
        <f t="shared" si="513"/>
        <v>-2585.3586877677844</v>
      </c>
      <c r="AY615">
        <f t="shared" si="521"/>
        <v>-1.3244879324440411</v>
      </c>
      <c r="BA615">
        <f t="shared" si="502"/>
        <v>0.48935931713669062</v>
      </c>
      <c r="BB615">
        <f t="shared" si="514"/>
        <v>-6.2074427706879174</v>
      </c>
      <c r="BC615">
        <f t="shared" si="515"/>
        <v>-1.7284906431365248</v>
      </c>
      <c r="BD615">
        <f t="shared" si="503"/>
        <v>-279.03521889274043</v>
      </c>
      <c r="BF615">
        <f t="shared" si="504"/>
        <v>-81.932464229056166</v>
      </c>
      <c r="BG615">
        <f t="shared" si="505"/>
        <v>-263.50987248626996</v>
      </c>
      <c r="BH615">
        <f t="shared" si="516"/>
        <v>-83.509872486269956</v>
      </c>
      <c r="BI615">
        <f t="shared" si="517"/>
        <v>-83.509872486269956</v>
      </c>
      <c r="BJ615">
        <f t="shared" si="506"/>
        <v>0</v>
      </c>
      <c r="BK615">
        <f t="shared" si="518"/>
        <v>0</v>
      </c>
      <c r="BM615">
        <f t="shared" si="519"/>
        <v>-75.725021458368246</v>
      </c>
      <c r="BN615">
        <f t="shared" si="507"/>
        <v>-164.47465359352952</v>
      </c>
      <c r="BQ615" s="56">
        <f t="shared" si="520"/>
        <v>10.694518029597219</v>
      </c>
    </row>
    <row r="616" spans="1:69" x14ac:dyDescent="0.2">
      <c r="A616">
        <f t="shared" ref="A616:A626" si="534">A615+250000</f>
        <v>2500000</v>
      </c>
      <c r="B616">
        <f t="shared" si="508"/>
        <v>2500</v>
      </c>
      <c r="C616">
        <f t="shared" si="477"/>
        <v>1.046321021700052</v>
      </c>
      <c r="D616">
        <f t="shared" si="526"/>
        <v>0.29866680112576149</v>
      </c>
      <c r="F616">
        <f t="shared" si="479"/>
        <v>8.5129238019964586E-6</v>
      </c>
      <c r="G616">
        <f t="shared" si="527"/>
        <v>5.9544257671687397E-4</v>
      </c>
      <c r="H616">
        <f t="shared" si="481"/>
        <v>-3.1409972074232835</v>
      </c>
      <c r="J616">
        <f t="shared" si="482"/>
        <v>15</v>
      </c>
      <c r="M616">
        <f t="shared" si="528"/>
        <v>5.0029845113088269E-4</v>
      </c>
      <c r="N616">
        <f t="shared" si="484"/>
        <v>-1.5707963250000001</v>
      </c>
      <c r="O616">
        <f t="shared" si="529"/>
        <v>490.95340980638213</v>
      </c>
      <c r="P616">
        <f t="shared" si="486"/>
        <v>1.5687594722349956</v>
      </c>
      <c r="Q616">
        <f t="shared" si="530"/>
        <v>426.75511720972207</v>
      </c>
      <c r="R616">
        <f t="shared" si="488"/>
        <v>1.5684530604230988</v>
      </c>
      <c r="S616">
        <f t="shared" si="531"/>
        <v>8.2609867631372208E-2</v>
      </c>
      <c r="T616">
        <f t="shared" si="490"/>
        <v>-1.4880922091071176</v>
      </c>
      <c r="U616">
        <f t="shared" si="491"/>
        <v>8.1541328274833402E-2</v>
      </c>
      <c r="V616">
        <f t="shared" si="492"/>
        <v>-1.4891643658585378</v>
      </c>
      <c r="X616">
        <f t="shared" si="532"/>
        <v>-80.506143192221927</v>
      </c>
      <c r="Y616">
        <f t="shared" si="533"/>
        <v>-243.68873515441757</v>
      </c>
      <c r="Z616">
        <f t="shared" si="510"/>
        <v>-63.688735154417571</v>
      </c>
      <c r="AC616">
        <v>1</v>
      </c>
      <c r="AD616">
        <f t="shared" si="494"/>
        <v>490.95239137874995</v>
      </c>
      <c r="AE616">
        <f t="shared" si="495"/>
        <v>-0.92542345455324282</v>
      </c>
      <c r="AF616">
        <f t="shared" si="496"/>
        <v>7.5712382864999997E-2</v>
      </c>
      <c r="AG616">
        <f t="shared" ref="AG616:AG626" si="535">AC616*AE616/(AE616^2+AF616^2)+AD616*AF616/(AE616^2+AF616^2)</f>
        <v>42.041562454552306</v>
      </c>
      <c r="AH616">
        <f t="shared" ref="AH616:AH626" si="536">AD616*AE616/(AE616^2+AF616^2)-AC616*AF616/(AE616^2+AF616^2)</f>
        <v>-527.07689880350335</v>
      </c>
      <c r="AJ616">
        <f t="shared" si="497"/>
        <v>26400</v>
      </c>
      <c r="AK616">
        <f t="shared" si="498"/>
        <v>318482.0964864</v>
      </c>
      <c r="AL616">
        <v>1</v>
      </c>
      <c r="AM616">
        <f t="shared" si="499"/>
        <v>426.75394557600004</v>
      </c>
      <c r="AN616">
        <f t="shared" ref="AN616:AN626" si="537">AJ616*AL616/(AL616^2+AM616^2)+AK616*AM616/(AL616^2+AM616^2)</f>
        <v>746.43061428041233</v>
      </c>
      <c r="AO616">
        <f t="shared" ref="AO616:AO626" si="538">AK616*AL616/(AL616^2+AM616^2)-AJ616*AM616/(AL616^2+AM616^2)</f>
        <v>-60.113256483415398</v>
      </c>
      <c r="AQ616">
        <f t="shared" si="500"/>
        <v>3.9999998400000063E-4</v>
      </c>
      <c r="AR616">
        <f t="shared" si="501"/>
        <v>-1.9999999200000032</v>
      </c>
      <c r="AT616">
        <f t="shared" si="523"/>
        <v>-1054.1369388165474</v>
      </c>
      <c r="AU616">
        <f t="shared" si="524"/>
        <v>-84.293952296867914</v>
      </c>
      <c r="AV616">
        <f t="shared" si="511"/>
        <v>-3.0617975472160022</v>
      </c>
      <c r="AW616">
        <f t="shared" si="512"/>
        <v>668.35474111346446</v>
      </c>
      <c r="AX616">
        <f t="shared" si="513"/>
        <v>-2327.5463622934958</v>
      </c>
      <c r="AY616">
        <f t="shared" si="521"/>
        <v>-1.2911698914009153</v>
      </c>
      <c r="BA616">
        <f t="shared" si="502"/>
        <v>0.43669463238817491</v>
      </c>
      <c r="BB616">
        <f t="shared" si="514"/>
        <v>-7.1964429231268054</v>
      </c>
      <c r="BC616">
        <f t="shared" si="515"/>
        <v>-1.7706276558150869</v>
      </c>
      <c r="BD616">
        <f t="shared" si="503"/>
        <v>-281.44949188326996</v>
      </c>
      <c r="BF616">
        <f t="shared" si="504"/>
        <v>-84.679743803131231</v>
      </c>
      <c r="BG616">
        <f t="shared" si="505"/>
        <v>-264.30302833190979</v>
      </c>
      <c r="BH616">
        <f t="shared" si="516"/>
        <v>-84.303028331909786</v>
      </c>
      <c r="BI616">
        <f t="shared" si="517"/>
        <v>-84.303028331909786</v>
      </c>
      <c r="BJ616">
        <f t="shared" si="506"/>
        <v>0</v>
      </c>
      <c r="BK616">
        <f t="shared" si="518"/>
        <v>0</v>
      </c>
      <c r="BM616">
        <f t="shared" si="519"/>
        <v>-77.483300880004421</v>
      </c>
      <c r="BN616">
        <f t="shared" si="507"/>
        <v>-162.8535364486398</v>
      </c>
      <c r="BQ616" s="56">
        <f t="shared" si="520"/>
        <v>9.7055178771583304</v>
      </c>
    </row>
    <row r="617" spans="1:69" x14ac:dyDescent="0.2">
      <c r="A617">
        <f t="shared" si="534"/>
        <v>2750000</v>
      </c>
      <c r="B617">
        <f t="shared" si="508"/>
        <v>2750</v>
      </c>
      <c r="C617">
        <f t="shared" si="477"/>
        <v>1.0557902695830472</v>
      </c>
      <c r="D617">
        <f t="shared" si="526"/>
        <v>0.32654017749882275</v>
      </c>
      <c r="F617">
        <f t="shared" si="479"/>
        <v>7.0354640325628108E-6</v>
      </c>
      <c r="G617">
        <f t="shared" si="527"/>
        <v>5.4131064427032517E-4</v>
      </c>
      <c r="H617">
        <f t="shared" si="481"/>
        <v>-3.1410513393557298</v>
      </c>
      <c r="J617">
        <f t="shared" si="482"/>
        <v>15</v>
      </c>
      <c r="M617">
        <f t="shared" si="528"/>
        <v>4.5481677375534791E-4</v>
      </c>
      <c r="N617">
        <f t="shared" si="484"/>
        <v>-1.5707963250000001</v>
      </c>
      <c r="O617">
        <f t="shared" si="529"/>
        <v>540.04855636009358</v>
      </c>
      <c r="P617">
        <f t="shared" si="486"/>
        <v>1.5689446403869238</v>
      </c>
      <c r="Q617">
        <f t="shared" si="530"/>
        <v>469.43040525541926</v>
      </c>
      <c r="R617">
        <f t="shared" si="488"/>
        <v>1.5686660839620348</v>
      </c>
      <c r="S617">
        <f t="shared" si="531"/>
        <v>7.5144393295257725E-2</v>
      </c>
      <c r="T617">
        <f t="shared" si="490"/>
        <v>-1.495581033806437</v>
      </c>
      <c r="U617">
        <f t="shared" si="491"/>
        <v>7.4171287827706711E-2</v>
      </c>
      <c r="V617">
        <f t="shared" si="492"/>
        <v>-1.4965568626474333</v>
      </c>
      <c r="X617">
        <f t="shared" si="532"/>
        <v>-82.901308766096889</v>
      </c>
      <c r="Y617">
        <f t="shared" si="533"/>
        <v>-242.9246320693828</v>
      </c>
      <c r="Z617">
        <f t="shared" si="510"/>
        <v>-62.924632069382795</v>
      </c>
      <c r="AC617">
        <v>1</v>
      </c>
      <c r="AD617">
        <f t="shared" si="494"/>
        <v>540.04763051662508</v>
      </c>
      <c r="AE617">
        <f t="shared" si="495"/>
        <v>-1.1197623800094241</v>
      </c>
      <c r="AF617">
        <f t="shared" si="496"/>
        <v>8.3283621151499995E-2</v>
      </c>
      <c r="AG617">
        <f t="shared" si="535"/>
        <v>34.785233588665207</v>
      </c>
      <c r="AH617">
        <f t="shared" si="536"/>
        <v>-479.70051493982101</v>
      </c>
      <c r="AJ617">
        <f t="shared" si="497"/>
        <v>26400</v>
      </c>
      <c r="AK617">
        <f t="shared" si="498"/>
        <v>350330.30613504007</v>
      </c>
      <c r="AL617">
        <v>1</v>
      </c>
      <c r="AM617">
        <f t="shared" si="499"/>
        <v>469.42934013360008</v>
      </c>
      <c r="AN617">
        <f t="shared" si="537"/>
        <v>746.40616733155855</v>
      </c>
      <c r="AO617">
        <f t="shared" si="538"/>
        <v>-54.648467062939446</v>
      </c>
      <c r="AQ617">
        <f t="shared" si="500"/>
        <v>3.3057850146847931E-4</v>
      </c>
      <c r="AR617">
        <f t="shared" si="501"/>
        <v>-1.8181817580766362</v>
      </c>
      <c r="AT617">
        <f t="shared" si="523"/>
        <v>-872.17122635315854</v>
      </c>
      <c r="AU617">
        <f t="shared" si="524"/>
        <v>-63.404455838728225</v>
      </c>
      <c r="AV617">
        <f t="shared" si="511"/>
        <v>-3.069023057670488</v>
      </c>
      <c r="AW617">
        <f t="shared" si="512"/>
        <v>681.92043526424663</v>
      </c>
      <c r="AX617">
        <f t="shared" si="513"/>
        <v>-2116.4393642412801</v>
      </c>
      <c r="AY617">
        <f t="shared" si="521"/>
        <v>-1.2590974407931645</v>
      </c>
      <c r="BA617">
        <f t="shared" si="502"/>
        <v>0.39327157844266858</v>
      </c>
      <c r="BB617">
        <f t="shared" si="514"/>
        <v>-8.1061487743999621</v>
      </c>
      <c r="BC617">
        <f t="shared" si="515"/>
        <v>-1.8099256168773235</v>
      </c>
      <c r="BD617">
        <f t="shared" si="503"/>
        <v>-283.70109919817844</v>
      </c>
      <c r="BF617">
        <f t="shared" si="504"/>
        <v>-87.166915548171659</v>
      </c>
      <c r="BG617">
        <f t="shared" si="505"/>
        <v>-264.96071034930685</v>
      </c>
      <c r="BH617">
        <f t="shared" si="516"/>
        <v>-84.960710349306851</v>
      </c>
      <c r="BI617">
        <f t="shared" si="517"/>
        <v>-84.960710349306851</v>
      </c>
      <c r="BJ617">
        <f t="shared" si="506"/>
        <v>0</v>
      </c>
      <c r="BK617">
        <f t="shared" si="518"/>
        <v>0</v>
      </c>
      <c r="BM617">
        <f t="shared" si="519"/>
        <v>-79.060766773771689</v>
      </c>
      <c r="BN617">
        <f t="shared" si="507"/>
        <v>-161.25961115112847</v>
      </c>
      <c r="BQ617" s="56">
        <f t="shared" si="520"/>
        <v>8.7958120258851764</v>
      </c>
    </row>
    <row r="618" spans="1:69" x14ac:dyDescent="0.2">
      <c r="A618">
        <f t="shared" si="534"/>
        <v>3000000</v>
      </c>
      <c r="B618">
        <f t="shared" si="508"/>
        <v>3000</v>
      </c>
      <c r="C618">
        <f t="shared" si="477"/>
        <v>1.0660648478634285</v>
      </c>
      <c r="D618">
        <f t="shared" si="526"/>
        <v>0.3538972009255969</v>
      </c>
      <c r="F618">
        <f t="shared" si="479"/>
        <v>5.911737574361073E-6</v>
      </c>
      <c r="G618">
        <f t="shared" si="527"/>
        <v>4.9620087374916614E-4</v>
      </c>
      <c r="H618">
        <f t="shared" si="481"/>
        <v>-3.141096449126251</v>
      </c>
      <c r="J618">
        <f t="shared" si="482"/>
        <v>15</v>
      </c>
      <c r="M618">
        <f t="shared" si="528"/>
        <v>4.1691537594240222E-4</v>
      </c>
      <c r="N618">
        <f t="shared" si="484"/>
        <v>-1.5707963250000001</v>
      </c>
      <c r="O618">
        <f t="shared" si="529"/>
        <v>589.1437183444624</v>
      </c>
      <c r="P618">
        <f t="shared" si="486"/>
        <v>1.5690989472777337</v>
      </c>
      <c r="Q618">
        <f t="shared" si="530"/>
        <v>512.10571105304462</v>
      </c>
      <c r="R618">
        <f t="shared" si="488"/>
        <v>1.5688436037263231</v>
      </c>
      <c r="S618">
        <f t="shared" si="531"/>
        <v>6.8913444057104964E-2</v>
      </c>
      <c r="T618">
        <f t="shared" si="490"/>
        <v>-1.5018282201268085</v>
      </c>
      <c r="U618">
        <f t="shared" si="491"/>
        <v>6.8020238184050341E-2</v>
      </c>
      <c r="V618">
        <f t="shared" si="492"/>
        <v>-1.5027235269638104</v>
      </c>
      <c r="X618">
        <f t="shared" si="532"/>
        <v>-85.076781683715851</v>
      </c>
      <c r="Y618">
        <f t="shared" si="533"/>
        <v>-242.0520236675811</v>
      </c>
      <c r="Z618">
        <f t="shared" si="510"/>
        <v>-62.052023667581096</v>
      </c>
      <c r="AC618">
        <v>1</v>
      </c>
      <c r="AD618">
        <f t="shared" si="494"/>
        <v>589.14286965450003</v>
      </c>
      <c r="AE618">
        <f t="shared" si="495"/>
        <v>-1.3326097745566696</v>
      </c>
      <c r="AF618">
        <f t="shared" si="496"/>
        <v>9.0854859437999994E-2</v>
      </c>
      <c r="AG618">
        <f t="shared" si="535"/>
        <v>29.254964901384717</v>
      </c>
      <c r="AH618">
        <f t="shared" si="536"/>
        <v>-440.10251547616923</v>
      </c>
      <c r="AJ618">
        <f t="shared" si="497"/>
        <v>26400</v>
      </c>
      <c r="AK618">
        <f t="shared" si="498"/>
        <v>382178.51578368002</v>
      </c>
      <c r="AL618">
        <v>1</v>
      </c>
      <c r="AM618">
        <f t="shared" si="499"/>
        <v>512.10473469120006</v>
      </c>
      <c r="AN618">
        <f t="shared" si="537"/>
        <v>746.38757339085009</v>
      </c>
      <c r="AO618">
        <f t="shared" si="538"/>
        <v>-50.094464449890935</v>
      </c>
      <c r="AQ618">
        <f t="shared" si="500"/>
        <v>2.7777777006172862E-4</v>
      </c>
      <c r="AR618">
        <f t="shared" si="501"/>
        <v>-1.6666666203703717</v>
      </c>
      <c r="AT618">
        <f t="shared" si="523"/>
        <v>-733.49604570625263</v>
      </c>
      <c r="AU618">
        <f t="shared" si="524"/>
        <v>-48.880524176592239</v>
      </c>
      <c r="AV618">
        <f t="shared" si="511"/>
        <v>-3.0750505666107464</v>
      </c>
      <c r="AW618">
        <f t="shared" si="512"/>
        <v>692.22712293310371</v>
      </c>
      <c r="AX618">
        <f t="shared" si="513"/>
        <v>-1940.4104997148972</v>
      </c>
      <c r="AY618">
        <f t="shared" si="521"/>
        <v>-1.2281273940056419</v>
      </c>
      <c r="BA618">
        <f t="shared" si="502"/>
        <v>0.35682337618162546</v>
      </c>
      <c r="BB618">
        <f t="shared" si="514"/>
        <v>-8.9509340380406357</v>
      </c>
      <c r="BC618">
        <f t="shared" si="515"/>
        <v>-1.8469231726051045</v>
      </c>
      <c r="BD618">
        <f t="shared" si="503"/>
        <v>-285.82090299610257</v>
      </c>
      <c r="BF618">
        <f t="shared" si="504"/>
        <v>-89.439133447045265</v>
      </c>
      <c r="BG618">
        <f t="shared" si="505"/>
        <v>-265.51565676251391</v>
      </c>
      <c r="BH618">
        <f t="shared" si="516"/>
        <v>-85.515656762513913</v>
      </c>
      <c r="BI618">
        <f t="shared" si="517"/>
        <v>-85.515656762513913</v>
      </c>
      <c r="BJ618">
        <f t="shared" si="506"/>
        <v>0</v>
      </c>
      <c r="BK618">
        <f t="shared" si="518"/>
        <v>0</v>
      </c>
      <c r="BM618">
        <f t="shared" si="519"/>
        <v>-80.488199409004636</v>
      </c>
      <c r="BN618">
        <f t="shared" si="507"/>
        <v>-159.69475376641134</v>
      </c>
      <c r="BQ618" s="56">
        <f t="shared" si="520"/>
        <v>7.9510267622445019</v>
      </c>
    </row>
    <row r="619" spans="1:69" x14ac:dyDescent="0.2">
      <c r="A619">
        <f t="shared" si="534"/>
        <v>3250000</v>
      </c>
      <c r="B619">
        <f t="shared" si="508"/>
        <v>3250</v>
      </c>
      <c r="C619">
        <f t="shared" si="477"/>
        <v>1.0771217108400215</v>
      </c>
      <c r="D619">
        <f t="shared" si="526"/>
        <v>0.38071231153239271</v>
      </c>
      <c r="F619">
        <f t="shared" si="479"/>
        <v>5.0372158658131975E-6</v>
      </c>
      <c r="G619">
        <f t="shared" si="527"/>
        <v>4.5803118054648799E-4</v>
      </c>
      <c r="H619">
        <f t="shared" si="481"/>
        <v>-3.1411346188194536</v>
      </c>
      <c r="J619">
        <f t="shared" si="482"/>
        <v>15</v>
      </c>
      <c r="M619">
        <f t="shared" si="528"/>
        <v>3.8484496240837128E-4</v>
      </c>
      <c r="N619">
        <f t="shared" si="484"/>
        <v>-1.5707963250000001</v>
      </c>
      <c r="O619">
        <f t="shared" si="529"/>
        <v>638.23889219857767</v>
      </c>
      <c r="P619">
        <f t="shared" si="486"/>
        <v>1.5692295147103097</v>
      </c>
      <c r="Q619">
        <f t="shared" si="530"/>
        <v>554.7810305060143</v>
      </c>
      <c r="R619">
        <f t="shared" si="488"/>
        <v>1.5689938128542207</v>
      </c>
      <c r="S619">
        <f t="shared" si="531"/>
        <v>6.363476630381866E-2</v>
      </c>
      <c r="T619">
        <f t="shared" si="490"/>
        <v>-1.5071185351144654</v>
      </c>
      <c r="U619">
        <f t="shared" si="491"/>
        <v>6.2809410199198529E-2</v>
      </c>
      <c r="V619">
        <f t="shared" si="492"/>
        <v>-1.5079455456918205</v>
      </c>
      <c r="X619">
        <f t="shared" si="532"/>
        <v>-87.066871113391571</v>
      </c>
      <c r="Y619">
        <f t="shared" si="533"/>
        <v>-241.10404300671726</v>
      </c>
      <c r="Z619">
        <f t="shared" si="510"/>
        <v>-61.104043006717262</v>
      </c>
      <c r="AC619">
        <v>1</v>
      </c>
      <c r="AD619">
        <f t="shared" si="494"/>
        <v>638.23810879237499</v>
      </c>
      <c r="AE619">
        <f t="shared" si="495"/>
        <v>-1.5639656381949802</v>
      </c>
      <c r="AF619">
        <f t="shared" si="496"/>
        <v>9.8426097724499992E-2</v>
      </c>
      <c r="AG619">
        <f t="shared" si="535"/>
        <v>24.944380075798989</v>
      </c>
      <c r="AH619">
        <f t="shared" si="536"/>
        <v>-406.51975674806613</v>
      </c>
      <c r="AJ619">
        <f t="shared" si="497"/>
        <v>26400</v>
      </c>
      <c r="AK619">
        <f t="shared" si="498"/>
        <v>414026.72543231997</v>
      </c>
      <c r="AL619">
        <v>1</v>
      </c>
      <c r="AM619">
        <f t="shared" si="499"/>
        <v>554.78012924880011</v>
      </c>
      <c r="AN619">
        <f t="shared" si="537"/>
        <v>746.37310291409722</v>
      </c>
      <c r="AO619">
        <f t="shared" si="538"/>
        <v>-46.24107019085595</v>
      </c>
      <c r="AQ619">
        <f t="shared" si="500"/>
        <v>2.3668638493049978E-4</v>
      </c>
      <c r="AR619">
        <f t="shared" si="501"/>
        <v>-1.5384615020482484</v>
      </c>
      <c r="AT619">
        <f t="shared" si="523"/>
        <v>-625.40909158377394</v>
      </c>
      <c r="AU619">
        <f t="shared" si="524"/>
        <v>-38.472186130703633</v>
      </c>
      <c r="AV619">
        <f t="shared" si="511"/>
        <v>-3.0801548384186717</v>
      </c>
      <c r="AW619">
        <f t="shared" si="512"/>
        <v>700.24147413409514</v>
      </c>
      <c r="AX619">
        <f t="shared" si="513"/>
        <v>-1791.3935984869763</v>
      </c>
      <c r="AY619">
        <f t="shared" si="521"/>
        <v>-1.1981662254002869</v>
      </c>
      <c r="BA619">
        <f t="shared" si="502"/>
        <v>0.32577443075268103</v>
      </c>
      <c r="BB619">
        <f t="shared" si="514"/>
        <v>-9.7416601082722014</v>
      </c>
      <c r="BC619">
        <f t="shared" si="515"/>
        <v>-1.8819886130183847</v>
      </c>
      <c r="BD619">
        <f t="shared" si="503"/>
        <v>-287.83000474084673</v>
      </c>
      <c r="BF619">
        <f t="shared" si="504"/>
        <v>-91.530728079863124</v>
      </c>
      <c r="BG619">
        <f t="shared" si="505"/>
        <v>-265.99055280288491</v>
      </c>
      <c r="BH619">
        <f t="shared" si="516"/>
        <v>-85.990552802884906</v>
      </c>
      <c r="BI619">
        <f t="shared" si="517"/>
        <v>-85.990552802884906</v>
      </c>
      <c r="BJ619">
        <f t="shared" si="506"/>
        <v>0</v>
      </c>
      <c r="BK619">
        <f t="shared" si="518"/>
        <v>0</v>
      </c>
      <c r="BM619">
        <f t="shared" si="519"/>
        <v>-81.789067971590939</v>
      </c>
      <c r="BN619">
        <f t="shared" si="507"/>
        <v>-158.16054806203817</v>
      </c>
      <c r="BQ619" s="56">
        <f t="shared" si="520"/>
        <v>7.1603006920129353</v>
      </c>
    </row>
    <row r="620" spans="1:69" x14ac:dyDescent="0.2">
      <c r="A620">
        <f t="shared" si="534"/>
        <v>3500000</v>
      </c>
      <c r="B620">
        <f t="shared" si="508"/>
        <v>3500</v>
      </c>
      <c r="C620">
        <f t="shared" si="477"/>
        <v>1.088937029255973</v>
      </c>
      <c r="D620">
        <f t="shared" si="526"/>
        <v>0.40696406310189315</v>
      </c>
      <c r="F620">
        <f t="shared" si="479"/>
        <v>4.3433107274397126E-6</v>
      </c>
      <c r="G620">
        <f t="shared" si="527"/>
        <v>4.253143764539702E-4</v>
      </c>
      <c r="H620">
        <f t="shared" si="481"/>
        <v>-3.1411673356235461</v>
      </c>
      <c r="J620">
        <f t="shared" si="482"/>
        <v>15</v>
      </c>
      <c r="M620">
        <f t="shared" si="528"/>
        <v>3.5735603652205906E-4</v>
      </c>
      <c r="N620">
        <f t="shared" si="484"/>
        <v>-1.5707963250000001</v>
      </c>
      <c r="O620">
        <f t="shared" si="529"/>
        <v>687.33407537892822</v>
      </c>
      <c r="P620">
        <f t="shared" si="486"/>
        <v>1.5693414296952055</v>
      </c>
      <c r="Q620">
        <f t="shared" si="530"/>
        <v>597.45636068819272</v>
      </c>
      <c r="R620">
        <f t="shared" si="488"/>
        <v>1.5691225636002724</v>
      </c>
      <c r="S620">
        <f t="shared" si="531"/>
        <v>5.9105913479089334E-2</v>
      </c>
      <c r="T620">
        <f t="shared" si="490"/>
        <v>-1.5116559445938467</v>
      </c>
      <c r="U620">
        <f t="shared" si="491"/>
        <v>5.8338877952132641E-2</v>
      </c>
      <c r="V620">
        <f t="shared" si="492"/>
        <v>-1.5124243060619218</v>
      </c>
      <c r="X620">
        <f t="shared" si="532"/>
        <v>-88.898417631170673</v>
      </c>
      <c r="Y620">
        <f t="shared" si="533"/>
        <v>-240.10460231970234</v>
      </c>
      <c r="Z620">
        <f t="shared" si="510"/>
        <v>-60.104602319702337</v>
      </c>
      <c r="AC620">
        <v>1</v>
      </c>
      <c r="AD620">
        <f t="shared" si="494"/>
        <v>687.33334793025006</v>
      </c>
      <c r="AE620">
        <f t="shared" si="495"/>
        <v>-1.8138299709243555</v>
      </c>
      <c r="AF620">
        <f t="shared" si="496"/>
        <v>0.105997336011</v>
      </c>
      <c r="AG620">
        <f t="shared" si="535"/>
        <v>21.519859354170915</v>
      </c>
      <c r="AH620">
        <f t="shared" si="536"/>
        <v>-377.68275480543718</v>
      </c>
      <c r="AJ620">
        <f t="shared" si="497"/>
        <v>26400</v>
      </c>
      <c r="AK620">
        <f t="shared" si="498"/>
        <v>445874.93508095999</v>
      </c>
      <c r="AL620">
        <v>1</v>
      </c>
      <c r="AM620">
        <f t="shared" si="499"/>
        <v>597.45552380640004</v>
      </c>
      <c r="AN620">
        <f t="shared" si="537"/>
        <v>746.36162102215224</v>
      </c>
      <c r="AO620">
        <f t="shared" si="538"/>
        <v>-42.93815582378091</v>
      </c>
      <c r="AQ620">
        <f t="shared" si="500"/>
        <v>2.0408162848813003E-4</v>
      </c>
      <c r="AR620">
        <f t="shared" si="501"/>
        <v>-1.4285713994169102</v>
      </c>
      <c r="AT620">
        <f t="shared" si="523"/>
        <v>-539.54238976009538</v>
      </c>
      <c r="AU620">
        <f t="shared" si="524"/>
        <v>-30.819733704495604</v>
      </c>
      <c r="AV620">
        <f t="shared" si="511"/>
        <v>-3.0845326728146238</v>
      </c>
      <c r="AW620">
        <f t="shared" si="512"/>
        <v>706.59645030154536</v>
      </c>
      <c r="AX620">
        <f t="shared" si="513"/>
        <v>-1663.6179990470182</v>
      </c>
      <c r="AY620">
        <f t="shared" si="521"/>
        <v>-1.1691503315557457</v>
      </c>
      <c r="BA620">
        <f t="shared" si="502"/>
        <v>0.29899560621809218</v>
      </c>
      <c r="BB620">
        <f t="shared" si="514"/>
        <v>-10.486703872926643</v>
      </c>
      <c r="BC620">
        <f t="shared" si="515"/>
        <v>-1.9153823412588782</v>
      </c>
      <c r="BD620">
        <f t="shared" si="503"/>
        <v>-289.74332443342013</v>
      </c>
      <c r="BF620">
        <f t="shared" si="504"/>
        <v>-93.468405355358485</v>
      </c>
      <c r="BG620">
        <f t="shared" si="505"/>
        <v>-266.4016324587771</v>
      </c>
      <c r="BH620">
        <f t="shared" si="516"/>
        <v>-86.401632458777101</v>
      </c>
      <c r="BI620">
        <f t="shared" si="517"/>
        <v>-86.401632458777101</v>
      </c>
      <c r="BJ620">
        <f t="shared" si="506"/>
        <v>0</v>
      </c>
      <c r="BK620">
        <f t="shared" si="518"/>
        <v>0</v>
      </c>
      <c r="BM620">
        <f t="shared" si="519"/>
        <v>-82.981701482431845</v>
      </c>
      <c r="BN620">
        <f t="shared" si="507"/>
        <v>-156.658308025357</v>
      </c>
      <c r="BQ620" s="56">
        <f t="shared" si="520"/>
        <v>6.4152569273584925</v>
      </c>
    </row>
    <row r="621" spans="1:69" x14ac:dyDescent="0.2">
      <c r="A621">
        <f t="shared" si="534"/>
        <v>3750000</v>
      </c>
      <c r="B621">
        <f t="shared" si="508"/>
        <v>3750</v>
      </c>
      <c r="C621">
        <f t="shared" si="477"/>
        <v>1.1014863962009434</v>
      </c>
      <c r="D621">
        <f t="shared" si="526"/>
        <v>0.43263500150951101</v>
      </c>
      <c r="F621">
        <f t="shared" si="479"/>
        <v>3.7835041585663062E-6</v>
      </c>
      <c r="G621">
        <f t="shared" si="527"/>
        <v>3.9695986542978166E-4</v>
      </c>
      <c r="H621">
        <f t="shared" si="481"/>
        <v>-3.1411956901345706</v>
      </c>
      <c r="J621">
        <f t="shared" si="482"/>
        <v>15</v>
      </c>
      <c r="M621">
        <f t="shared" si="528"/>
        <v>3.3353230075392181E-4</v>
      </c>
      <c r="N621">
        <f t="shared" si="484"/>
        <v>-1.5707963250000001</v>
      </c>
      <c r="O621">
        <f t="shared" si="529"/>
        <v>736.42926602027103</v>
      </c>
      <c r="P621">
        <f t="shared" si="486"/>
        <v>1.569438422711696</v>
      </c>
      <c r="Q621">
        <f t="shared" si="530"/>
        <v>640.13169945374375</v>
      </c>
      <c r="R621">
        <f t="shared" si="488"/>
        <v>1.5692341476252236</v>
      </c>
      <c r="S621">
        <f t="shared" si="531"/>
        <v>5.517794325611166E-2</v>
      </c>
      <c r="T621">
        <f t="shared" si="490"/>
        <v>-1.5155903459306839</v>
      </c>
      <c r="U621">
        <f t="shared" si="491"/>
        <v>5.4461565886225416E-2</v>
      </c>
      <c r="V621">
        <f t="shared" si="492"/>
        <v>-1.5163078021789631</v>
      </c>
      <c r="X621">
        <f t="shared" si="532"/>
        <v>-90.592829651430094</v>
      </c>
      <c r="Y621">
        <f t="shared" si="533"/>
        <v>-239.07137243003211</v>
      </c>
      <c r="Z621">
        <f t="shared" si="510"/>
        <v>-59.071372430032113</v>
      </c>
      <c r="AC621">
        <v>1</v>
      </c>
      <c r="AD621">
        <f t="shared" si="494"/>
        <v>736.42858706812501</v>
      </c>
      <c r="AE621">
        <f t="shared" si="495"/>
        <v>-2.0822027727447958</v>
      </c>
      <c r="AF621">
        <f t="shared" si="496"/>
        <v>0.11356857429749999</v>
      </c>
      <c r="AG621">
        <f t="shared" si="535"/>
        <v>18.754415472852379</v>
      </c>
      <c r="AH621">
        <f t="shared" si="536"/>
        <v>-352.65473874723779</v>
      </c>
      <c r="AJ621">
        <f t="shared" si="497"/>
        <v>26400</v>
      </c>
      <c r="AK621">
        <f t="shared" si="498"/>
        <v>477723.14472960006</v>
      </c>
      <c r="AL621">
        <v>1</v>
      </c>
      <c r="AM621">
        <f t="shared" si="499"/>
        <v>640.13091836400008</v>
      </c>
      <c r="AN621">
        <f t="shared" si="537"/>
        <v>746.35235801014755</v>
      </c>
      <c r="AO621">
        <f t="shared" si="538"/>
        <v>-40.075626572691675</v>
      </c>
      <c r="AQ621">
        <f t="shared" si="500"/>
        <v>1.77777774617284E-4</v>
      </c>
      <c r="AR621">
        <f t="shared" si="501"/>
        <v>-1.33333330962963</v>
      </c>
      <c r="AT621">
        <f t="shared" si="523"/>
        <v>-470.20297585218003</v>
      </c>
      <c r="AU621">
        <f t="shared" si="524"/>
        <v>-25.068581027250129</v>
      </c>
      <c r="AV621">
        <f t="shared" si="511"/>
        <v>-3.0883286997245172</v>
      </c>
      <c r="AW621">
        <f t="shared" si="512"/>
        <v>711.72062965072723</v>
      </c>
      <c r="AX621">
        <f t="shared" si="513"/>
        <v>-1552.8466312677695</v>
      </c>
      <c r="AY621">
        <f t="shared" si="521"/>
        <v>-1.1410344431176531</v>
      </c>
      <c r="BA621">
        <f t="shared" si="502"/>
        <v>0.27565640588620055</v>
      </c>
      <c r="BB621">
        <f t="shared" si="514"/>
        <v>-11.192638212890477</v>
      </c>
      <c r="BC621">
        <f t="shared" si="515"/>
        <v>-1.9472942566068641</v>
      </c>
      <c r="BD621">
        <f t="shared" si="503"/>
        <v>-291.57174250112774</v>
      </c>
      <c r="BF621">
        <f t="shared" si="504"/>
        <v>-95.273345962595059</v>
      </c>
      <c r="BG621">
        <f t="shared" si="505"/>
        <v>-266.76083869172095</v>
      </c>
      <c r="BH621">
        <f t="shared" si="516"/>
        <v>-86.760838691720949</v>
      </c>
      <c r="BI621">
        <f t="shared" si="517"/>
        <v>-86.760838691720949</v>
      </c>
      <c r="BJ621">
        <f t="shared" si="506"/>
        <v>0</v>
      </c>
      <c r="BK621">
        <f t="shared" si="518"/>
        <v>0</v>
      </c>
      <c r="BM621">
        <f t="shared" si="519"/>
        <v>-84.080707749704573</v>
      </c>
      <c r="BN621">
        <f t="shared" si="507"/>
        <v>-155.18909619059323</v>
      </c>
      <c r="BQ621" s="56">
        <f t="shared" si="520"/>
        <v>5.7093225873946585</v>
      </c>
    </row>
    <row r="622" spans="1:69" x14ac:dyDescent="0.2">
      <c r="A622">
        <f t="shared" si="534"/>
        <v>4000000</v>
      </c>
      <c r="B622">
        <f t="shared" si="508"/>
        <v>4000</v>
      </c>
      <c r="C622">
        <f t="shared" si="477"/>
        <v>1.1147450210499656</v>
      </c>
      <c r="D622">
        <f t="shared" si="526"/>
        <v>0.4577114937367211</v>
      </c>
      <c r="F622">
        <f t="shared" si="479"/>
        <v>3.3253439591942527E-6</v>
      </c>
      <c r="G622">
        <f t="shared" si="527"/>
        <v>3.7214970560740546E-4</v>
      </c>
      <c r="H622">
        <f t="shared" si="481"/>
        <v>-3.1412205002943927</v>
      </c>
      <c r="J622">
        <f t="shared" si="482"/>
        <v>15</v>
      </c>
      <c r="M622">
        <f t="shared" si="528"/>
        <v>3.126865319568017E-4</v>
      </c>
      <c r="N622">
        <f t="shared" si="484"/>
        <v>-1.5707963250000001</v>
      </c>
      <c r="O622">
        <f t="shared" si="529"/>
        <v>785.5244627236724</v>
      </c>
      <c r="P622">
        <f t="shared" si="486"/>
        <v>1.5695232916221462</v>
      </c>
      <c r="Q622">
        <f t="shared" si="530"/>
        <v>682.80704519328879</v>
      </c>
      <c r="R622">
        <f t="shared" si="488"/>
        <v>1.5693317836790621</v>
      </c>
      <c r="S622">
        <f t="shared" si="531"/>
        <v>5.1738860292893485E-2</v>
      </c>
      <c r="T622">
        <f t="shared" si="490"/>
        <v>-1.5190343552753078</v>
      </c>
      <c r="U622">
        <f t="shared" si="491"/>
        <v>5.1066889729943429E-2</v>
      </c>
      <c r="V622">
        <f t="shared" si="492"/>
        <v>-1.519707215373177</v>
      </c>
      <c r="X622">
        <f t="shared" si="532"/>
        <v>-92.167469543803179</v>
      </c>
      <c r="Y622">
        <f t="shared" si="533"/>
        <v>-238.01765924136936</v>
      </c>
      <c r="Z622">
        <f t="shared" si="510"/>
        <v>-58.017659241369358</v>
      </c>
      <c r="AC622">
        <v>1</v>
      </c>
      <c r="AD622">
        <f t="shared" si="494"/>
        <v>785.52382620600008</v>
      </c>
      <c r="AE622">
        <f t="shared" si="495"/>
        <v>-2.3690840436563017</v>
      </c>
      <c r="AF622">
        <f t="shared" si="496"/>
        <v>0.121139812584</v>
      </c>
      <c r="AG622">
        <f t="shared" si="535"/>
        <v>16.48929546064765</v>
      </c>
      <c r="AH622">
        <f t="shared" si="536"/>
        <v>-330.72964133218665</v>
      </c>
      <c r="AJ622">
        <f t="shared" si="497"/>
        <v>26400</v>
      </c>
      <c r="AK622">
        <f t="shared" si="498"/>
        <v>509571.35437824007</v>
      </c>
      <c r="AL622">
        <v>1</v>
      </c>
      <c r="AM622">
        <f t="shared" si="499"/>
        <v>682.80631292160012</v>
      </c>
      <c r="AN622">
        <f t="shared" si="537"/>
        <v>746.34477690859921</v>
      </c>
      <c r="AO622">
        <f t="shared" si="538"/>
        <v>-37.570911014756469</v>
      </c>
      <c r="AQ622">
        <f t="shared" si="500"/>
        <v>1.562499975585938E-4</v>
      </c>
      <c r="AR622">
        <f t="shared" si="501"/>
        <v>-1.2499999804687503</v>
      </c>
      <c r="AT622">
        <f t="shared" si="523"/>
        <v>-413.40946875329462</v>
      </c>
      <c r="AU622">
        <f t="shared" si="524"/>
        <v>-20.663295509403724</v>
      </c>
      <c r="AV622">
        <f t="shared" si="511"/>
        <v>-3.0916515773414748</v>
      </c>
      <c r="AW622">
        <f t="shared" si="512"/>
        <v>715.91260421512993</v>
      </c>
      <c r="AX622">
        <f t="shared" si="513"/>
        <v>-1455.8985407538876</v>
      </c>
      <c r="AY622">
        <f t="shared" si="521"/>
        <v>-1.113784579275422</v>
      </c>
      <c r="BA622">
        <f t="shared" si="502"/>
        <v>0.25513212698070387</v>
      </c>
      <c r="BB622">
        <f t="shared" si="514"/>
        <v>-11.864697006406406</v>
      </c>
      <c r="BC622">
        <f t="shared" si="515"/>
        <v>-1.9778669980660528</v>
      </c>
      <c r="BD622">
        <f t="shared" si="503"/>
        <v>-293.32343155688545</v>
      </c>
      <c r="BF622">
        <f t="shared" si="504"/>
        <v>-96.962629529741676</v>
      </c>
      <c r="BG622">
        <f t="shared" si="505"/>
        <v>-267.07717209367365</v>
      </c>
      <c r="BH622">
        <f t="shared" si="516"/>
        <v>-87.077172093673653</v>
      </c>
      <c r="BI622">
        <f t="shared" si="517"/>
        <v>-87.077172093673653</v>
      </c>
      <c r="BJ622">
        <f t="shared" si="506"/>
        <v>0</v>
      </c>
      <c r="BK622">
        <f t="shared" si="518"/>
        <v>0</v>
      </c>
      <c r="BM622">
        <f t="shared" si="519"/>
        <v>-85.09793252333526</v>
      </c>
      <c r="BN622">
        <f t="shared" si="507"/>
        <v>-153.7537405367882</v>
      </c>
      <c r="BQ622" s="56">
        <f t="shared" si="520"/>
        <v>5.037263793878731</v>
      </c>
    </row>
    <row r="623" spans="1:69" x14ac:dyDescent="0.2">
      <c r="A623">
        <f>A622+250000</f>
        <v>4250000</v>
      </c>
      <c r="B623">
        <f t="shared" si="508"/>
        <v>4250</v>
      </c>
      <c r="C623">
        <f t="shared" si="477"/>
        <v>1.1286879092577646</v>
      </c>
      <c r="D623">
        <f t="shared" si="526"/>
        <v>0.48218351735064746</v>
      </c>
      <c r="F623">
        <f t="shared" si="479"/>
        <v>2.9456323074713423E-6</v>
      </c>
      <c r="G623">
        <f t="shared" si="527"/>
        <v>3.5025841522834129E-4</v>
      </c>
      <c r="H623">
        <f t="shared" si="481"/>
        <v>-3.1412423915847718</v>
      </c>
      <c r="J623">
        <f t="shared" si="482"/>
        <v>15</v>
      </c>
      <c r="M623">
        <f t="shared" si="528"/>
        <v>2.9429320654757803E-4</v>
      </c>
      <c r="N623">
        <f t="shared" si="484"/>
        <v>-1.5707963250000001</v>
      </c>
      <c r="O623">
        <f t="shared" si="529"/>
        <v>834.6196644193592</v>
      </c>
      <c r="P623">
        <f t="shared" si="486"/>
        <v>1.5695981759701654</v>
      </c>
      <c r="Q623">
        <f t="shared" si="530"/>
        <v>725.48239667612586</v>
      </c>
      <c r="R623">
        <f t="shared" si="488"/>
        <v>1.5694179331615801</v>
      </c>
      <c r="S623">
        <f t="shared" si="531"/>
        <v>4.8702841938973937E-2</v>
      </c>
      <c r="T623">
        <f t="shared" si="490"/>
        <v>-1.522074210688406</v>
      </c>
      <c r="U623">
        <f t="shared" si="491"/>
        <v>4.8070112721816147E-2</v>
      </c>
      <c r="V623">
        <f t="shared" si="492"/>
        <v>-1.5227076819083929</v>
      </c>
      <c r="X623">
        <f t="shared" si="532"/>
        <v>-93.636623200368604</v>
      </c>
      <c r="Y623">
        <f t="shared" si="533"/>
        <v>-236.95362824516783</v>
      </c>
      <c r="Z623">
        <f t="shared" si="510"/>
        <v>-56.953628245167835</v>
      </c>
      <c r="AC623">
        <v>1</v>
      </c>
      <c r="AD623">
        <f t="shared" si="494"/>
        <v>834.61906534387492</v>
      </c>
      <c r="AE623">
        <f t="shared" si="495"/>
        <v>-2.6744737836588715</v>
      </c>
      <c r="AF623">
        <f t="shared" si="496"/>
        <v>0.1287110508705</v>
      </c>
      <c r="AG623">
        <f t="shared" si="535"/>
        <v>14.610785526877885</v>
      </c>
      <c r="AH623">
        <f t="shared" si="536"/>
        <v>-311.36536124329518</v>
      </c>
      <c r="AJ623">
        <f t="shared" si="497"/>
        <v>26400</v>
      </c>
      <c r="AK623">
        <f t="shared" si="498"/>
        <v>541419.56402688008</v>
      </c>
      <c r="AL623">
        <v>1</v>
      </c>
      <c r="AM623">
        <f t="shared" si="499"/>
        <v>725.48170747920017</v>
      </c>
      <c r="AN623">
        <f t="shared" si="537"/>
        <v>746.3384938737272</v>
      </c>
      <c r="AO623">
        <f t="shared" si="538"/>
        <v>-35.360866086153898</v>
      </c>
      <c r="AQ623">
        <f t="shared" si="500"/>
        <v>1.3840830258258404E-4</v>
      </c>
      <c r="AR623">
        <f t="shared" si="501"/>
        <v>-1.1764705719519644</v>
      </c>
      <c r="AT623">
        <f t="shared" si="523"/>
        <v>-366.31016237390531</v>
      </c>
      <c r="AU623">
        <f t="shared" si="524"/>
        <v>-17.232254756606206</v>
      </c>
      <c r="AV623">
        <f t="shared" si="511"/>
        <v>-3.0945845124697398</v>
      </c>
      <c r="AW623">
        <f t="shared" si="512"/>
        <v>719.38558725913174</v>
      </c>
      <c r="AX623">
        <f t="shared" si="513"/>
        <v>-1370.339274315043</v>
      </c>
      <c r="AY623">
        <f t="shared" si="521"/>
        <v>-1.087373656663474</v>
      </c>
      <c r="BA623">
        <f t="shared" si="502"/>
        <v>0.23694356589760232</v>
      </c>
      <c r="BB623">
        <f t="shared" si="514"/>
        <v>-12.50710159775169</v>
      </c>
      <c r="BC623">
        <f t="shared" si="515"/>
        <v>-2.0072108558062656</v>
      </c>
      <c r="BD623">
        <f t="shared" si="503"/>
        <v>-295.00471076195311</v>
      </c>
      <c r="BF623">
        <f t="shared" si="504"/>
        <v>-98.550228270424071</v>
      </c>
      <c r="BG623">
        <f t="shared" si="505"/>
        <v>-267.35756190646487</v>
      </c>
      <c r="BH623">
        <f t="shared" si="516"/>
        <v>-87.357561906464866</v>
      </c>
      <c r="BI623">
        <f t="shared" si="517"/>
        <v>-87.357561906464866</v>
      </c>
      <c r="BJ623">
        <f t="shared" si="506"/>
        <v>0</v>
      </c>
      <c r="BK623">
        <f t="shared" si="518"/>
        <v>0</v>
      </c>
      <c r="BM623">
        <f t="shared" si="519"/>
        <v>-86.043126672672386</v>
      </c>
      <c r="BN623">
        <f t="shared" si="507"/>
        <v>-152.35285114451179</v>
      </c>
      <c r="BQ623" s="56">
        <f t="shared" si="520"/>
        <v>4.3948592025334454</v>
      </c>
    </row>
    <row r="624" spans="1:69" x14ac:dyDescent="0.2">
      <c r="A624">
        <f t="shared" si="534"/>
        <v>4500000</v>
      </c>
      <c r="B624">
        <f t="shared" si="508"/>
        <v>4500</v>
      </c>
      <c r="C624">
        <f t="shared" si="477"/>
        <v>1.1432900264861354</v>
      </c>
      <c r="D624">
        <f t="shared" si="526"/>
        <v>0.50604442013591211</v>
      </c>
      <c r="F624">
        <f t="shared" si="479"/>
        <v>2.6274304674886272E-6</v>
      </c>
      <c r="G624">
        <f t="shared" si="527"/>
        <v>3.3079951052334604E-4</v>
      </c>
      <c r="H624">
        <f t="shared" si="481"/>
        <v>-3.1412618504894767</v>
      </c>
      <c r="J624">
        <f t="shared" si="482"/>
        <v>15</v>
      </c>
      <c r="M624">
        <f t="shared" si="528"/>
        <v>2.7794358396160146E-4</v>
      </c>
      <c r="N624">
        <f t="shared" si="484"/>
        <v>-1.5707963250000001</v>
      </c>
      <c r="O624">
        <f t="shared" si="529"/>
        <v>883.71487027528474</v>
      </c>
      <c r="P624">
        <f t="shared" si="486"/>
        <v>1.5696647398463786</v>
      </c>
      <c r="Q624">
        <f t="shared" si="530"/>
        <v>768.15775294504124</v>
      </c>
      <c r="R624">
        <f t="shared" si="488"/>
        <v>1.5694945104965901</v>
      </c>
      <c r="S624">
        <f t="shared" si="531"/>
        <v>4.6003022575350265E-2</v>
      </c>
      <c r="T624">
        <f t="shared" si="490"/>
        <v>-1.5247770628829929</v>
      </c>
      <c r="U624">
        <f t="shared" si="491"/>
        <v>4.5405218203783536E-2</v>
      </c>
      <c r="V624">
        <f t="shared" si="492"/>
        <v>-1.5253754926102139</v>
      </c>
      <c r="X624">
        <f t="shared" si="532"/>
        <v>-95.012194508586617</v>
      </c>
      <c r="Y624">
        <f t="shared" si="533"/>
        <v>-235.88712906196943</v>
      </c>
      <c r="Z624">
        <f t="shared" si="510"/>
        <v>-55.887129061969432</v>
      </c>
      <c r="AC624">
        <v>1</v>
      </c>
      <c r="AD624">
        <f t="shared" si="494"/>
        <v>883.71430448174988</v>
      </c>
      <c r="AE624">
        <f t="shared" si="495"/>
        <v>-2.9983719927525061</v>
      </c>
      <c r="AF624">
        <f t="shared" si="496"/>
        <v>0.136282289157</v>
      </c>
      <c r="AG624">
        <f t="shared" si="535"/>
        <v>13.035713859300213</v>
      </c>
      <c r="AH624">
        <f t="shared" si="536"/>
        <v>-294.13887592599536</v>
      </c>
      <c r="AJ624">
        <f t="shared" si="497"/>
        <v>26400</v>
      </c>
      <c r="AK624">
        <f t="shared" si="498"/>
        <v>573267.77367551997</v>
      </c>
      <c r="AL624">
        <v>1</v>
      </c>
      <c r="AM624">
        <f t="shared" si="499"/>
        <v>768.1571020368001</v>
      </c>
      <c r="AN624">
        <f t="shared" si="537"/>
        <v>746.33322862701993</v>
      </c>
      <c r="AO624">
        <f t="shared" si="538"/>
        <v>-33.396380380199865</v>
      </c>
      <c r="AQ624">
        <f t="shared" si="500"/>
        <v>1.234567885992989E-4</v>
      </c>
      <c r="AR624">
        <f t="shared" si="501"/>
        <v>-1.1111110973936902</v>
      </c>
      <c r="AT624">
        <f t="shared" si="523"/>
        <v>-326.81935986890903</v>
      </c>
      <c r="AU624">
        <f t="shared" si="524"/>
        <v>-14.520439772541227</v>
      </c>
      <c r="AV624">
        <f t="shared" si="511"/>
        <v>-3.0971922952429747</v>
      </c>
      <c r="AW624">
        <f t="shared" si="512"/>
        <v>722.29512642863085</v>
      </c>
      <c r="AX624">
        <f t="shared" si="513"/>
        <v>-1294.2741136179263</v>
      </c>
      <c r="AY624">
        <f t="shared" si="521"/>
        <v>-1.0617787107467769</v>
      </c>
      <c r="BA624">
        <f t="shared" si="502"/>
        <v>0.2207167178269632</v>
      </c>
      <c r="BB624">
        <f t="shared" si="514"/>
        <v>-13.123295413339012</v>
      </c>
      <c r="BC624">
        <f t="shared" si="515"/>
        <v>-2.0354135844961978</v>
      </c>
      <c r="BD624">
        <f t="shared" si="503"/>
        <v>-296.62060808848514</v>
      </c>
      <c r="BF624">
        <f t="shared" si="504"/>
        <v>-100.04771730056299</v>
      </c>
      <c r="BG624">
        <f t="shared" si="505"/>
        <v>-267.607445119582</v>
      </c>
      <c r="BH624">
        <f t="shared" si="516"/>
        <v>-87.607445119581996</v>
      </c>
      <c r="BI624">
        <f t="shared" si="517"/>
        <v>-87.607445119581996</v>
      </c>
      <c r="BJ624">
        <f t="shared" si="506"/>
        <v>0</v>
      </c>
      <c r="BK624">
        <f t="shared" si="518"/>
        <v>0</v>
      </c>
      <c r="BM624">
        <f t="shared" si="519"/>
        <v>-86.924421887223971</v>
      </c>
      <c r="BN624">
        <f t="shared" si="507"/>
        <v>-150.98683703109683</v>
      </c>
      <c r="BQ624" s="56">
        <f t="shared" si="520"/>
        <v>3.7786653869461269</v>
      </c>
    </row>
    <row r="625" spans="1:69" x14ac:dyDescent="0.2">
      <c r="A625">
        <f t="shared" si="534"/>
        <v>4750000</v>
      </c>
      <c r="B625">
        <f t="shared" si="508"/>
        <v>4750</v>
      </c>
      <c r="C625">
        <f t="shared" si="477"/>
        <v>1.1585264461503246</v>
      </c>
      <c r="D625">
        <f t="shared" si="526"/>
        <v>0.52929065900722938</v>
      </c>
      <c r="F625">
        <f t="shared" si="479"/>
        <v>2.358136417907031E-6</v>
      </c>
      <c r="G625">
        <f t="shared" si="527"/>
        <v>3.1338892669978305E-4</v>
      </c>
      <c r="H625">
        <f t="shared" si="481"/>
        <v>-3.1412792610733002</v>
      </c>
      <c r="J625">
        <f t="shared" si="482"/>
        <v>15</v>
      </c>
      <c r="M625">
        <f t="shared" si="528"/>
        <v>2.6331497427941193E-4</v>
      </c>
      <c r="N625">
        <f t="shared" si="484"/>
        <v>-1.5707963250000001</v>
      </c>
      <c r="O625">
        <f t="shared" si="529"/>
        <v>932.81007963457034</v>
      </c>
      <c r="P625">
        <f t="shared" si="486"/>
        <v>1.5697242970072971</v>
      </c>
      <c r="Q625">
        <f t="shared" si="530"/>
        <v>810.83311324433942</v>
      </c>
      <c r="R625">
        <f t="shared" si="488"/>
        <v>1.5695630270724623</v>
      </c>
      <c r="S625">
        <f t="shared" si="531"/>
        <v>4.3586538161141941E-2</v>
      </c>
      <c r="T625">
        <f t="shared" si="490"/>
        <v>-1.5271959759705864</v>
      </c>
      <c r="U625">
        <f t="shared" si="491"/>
        <v>4.3020015250651925E-2</v>
      </c>
      <c r="V625">
        <f t="shared" si="492"/>
        <v>-1.527763030801357</v>
      </c>
      <c r="X625">
        <f t="shared" si="532"/>
        <v>-96.304213254412559</v>
      </c>
      <c r="Y625">
        <f t="shared" si="533"/>
        <v>-234.82426652496969</v>
      </c>
      <c r="Z625">
        <f t="shared" si="510"/>
        <v>-54.824266524969687</v>
      </c>
      <c r="AC625">
        <v>1</v>
      </c>
      <c r="AD625">
        <f t="shared" si="494"/>
        <v>932.80954361962495</v>
      </c>
      <c r="AE625">
        <f t="shared" si="495"/>
        <v>-3.340778670937206</v>
      </c>
      <c r="AF625">
        <f t="shared" si="496"/>
        <v>0.1438535274435</v>
      </c>
      <c r="AG625">
        <f t="shared" si="535"/>
        <v>11.702116158238697</v>
      </c>
      <c r="AH625">
        <f t="shared" si="536"/>
        <v>-278.71530701268966</v>
      </c>
      <c r="AJ625">
        <f t="shared" si="497"/>
        <v>26400</v>
      </c>
      <c r="AK625">
        <f t="shared" si="498"/>
        <v>605115.98332415998</v>
      </c>
      <c r="AL625">
        <v>1</v>
      </c>
      <c r="AM625">
        <f t="shared" si="499"/>
        <v>810.83249659440003</v>
      </c>
      <c r="AN625">
        <f t="shared" si="537"/>
        <v>746.3287726472513</v>
      </c>
      <c r="AO625">
        <f t="shared" si="538"/>
        <v>-31.638681645224434</v>
      </c>
      <c r="AQ625">
        <f t="shared" si="500"/>
        <v>1.1080332287198534E-4</v>
      </c>
      <c r="AR625">
        <f t="shared" si="501"/>
        <v>-1.0526315672838606</v>
      </c>
      <c r="AT625">
        <f t="shared" si="523"/>
        <v>-293.38323381341496</v>
      </c>
      <c r="AU625">
        <f t="shared" si="524"/>
        <v>-12.34889945433688</v>
      </c>
      <c r="AV625">
        <f t="shared" si="511"/>
        <v>-3.099526124226347</v>
      </c>
      <c r="AW625">
        <f t="shared" si="512"/>
        <v>724.75686016740178</v>
      </c>
      <c r="AX625">
        <f t="shared" si="513"/>
        <v>-1226.2064028199932</v>
      </c>
      <c r="AY625">
        <f t="shared" si="521"/>
        <v>-1.0369791279140383</v>
      </c>
      <c r="BA625">
        <f t="shared" si="502"/>
        <v>0.20615515532040632</v>
      </c>
      <c r="BB625">
        <f t="shared" si="514"/>
        <v>-13.716116006560215</v>
      </c>
      <c r="BC625">
        <f t="shared" si="515"/>
        <v>-2.0625469963123084</v>
      </c>
      <c r="BD625">
        <f t="shared" si="503"/>
        <v>-298.17523807111513</v>
      </c>
      <c r="BF625">
        <f t="shared" si="504"/>
        <v>-101.46479327697568</v>
      </c>
      <c r="BG625">
        <f t="shared" si="505"/>
        <v>-267.83116127678369</v>
      </c>
      <c r="BH625">
        <f t="shared" si="516"/>
        <v>-87.831161276783689</v>
      </c>
      <c r="BI625">
        <f t="shared" si="517"/>
        <v>-87.831161276783689</v>
      </c>
      <c r="BJ625">
        <f t="shared" si="506"/>
        <v>0</v>
      </c>
      <c r="BK625">
        <f t="shared" si="518"/>
        <v>0</v>
      </c>
      <c r="BM625">
        <f t="shared" si="519"/>
        <v>-87.74867727041547</v>
      </c>
      <c r="BN625">
        <f t="shared" si="507"/>
        <v>-149.65592320566853</v>
      </c>
      <c r="BQ625" s="56">
        <f t="shared" si="520"/>
        <v>3.1858447937249208</v>
      </c>
    </row>
    <row r="626" spans="1:69" x14ac:dyDescent="0.2">
      <c r="A626">
        <f t="shared" si="534"/>
        <v>5000000</v>
      </c>
      <c r="B626">
        <f t="shared" si="508"/>
        <v>5000</v>
      </c>
      <c r="C626">
        <f t="shared" si="477"/>
        <v>1.1743724800103938</v>
      </c>
      <c r="D626">
        <f t="shared" si="526"/>
        <v>0.55192152651394499</v>
      </c>
      <c r="F626">
        <f t="shared" si="479"/>
        <v>2.1282176377577249E-6</v>
      </c>
      <c r="G626">
        <f t="shared" si="527"/>
        <v>2.9771941282522095E-4</v>
      </c>
      <c r="H626">
        <f t="shared" si="481"/>
        <v>-3.1412949305871751</v>
      </c>
      <c r="J626">
        <f t="shared" si="482"/>
        <v>15</v>
      </c>
      <c r="M626">
        <f t="shared" si="528"/>
        <v>2.5014922556544135E-4</v>
      </c>
      <c r="N626">
        <f t="shared" si="484"/>
        <v>-1.5707963250000001</v>
      </c>
      <c r="O626">
        <f t="shared" si="529"/>
        <v>981.90529197171224</v>
      </c>
      <c r="P626">
        <f t="shared" si="486"/>
        <v>1.5697778984586381</v>
      </c>
      <c r="Q626">
        <f t="shared" si="530"/>
        <v>853.50847696946425</v>
      </c>
      <c r="R626">
        <f t="shared" si="488"/>
        <v>1.5696246920006662</v>
      </c>
      <c r="S626">
        <f t="shared" si="531"/>
        <v>4.1411046697505276E-2</v>
      </c>
      <c r="T626">
        <f t="shared" si="490"/>
        <v>-1.5293734351611257</v>
      </c>
      <c r="U626">
        <f t="shared" si="491"/>
        <v>4.087270229937099E-2</v>
      </c>
      <c r="V626">
        <f t="shared" si="492"/>
        <v>-1.5299122357603825</v>
      </c>
      <c r="X626">
        <f t="shared" si="532"/>
        <v>-97.521213505337968</v>
      </c>
      <c r="Y626">
        <f t="shared" si="533"/>
        <v>-233.76980644399521</v>
      </c>
      <c r="Z626">
        <f t="shared" si="510"/>
        <v>-53.769806443995208</v>
      </c>
      <c r="AC626">
        <v>1</v>
      </c>
      <c r="AD626">
        <f t="shared" si="494"/>
        <v>981.9047827574999</v>
      </c>
      <c r="AE626">
        <f t="shared" si="495"/>
        <v>-3.7016938182129713</v>
      </c>
      <c r="AF626">
        <f t="shared" si="496"/>
        <v>0.15142476572999999</v>
      </c>
      <c r="AG626">
        <f t="shared" si="535"/>
        <v>10.563065889110753</v>
      </c>
      <c r="AH626">
        <f t="shared" si="536"/>
        <v>-264.82613666116305</v>
      </c>
      <c r="AJ626">
        <f t="shared" si="497"/>
        <v>26400</v>
      </c>
      <c r="AK626">
        <f t="shared" si="498"/>
        <v>636964.1929728</v>
      </c>
      <c r="AL626">
        <v>1</v>
      </c>
      <c r="AM626">
        <f t="shared" si="499"/>
        <v>853.50789115200007</v>
      </c>
      <c r="AN626">
        <f t="shared" si="537"/>
        <v>746.32496820275901</v>
      </c>
      <c r="AO626">
        <f t="shared" si="538"/>
        <v>-30.056752020384792</v>
      </c>
      <c r="AQ626">
        <f t="shared" si="500"/>
        <v>9.9999999000000009E-5</v>
      </c>
      <c r="AR626">
        <f t="shared" si="501"/>
        <v>-0.99999999000000006</v>
      </c>
      <c r="AT626">
        <f t="shared" si="523"/>
        <v>-264.82507770632338</v>
      </c>
      <c r="AU626">
        <f t="shared" si="524"/>
        <v>-10.589548396881385</v>
      </c>
      <c r="AV626">
        <f t="shared" si="511"/>
        <v>-3.1016269908918708</v>
      </c>
      <c r="AW626">
        <f t="shared" si="512"/>
        <v>726.8582063029221</v>
      </c>
      <c r="AX626">
        <f t="shared" si="513"/>
        <v>-1164.9382610180455</v>
      </c>
      <c r="AY626">
        <f t="shared" si="521"/>
        <v>-1.0129555267107369</v>
      </c>
      <c r="BA626">
        <f t="shared" si="502"/>
        <v>0.19302067390576078</v>
      </c>
      <c r="BB626">
        <f t="shared" si="514"/>
        <v>-14.287923448617612</v>
      </c>
      <c r="BC626">
        <f t="shared" si="515"/>
        <v>-2.0886714641811341</v>
      </c>
      <c r="BD626">
        <f t="shared" si="503"/>
        <v>-299.67205982373434</v>
      </c>
      <c r="BF626">
        <f t="shared" si="504"/>
        <v>-102.80966019458118</v>
      </c>
      <c r="BG626">
        <f t="shared" si="505"/>
        <v>-268.03222763007977</v>
      </c>
      <c r="BH626">
        <f t="shared" si="516"/>
        <v>-88.032227630079774</v>
      </c>
      <c r="BI626">
        <f t="shared" si="517"/>
        <v>-88.032227630079774</v>
      </c>
      <c r="BJ626">
        <f t="shared" si="506"/>
        <v>0</v>
      </c>
      <c r="BK626">
        <f t="shared" si="518"/>
        <v>0</v>
      </c>
      <c r="BM626">
        <f t="shared" si="519"/>
        <v>-88.521736745963565</v>
      </c>
      <c r="BN626">
        <f t="shared" si="507"/>
        <v>-148.36016780634543</v>
      </c>
      <c r="BQ626" s="56">
        <f t="shared" si="520"/>
        <v>2.6140373516675242</v>
      </c>
    </row>
    <row r="627" spans="1:69" x14ac:dyDescent="0.2">
      <c r="A627">
        <f>A626+100000</f>
        <v>5100000</v>
      </c>
      <c r="B627">
        <f t="shared" si="508"/>
        <v>5100</v>
      </c>
      <c r="C627">
        <f t="shared" ref="C627:C676" si="539">SQRT((A627/Fesr)^2+1)</f>
        <v>1.18087612007641</v>
      </c>
      <c r="D627">
        <f t="shared" ref="D627:D676" si="540">ATAN(A627/Fesr)</f>
        <v>0.56080190429553822</v>
      </c>
      <c r="F627">
        <f t="shared" ref="F627:F676" si="541">(Ro/(Ro+Rdcr))/SQRT((A627/(Q*Fo))^2+(1-(A627^2/Fo^2))^2)</f>
        <v>2.0455761874684118E-6</v>
      </c>
      <c r="G627">
        <f t="shared" ref="G627:G676" si="542">-ATAN(A627*Fo/(Q*(Fo^2-A627^2)))</f>
        <v>2.9188175347937272E-4</v>
      </c>
      <c r="H627">
        <f t="shared" si="481"/>
        <v>-3.1413007682465208</v>
      </c>
      <c r="J627">
        <f t="shared" si="482"/>
        <v>15</v>
      </c>
      <c r="M627">
        <f t="shared" ref="M627:M676" si="543">1/(2*Pi*_Rfb1*(Cc1ea_u+Cc2ea_u)*A627)</f>
        <v>2.4524433878964839E-4</v>
      </c>
      <c r="N627">
        <f t="shared" si="484"/>
        <v>-1.5707963250000001</v>
      </c>
      <c r="O627">
        <f t="shared" ref="O627:O676" si="544">SQRT(1+(A627/Fz1_u)^2)</f>
        <v>1001.5433776422749</v>
      </c>
      <c r="P627">
        <f t="shared" si="486"/>
        <v>1.5697978676282975</v>
      </c>
      <c r="Q627">
        <f t="shared" ref="Q627:Q676" si="545">SQRT(1+(A627/Fz2_u)^2)</f>
        <v>870.57862330589489</v>
      </c>
      <c r="R627">
        <f t="shared" si="488"/>
        <v>1.5696476652115159</v>
      </c>
      <c r="S627">
        <f t="shared" ref="S627:S676" si="546">1/SQRT(1+(A627/Fp1_u)^2)</f>
        <v>4.0600417216872298E-2</v>
      </c>
      <c r="T627">
        <f t="shared" si="490"/>
        <v>-1.5301847470493986</v>
      </c>
      <c r="U627">
        <f t="shared" ref="U627:U676" si="547">1/SQRT(1+(A627/Fp2_u)^2)</f>
        <v>4.0072576550645167E-2</v>
      </c>
      <c r="V627">
        <f t="shared" si="492"/>
        <v>-1.5307130176535908</v>
      </c>
      <c r="X627">
        <f t="shared" ref="X627:X676" si="548">20*LOG(C627*J627*O627*Q627*F627*M627*S627*U627)</f>
        <v>-97.988684477621462</v>
      </c>
      <c r="Y627">
        <f t="shared" ref="Y627:Y676" si="549">(180/Pi)*(D627+H627+N627+P627+R627+T627+V627)</f>
        <v>-233.35123850208541</v>
      </c>
      <c r="Z627">
        <f t="shared" si="510"/>
        <v>-53.351238502085408</v>
      </c>
      <c r="AC627">
        <v>1</v>
      </c>
      <c r="AD627">
        <f t="shared" ref="AD627:AD676" si="550">Rcea1_u*Cc1ea_u*A627*2*Pi</f>
        <v>1001.54287841265</v>
      </c>
      <c r="AE627">
        <f t="shared" ref="AE627:AE676" si="551">-Rcea1_u*Cc1ea_u*Cc2ea_u*(A627*2*Pi)^2</f>
        <v>-3.8512422484687745</v>
      </c>
      <c r="AF627">
        <f t="shared" ref="AF627:AF676" si="552">(Cc2ea_u+Cc1ea_u)*A627*2*Pi</f>
        <v>0.1544532610446</v>
      </c>
      <c r="AG627">
        <f t="shared" ref="AG627:AG676" si="553">AC627*AE627/(AE627^2+AF627^2)+AD627*AF627/(AE627^2+AF627^2)</f>
        <v>10.153547833226344</v>
      </c>
      <c r="AH627">
        <f t="shared" ref="AH627:AH676" si="554">AD627*AE627/(AE627^2+AF627^2)-AC627*AF627/(AE627^2+AF627^2)</f>
        <v>-259.64989095043774</v>
      </c>
      <c r="AJ627">
        <f t="shared" si="497"/>
        <v>26400</v>
      </c>
      <c r="AK627">
        <f t="shared" ref="AK627:AK676" si="555">_Rfb1*Rcea2_u*Cc3ea_u*A627*2*Pi</f>
        <v>649703.47683225607</v>
      </c>
      <c r="AL627">
        <v>2</v>
      </c>
      <c r="AM627">
        <f t="shared" ref="AM627:AM676" si="556">(_Rfb1+Rcea2_u)*Cc3ea_u*A627*2*Pi</f>
        <v>870.57804897504013</v>
      </c>
      <c r="AN627">
        <f t="shared" ref="AN627:AN676" si="557">AJ627*AL627/(AL627^2+AM627^2)+AK627*AM627/(AL627^2+AM627^2)</f>
        <v>746.35547922962542</v>
      </c>
      <c r="AO627">
        <f t="shared" ref="AO627:AO676" si="558">AK627*AL627/(AL627^2+AM627^2)-AJ627*AM627/(AL627^2+AM627^2)</f>
        <v>-28.610058651105334</v>
      </c>
      <c r="AQ627">
        <f t="shared" ref="AQ627:AQ676" si="559">Eadcg/(1+(Eadcg*A627/GBP)^2)</f>
        <v>9.6116877199953123E-5</v>
      </c>
      <c r="AR627">
        <f t="shared" ref="AR627:AR676" si="560">-(A627*Eadcg*Eadcg/GBP)/(1+(Eadcg*A627/GBP)^2)</f>
        <v>-0.98039214743952185</v>
      </c>
      <c r="AT627">
        <f t="shared" ref="AT627:AT676" si="561">-AR627*AH627+AG627*AQ627</f>
        <v>-254.55773824402709</v>
      </c>
      <c r="AU627">
        <f t="shared" ref="AU627:AU676" si="562">AQ627*AH627+AG627*AR627</f>
        <v>-9.9794153010301443</v>
      </c>
      <c r="AV627">
        <f t="shared" si="511"/>
        <v>-3.1024097643997144</v>
      </c>
      <c r="AW627">
        <f t="shared" si="512"/>
        <v>728.62516098778315</v>
      </c>
      <c r="AX627">
        <f t="shared" si="513"/>
        <v>-1141.2847582907602</v>
      </c>
      <c r="AY627">
        <f t="shared" si="521"/>
        <v>-1.0026009996749812</v>
      </c>
      <c r="BA627">
        <f t="shared" si="502"/>
        <v>0.18814303184298042</v>
      </c>
      <c r="BB627">
        <f t="shared" si="514"/>
        <v>-14.510237235766999</v>
      </c>
      <c r="BC627">
        <f t="shared" si="515"/>
        <v>-2.0998087647247332</v>
      </c>
      <c r="BD627">
        <f t="shared" si="503"/>
        <v>-300.31018014078052</v>
      </c>
      <c r="BF627">
        <f t="shared" si="504"/>
        <v>-103.32801206008335</v>
      </c>
      <c r="BG627">
        <f t="shared" si="505"/>
        <v>-268.1618742524206</v>
      </c>
      <c r="BH627">
        <f t="shared" si="516"/>
        <v>-88.161874252420603</v>
      </c>
      <c r="BI627">
        <f t="shared" si="517"/>
        <v>-88.161874252420603</v>
      </c>
      <c r="BJ627">
        <f t="shared" si="506"/>
        <v>0</v>
      </c>
      <c r="BK627">
        <f t="shared" si="518"/>
        <v>0</v>
      </c>
      <c r="BM627">
        <f t="shared" si="519"/>
        <v>-88.817774824316359</v>
      </c>
      <c r="BN627">
        <f t="shared" si="507"/>
        <v>-147.85169411164011</v>
      </c>
      <c r="BQ627" s="56">
        <f t="shared" si="520"/>
        <v>2.3917235645181383</v>
      </c>
    </row>
    <row r="628" spans="1:69" x14ac:dyDescent="0.2">
      <c r="A628">
        <f t="shared" ref="A628:A676" si="563">A627+100000</f>
        <v>5200000</v>
      </c>
      <c r="B628">
        <f t="shared" si="508"/>
        <v>5200</v>
      </c>
      <c r="C628">
        <f t="shared" si="539"/>
        <v>1.187471861016131</v>
      </c>
      <c r="D628">
        <f t="shared" si="540"/>
        <v>0.56958431726344738</v>
      </c>
      <c r="F628">
        <f t="shared" si="541"/>
        <v>1.9676565301145992E-6</v>
      </c>
      <c r="G628">
        <f t="shared" si="542"/>
        <v>2.8626862082667799E-4</v>
      </c>
      <c r="H628">
        <f t="shared" si="481"/>
        <v>-3.1413063813791737</v>
      </c>
      <c r="J628">
        <f t="shared" si="482"/>
        <v>15</v>
      </c>
      <c r="M628">
        <f t="shared" si="543"/>
        <v>2.4052810150523206E-4</v>
      </c>
      <c r="N628">
        <f t="shared" si="484"/>
        <v>-1.5707963250000001</v>
      </c>
      <c r="O628">
        <f t="shared" si="544"/>
        <v>1021.1814636968599</v>
      </c>
      <c r="P628">
        <f t="shared" si="486"/>
        <v>1.5698170687537212</v>
      </c>
      <c r="Q628">
        <f t="shared" si="545"/>
        <v>887.64877008411793</v>
      </c>
      <c r="R628">
        <f t="shared" si="488"/>
        <v>1.5696697548384766</v>
      </c>
      <c r="S628">
        <f t="shared" si="546"/>
        <v>3.9820890162188614E-2</v>
      </c>
      <c r="T628">
        <f t="shared" si="490"/>
        <v>-1.5309649050965792</v>
      </c>
      <c r="U628">
        <f t="shared" si="547"/>
        <v>3.9303152146694803E-2</v>
      </c>
      <c r="V628">
        <f t="shared" si="492"/>
        <v>-1.5314830487638704</v>
      </c>
      <c r="X628">
        <f t="shared" si="548"/>
        <v>-98.445757478725852</v>
      </c>
      <c r="Y628">
        <f t="shared" si="549"/>
        <v>-232.93481842374308</v>
      </c>
      <c r="Z628">
        <f t="shared" si="510"/>
        <v>-52.934818423743081</v>
      </c>
      <c r="AC628">
        <v>1</v>
      </c>
      <c r="AD628">
        <f t="shared" si="550"/>
        <v>1021.1809740678</v>
      </c>
      <c r="AE628">
        <f t="shared" si="551"/>
        <v>-4.0037520337791488</v>
      </c>
      <c r="AF628">
        <f t="shared" si="552"/>
        <v>0.15748175635919998</v>
      </c>
      <c r="AG628">
        <f t="shared" si="553"/>
        <v>9.7673792251518439</v>
      </c>
      <c r="AH628">
        <f t="shared" si="554"/>
        <v>-254.67181319667139</v>
      </c>
      <c r="AJ628">
        <f t="shared" si="497"/>
        <v>26400</v>
      </c>
      <c r="AK628">
        <f t="shared" si="555"/>
        <v>662442.76069171203</v>
      </c>
      <c r="AL628">
        <v>3</v>
      </c>
      <c r="AM628">
        <f t="shared" si="556"/>
        <v>887.6482067980802</v>
      </c>
      <c r="AN628">
        <f t="shared" si="557"/>
        <v>746.38174501627827</v>
      </c>
      <c r="AO628">
        <f t="shared" si="558"/>
        <v>-27.218952936438715</v>
      </c>
      <c r="AQ628">
        <f t="shared" si="559"/>
        <v>9.2455620446970963E-5</v>
      </c>
      <c r="AR628">
        <f t="shared" si="560"/>
        <v>-0.96153845264849802</v>
      </c>
      <c r="AT628">
        <f t="shared" si="561"/>
        <v>-244.87583814520835</v>
      </c>
      <c r="AU628">
        <f t="shared" si="562"/>
        <v>-9.4152565470830432</v>
      </c>
      <c r="AV628">
        <f t="shared" si="511"/>
        <v>-3.1031624797540847</v>
      </c>
      <c r="AW628">
        <f t="shared" si="512"/>
        <v>730.26999494745712</v>
      </c>
      <c r="AX628">
        <f t="shared" si="513"/>
        <v>-1118.5356872261004</v>
      </c>
      <c r="AY628">
        <f t="shared" si="521"/>
        <v>-0.99239890482116444</v>
      </c>
      <c r="BA628">
        <f t="shared" si="502"/>
        <v>0.1834503808299289</v>
      </c>
      <c r="BB628">
        <f t="shared" si="514"/>
        <v>-14.729627646853498</v>
      </c>
      <c r="BC628">
        <f t="shared" si="515"/>
        <v>-2.1107635749329203</v>
      </c>
      <c r="BD628">
        <f t="shared" si="503"/>
        <v>-300.93784453179364</v>
      </c>
      <c r="BF628">
        <f t="shared" si="504"/>
        <v>-103.83635009892586</v>
      </c>
      <c r="BG628">
        <f t="shared" si="505"/>
        <v>-268.28666505466782</v>
      </c>
      <c r="BH628">
        <f t="shared" si="516"/>
        <v>-88.286665054667822</v>
      </c>
      <c r="BI628">
        <f t="shared" si="517"/>
        <v>-88.286665054667822</v>
      </c>
      <c r="BJ628">
        <f t="shared" si="506"/>
        <v>0</v>
      </c>
      <c r="BK628">
        <f t="shared" si="518"/>
        <v>0</v>
      </c>
      <c r="BM628">
        <f t="shared" si="519"/>
        <v>-89.106722452072361</v>
      </c>
      <c r="BN628">
        <f t="shared" si="507"/>
        <v>-147.34882052287418</v>
      </c>
      <c r="BQ628" s="56">
        <f t="shared" si="520"/>
        <v>2.1723331534316386</v>
      </c>
    </row>
    <row r="629" spans="1:69" x14ac:dyDescent="0.2">
      <c r="A629">
        <f t="shared" si="563"/>
        <v>5300000</v>
      </c>
      <c r="B629">
        <f t="shared" si="508"/>
        <v>5300</v>
      </c>
      <c r="C629">
        <f t="shared" si="539"/>
        <v>1.1941581767173708</v>
      </c>
      <c r="D629">
        <f t="shared" si="540"/>
        <v>0.57826904513564614</v>
      </c>
      <c r="F629">
        <f t="shared" si="541"/>
        <v>1.8941056867311977E-6</v>
      </c>
      <c r="G629">
        <f t="shared" si="542"/>
        <v>2.8086730571121401E-4</v>
      </c>
      <c r="H629">
        <f t="shared" si="481"/>
        <v>-3.1413117826942889</v>
      </c>
      <c r="J629">
        <f t="shared" si="482"/>
        <v>15</v>
      </c>
      <c r="M629">
        <f t="shared" si="543"/>
        <v>2.359898354390956E-4</v>
      </c>
      <c r="N629">
        <f t="shared" si="484"/>
        <v>-1.5707963250000001</v>
      </c>
      <c r="O629">
        <f t="shared" si="544"/>
        <v>1040.81955011373</v>
      </c>
      <c r="P629">
        <f t="shared" si="486"/>
        <v>1.569835545309056</v>
      </c>
      <c r="Q629">
        <f t="shared" si="545"/>
        <v>904.71891727912589</v>
      </c>
      <c r="R629">
        <f t="shared" si="488"/>
        <v>1.569691010895647</v>
      </c>
      <c r="S629">
        <f t="shared" si="546"/>
        <v>3.9070710555107704E-2</v>
      </c>
      <c r="T629">
        <f t="shared" si="490"/>
        <v>-1.5317156690322602</v>
      </c>
      <c r="U629">
        <f t="shared" si="547"/>
        <v>3.8562696599240762E-2</v>
      </c>
      <c r="V629">
        <f t="shared" si="492"/>
        <v>-1.5322240661482451</v>
      </c>
      <c r="X629">
        <f t="shared" si="548"/>
        <v>-98.892831226417599</v>
      </c>
      <c r="Y629">
        <f t="shared" si="549"/>
        <v>-232.52072590512333</v>
      </c>
      <c r="Z629">
        <f t="shared" si="510"/>
        <v>-52.520725905123328</v>
      </c>
      <c r="AC629">
        <v>1</v>
      </c>
      <c r="AD629">
        <f t="shared" si="550"/>
        <v>1040.81906972295</v>
      </c>
      <c r="AE629">
        <f t="shared" si="551"/>
        <v>-4.1592231741440946</v>
      </c>
      <c r="AF629">
        <f t="shared" si="552"/>
        <v>0.16051025167379998</v>
      </c>
      <c r="AG629">
        <f t="shared" si="553"/>
        <v>9.4028189883307256</v>
      </c>
      <c r="AH629">
        <f t="shared" si="554"/>
        <v>-249.88075353628122</v>
      </c>
      <c r="AJ629">
        <f t="shared" si="497"/>
        <v>26400</v>
      </c>
      <c r="AK629">
        <f t="shared" si="555"/>
        <v>675182.04455116799</v>
      </c>
      <c r="AL629">
        <v>4</v>
      </c>
      <c r="AM629">
        <f t="shared" si="556"/>
        <v>904.71836462112003</v>
      </c>
      <c r="AN629">
        <f t="shared" si="557"/>
        <v>746.40417632798983</v>
      </c>
      <c r="AO629">
        <f t="shared" si="558"/>
        <v>-25.880300666267086</v>
      </c>
      <c r="AQ629">
        <f t="shared" si="559"/>
        <v>8.8999643209330341E-5</v>
      </c>
      <c r="AR629">
        <f t="shared" si="560"/>
        <v>-0.94339621801890161</v>
      </c>
      <c r="AT629">
        <f t="shared" si="561"/>
        <v>-235.73572099430586</v>
      </c>
      <c r="AU629">
        <f t="shared" si="562"/>
        <v>-8.8928231702171274</v>
      </c>
      <c r="AV629">
        <f t="shared" si="511"/>
        <v>-3.1038868348066204</v>
      </c>
      <c r="AW629">
        <f t="shared" si="512"/>
        <v>731.8026187081515</v>
      </c>
      <c r="AX629">
        <f t="shared" si="513"/>
        <v>-1096.6403507301588</v>
      </c>
      <c r="AY629">
        <f t="shared" si="521"/>
        <v>-0.98234623344869221</v>
      </c>
      <c r="BA629">
        <f t="shared" si="502"/>
        <v>0.17893278694071169</v>
      </c>
      <c r="BB629">
        <f t="shared" si="514"/>
        <v>-14.946201474534764</v>
      </c>
      <c r="BC629">
        <f t="shared" si="515"/>
        <v>-2.1215406013579283</v>
      </c>
      <c r="BD629">
        <f t="shared" si="503"/>
        <v>-301.55532266235315</v>
      </c>
      <c r="BF629">
        <f t="shared" si="504"/>
        <v>-104.33505499964744</v>
      </c>
      <c r="BG629">
        <f t="shared" si="505"/>
        <v>-268.40685440392241</v>
      </c>
      <c r="BH629">
        <f t="shared" si="516"/>
        <v>-88.406854403922409</v>
      </c>
      <c r="BI629">
        <f t="shared" si="517"/>
        <v>-88.406854403922409</v>
      </c>
      <c r="BJ629">
        <f t="shared" si="506"/>
        <v>0</v>
      </c>
      <c r="BK629">
        <f t="shared" si="518"/>
        <v>0</v>
      </c>
      <c r="BM629">
        <f t="shared" si="519"/>
        <v>-89.388853525112665</v>
      </c>
      <c r="BN629">
        <f t="shared" si="507"/>
        <v>-146.85153174156926</v>
      </c>
      <c r="BQ629" s="56">
        <f t="shared" si="520"/>
        <v>1.9557593257503725</v>
      </c>
    </row>
    <row r="630" spans="1:69" x14ac:dyDescent="0.2">
      <c r="A630">
        <f t="shared" si="563"/>
        <v>5400000</v>
      </c>
      <c r="B630">
        <f t="shared" si="508"/>
        <v>5400</v>
      </c>
      <c r="C630">
        <f t="shared" si="539"/>
        <v>1.2009335543293984</v>
      </c>
      <c r="D630">
        <f t="shared" si="540"/>
        <v>0.58685642038340335</v>
      </c>
      <c r="F630">
        <f t="shared" si="541"/>
        <v>1.8246030561482512E-6</v>
      </c>
      <c r="G630">
        <f t="shared" si="542"/>
        <v>2.7566604040482178E-4</v>
      </c>
      <c r="H630">
        <f t="shared" si="481"/>
        <v>-3.1413169839595954</v>
      </c>
      <c r="J630">
        <f t="shared" si="482"/>
        <v>15</v>
      </c>
      <c r="M630">
        <f t="shared" si="543"/>
        <v>2.316196533013346E-4</v>
      </c>
      <c r="N630">
        <f t="shared" si="484"/>
        <v>-1.5707963250000001</v>
      </c>
      <c r="O630">
        <f t="shared" si="544"/>
        <v>1060.4576368727585</v>
      </c>
      <c r="P630">
        <f t="shared" si="486"/>
        <v>1.5698533375481467</v>
      </c>
      <c r="Q630">
        <f t="shared" si="545"/>
        <v>921.78906486776452</v>
      </c>
      <c r="R630">
        <f t="shared" si="488"/>
        <v>1.5697114796923848</v>
      </c>
      <c r="S630">
        <f t="shared" si="546"/>
        <v>3.8348252918384777E-2</v>
      </c>
      <c r="T630">
        <f t="shared" si="490"/>
        <v>-1.5324386685677773</v>
      </c>
      <c r="U630">
        <f t="shared" si="547"/>
        <v>3.7849605274246752E-2</v>
      </c>
      <c r="V630">
        <f t="shared" si="492"/>
        <v>-1.5329376785121824</v>
      </c>
      <c r="X630">
        <f t="shared" si="548"/>
        <v>-99.330282859602704</v>
      </c>
      <c r="Y630">
        <f t="shared" si="549"/>
        <v>-232.10912315917588</v>
      </c>
      <c r="Z630">
        <f t="shared" si="510"/>
        <v>-52.10912315917588</v>
      </c>
      <c r="AC630">
        <v>1</v>
      </c>
      <c r="AD630">
        <f t="shared" si="550"/>
        <v>1060.4571653780999</v>
      </c>
      <c r="AE630">
        <f t="shared" si="551"/>
        <v>-4.3176556695636101</v>
      </c>
      <c r="AF630">
        <f t="shared" si="552"/>
        <v>0.16353874698839999</v>
      </c>
      <c r="AG630">
        <f t="shared" si="553"/>
        <v>9.0582852784612591</v>
      </c>
      <c r="AH630">
        <f t="shared" si="554"/>
        <v>-245.26638199030558</v>
      </c>
      <c r="AJ630">
        <f t="shared" si="497"/>
        <v>26400</v>
      </c>
      <c r="AK630">
        <f t="shared" si="555"/>
        <v>687921.32841062406</v>
      </c>
      <c r="AL630">
        <v>5</v>
      </c>
      <c r="AM630">
        <f t="shared" si="556"/>
        <v>921.78852244416009</v>
      </c>
      <c r="AN630">
        <f t="shared" si="557"/>
        <v>746.42314115331476</v>
      </c>
      <c r="AO630">
        <f t="shared" si="558"/>
        <v>-24.591198243745321</v>
      </c>
      <c r="AQ630">
        <f t="shared" si="559"/>
        <v>8.5733881295148485E-5</v>
      </c>
      <c r="AR630">
        <f t="shared" si="560"/>
        <v>-0.9259259179876036</v>
      </c>
      <c r="AT630">
        <f t="shared" si="561"/>
        <v>-227.09772329391711</v>
      </c>
      <c r="AU630">
        <f t="shared" si="562"/>
        <v>-8.4083287507320836</v>
      </c>
      <c r="AV630">
        <f t="shared" si="511"/>
        <v>-3.104584401961501</v>
      </c>
      <c r="AW630">
        <f t="shared" si="512"/>
        <v>733.23199208210201</v>
      </c>
      <c r="AX630">
        <f t="shared" si="513"/>
        <v>-1075.5517565584605</v>
      </c>
      <c r="AY630">
        <f t="shared" si="521"/>
        <v>-0.97244011317206425</v>
      </c>
      <c r="BA630">
        <f t="shared" si="502"/>
        <v>0.17458103491478075</v>
      </c>
      <c r="BB630">
        <f t="shared" si="514"/>
        <v>-15.160058726837313</v>
      </c>
      <c r="BC630">
        <f t="shared" si="515"/>
        <v>-2.1321442887894366</v>
      </c>
      <c r="BD630">
        <f t="shared" si="503"/>
        <v>-302.16286920014875</v>
      </c>
      <c r="BF630">
        <f t="shared" si="504"/>
        <v>-104.82448600116469</v>
      </c>
      <c r="BG630">
        <f t="shared" si="505"/>
        <v>-268.52267859291464</v>
      </c>
      <c r="BH630">
        <f t="shared" si="516"/>
        <v>-88.522678592914644</v>
      </c>
      <c r="BI630">
        <f t="shared" si="517"/>
        <v>-88.522678592914644</v>
      </c>
      <c r="BJ630">
        <f t="shared" si="506"/>
        <v>0</v>
      </c>
      <c r="BK630">
        <f t="shared" si="518"/>
        <v>0</v>
      </c>
      <c r="BM630">
        <f t="shared" si="519"/>
        <v>-89.664427274327366</v>
      </c>
      <c r="BN630">
        <f t="shared" si="507"/>
        <v>-146.35980939276598</v>
      </c>
      <c r="BQ630" s="56">
        <f t="shared" si="520"/>
        <v>1.7419020734478232</v>
      </c>
    </row>
    <row r="631" spans="1:69" x14ac:dyDescent="0.2">
      <c r="A631">
        <f t="shared" si="563"/>
        <v>5500000</v>
      </c>
      <c r="B631">
        <f t="shared" si="508"/>
        <v>5500</v>
      </c>
      <c r="C631">
        <f t="shared" si="539"/>
        <v>1.2077964950209839</v>
      </c>
      <c r="D631">
        <f t="shared" si="540"/>
        <v>0.59534682549764073</v>
      </c>
      <c r="F631">
        <f t="shared" si="541"/>
        <v>1.7588569153753049E-6</v>
      </c>
      <c r="G631">
        <f t="shared" si="542"/>
        <v>2.706539130218293E-4</v>
      </c>
      <c r="H631">
        <f t="shared" si="481"/>
        <v>-3.1413219960869783</v>
      </c>
      <c r="J631">
        <f t="shared" si="482"/>
        <v>15</v>
      </c>
      <c r="M631">
        <f t="shared" si="543"/>
        <v>2.2740838687767396E-4</v>
      </c>
      <c r="N631">
        <f t="shared" si="484"/>
        <v>-1.5707963250000001</v>
      </c>
      <c r="O631">
        <f t="shared" si="544"/>
        <v>1080.095723955282</v>
      </c>
      <c r="P631">
        <f t="shared" si="486"/>
        <v>1.56987048279729</v>
      </c>
      <c r="Q631">
        <f t="shared" si="545"/>
        <v>938.85921282856282</v>
      </c>
      <c r="R631">
        <f t="shared" si="488"/>
        <v>1.5697312041701015</v>
      </c>
      <c r="S631">
        <f t="shared" si="546"/>
        <v>3.765200955568674E-2</v>
      </c>
      <c r="T631">
        <f t="shared" si="490"/>
        <v>-1.5331354151808843</v>
      </c>
      <c r="U631">
        <f t="shared" si="547"/>
        <v>3.716238981942848E-2</v>
      </c>
      <c r="V631">
        <f t="shared" si="492"/>
        <v>-1.5336253778440967</v>
      </c>
      <c r="X631">
        <f t="shared" si="548"/>
        <v>-99.758469479271696</v>
      </c>
      <c r="Y631">
        <f t="shared" si="549"/>
        <v>-231.70015638292472</v>
      </c>
      <c r="Z631">
        <f t="shared" si="510"/>
        <v>-51.700156382924717</v>
      </c>
      <c r="AC631">
        <v>1</v>
      </c>
      <c r="AD631">
        <f t="shared" si="550"/>
        <v>1080.0952610332502</v>
      </c>
      <c r="AE631">
        <f t="shared" si="551"/>
        <v>-4.4790495200376963</v>
      </c>
      <c r="AF631">
        <f t="shared" si="552"/>
        <v>0.16656724230299999</v>
      </c>
      <c r="AG631">
        <f t="shared" si="553"/>
        <v>8.7323383303432216</v>
      </c>
      <c r="AH631">
        <f t="shared" si="554"/>
        <v>-240.8191145673313</v>
      </c>
      <c r="AJ631">
        <f t="shared" si="497"/>
        <v>26400</v>
      </c>
      <c r="AK631">
        <f t="shared" si="555"/>
        <v>700660.61227008014</v>
      </c>
      <c r="AL631">
        <v>6</v>
      </c>
      <c r="AM631">
        <f t="shared" si="556"/>
        <v>938.85868026720016</v>
      </c>
      <c r="AN631">
        <f t="shared" si="557"/>
        <v>746.43896968831359</v>
      </c>
      <c r="AO631">
        <f t="shared" si="558"/>
        <v>-23.348951916417576</v>
      </c>
      <c r="AQ631">
        <f t="shared" si="559"/>
        <v>8.26446274161601E-5</v>
      </c>
      <c r="AR631">
        <f t="shared" si="560"/>
        <v>-0.90909090157776118</v>
      </c>
      <c r="AT631">
        <f t="shared" si="561"/>
        <v>-218.92574429832558</v>
      </c>
      <c r="AU631">
        <f t="shared" si="562"/>
        <v>-7.9583917316118677</v>
      </c>
      <c r="AV631">
        <f t="shared" si="511"/>
        <v>-3.1052566395459409</v>
      </c>
      <c r="AW631">
        <f t="shared" si="512"/>
        <v>734.56622975290634</v>
      </c>
      <c r="AX631">
        <f t="shared" si="513"/>
        <v>-1055.2262862675821</v>
      </c>
      <c r="AY631">
        <f t="shared" si="521"/>
        <v>-0.96267779346841886</v>
      </c>
      <c r="BA631">
        <f t="shared" si="502"/>
        <v>0.1703865625599669</v>
      </c>
      <c r="BB631">
        <f t="shared" si="514"/>
        <v>-15.3712931721575</v>
      </c>
      <c r="BC631">
        <f t="shared" si="515"/>
        <v>-2.1425788460775221</v>
      </c>
      <c r="BD631">
        <f t="shared" si="503"/>
        <v>-302.76072529452665</v>
      </c>
      <c r="BF631">
        <f t="shared" si="504"/>
        <v>-105.30498247888585</v>
      </c>
      <c r="BG631">
        <f t="shared" si="505"/>
        <v>-268.63435748108037</v>
      </c>
      <c r="BH631">
        <f t="shared" si="516"/>
        <v>-88.634357481080372</v>
      </c>
      <c r="BI631">
        <f t="shared" si="517"/>
        <v>-88.634357481080372</v>
      </c>
      <c r="BJ631">
        <f t="shared" si="506"/>
        <v>0</v>
      </c>
      <c r="BK631">
        <f t="shared" si="518"/>
        <v>0</v>
      </c>
      <c r="BM631">
        <f t="shared" si="519"/>
        <v>-89.933689306728326</v>
      </c>
      <c r="BN631">
        <f t="shared" si="507"/>
        <v>-145.87363218655375</v>
      </c>
      <c r="BQ631" s="56">
        <f t="shared" si="520"/>
        <v>1.5306676281276346</v>
      </c>
    </row>
    <row r="632" spans="1:69" x14ac:dyDescent="0.2">
      <c r="A632">
        <f t="shared" si="563"/>
        <v>5600000</v>
      </c>
      <c r="B632">
        <f t="shared" si="508"/>
        <v>5600</v>
      </c>
      <c r="C632">
        <f t="shared" si="539"/>
        <v>1.2147455146791648</v>
      </c>
      <c r="D632">
        <f t="shared" si="540"/>
        <v>0.60374069030163713</v>
      </c>
      <c r="F632">
        <f t="shared" si="541"/>
        <v>1.6966013534718743E-6</v>
      </c>
      <c r="G632">
        <f t="shared" si="542"/>
        <v>2.6582079110373981E-4</v>
      </c>
      <c r="H632">
        <f t="shared" si="481"/>
        <v>-3.1413268292088965</v>
      </c>
      <c r="J632">
        <f t="shared" si="482"/>
        <v>15</v>
      </c>
      <c r="M632">
        <f t="shared" si="543"/>
        <v>2.2334752282628692E-4</v>
      </c>
      <c r="N632">
        <f t="shared" si="484"/>
        <v>-1.5707963250000001</v>
      </c>
      <c r="O632">
        <f t="shared" si="544"/>
        <v>1099.7338113439707</v>
      </c>
      <c r="P632">
        <f t="shared" si="486"/>
        <v>1.5698870157166225</v>
      </c>
      <c r="Q632">
        <f t="shared" si="545"/>
        <v>955.92936114158374</v>
      </c>
      <c r="R632">
        <f t="shared" si="488"/>
        <v>1.5697502242029706</v>
      </c>
      <c r="S632">
        <f t="shared" si="546"/>
        <v>3.6980580080751675E-2</v>
      </c>
      <c r="T632">
        <f t="shared" si="490"/>
        <v>-1.5338073126420482</v>
      </c>
      <c r="U632">
        <f t="shared" si="547"/>
        <v>3.6499667825531205E-2</v>
      </c>
      <c r="V632">
        <f t="shared" si="492"/>
        <v>-1.534288549807403</v>
      </c>
      <c r="X632">
        <f t="shared" si="548"/>
        <v>-100.17772955199061</v>
      </c>
      <c r="Y632">
        <f t="shared" si="549"/>
        <v>-231.29395708214466</v>
      </c>
      <c r="Z632">
        <f t="shared" si="510"/>
        <v>-51.293957082144658</v>
      </c>
      <c r="AC632">
        <v>1</v>
      </c>
      <c r="AD632">
        <f t="shared" si="550"/>
        <v>1099.7333566883999</v>
      </c>
      <c r="AE632">
        <f t="shared" si="551"/>
        <v>-4.6434047255663495</v>
      </c>
      <c r="AF632">
        <f t="shared" si="552"/>
        <v>0.1695957376176</v>
      </c>
      <c r="AG632">
        <f t="shared" si="553"/>
        <v>8.423665421490286</v>
      </c>
      <c r="AH632">
        <f t="shared" si="554"/>
        <v>-236.53004720665174</v>
      </c>
      <c r="AJ632">
        <f t="shared" si="497"/>
        <v>26400</v>
      </c>
      <c r="AK632">
        <f t="shared" si="555"/>
        <v>713399.89612953598</v>
      </c>
      <c r="AL632">
        <v>7</v>
      </c>
      <c r="AM632">
        <f t="shared" si="556"/>
        <v>955.92883809024011</v>
      </c>
      <c r="AN632">
        <f t="shared" si="557"/>
        <v>746.45195867249095</v>
      </c>
      <c r="AO632">
        <f t="shared" si="558"/>
        <v>-22.151059206034382</v>
      </c>
      <c r="AQ632">
        <f t="shared" si="559"/>
        <v>7.9719387119583961E-5</v>
      </c>
      <c r="AR632">
        <f t="shared" si="560"/>
        <v>-0.89285713573934045</v>
      </c>
      <c r="AT632">
        <f t="shared" si="561"/>
        <v>-211.18686893577737</v>
      </c>
      <c r="AU632">
        <f t="shared" si="562"/>
        <v>-7.5399858110570213</v>
      </c>
      <c r="AV632">
        <f t="shared" si="511"/>
        <v>-3.1059049019665252</v>
      </c>
      <c r="AW632">
        <f t="shared" si="512"/>
        <v>735.81269355621873</v>
      </c>
      <c r="AX632">
        <f t="shared" si="513"/>
        <v>-1035.6233989025068</v>
      </c>
      <c r="AY632">
        <f t="shared" si="521"/>
        <v>-0.95305663306083266</v>
      </c>
      <c r="BA632">
        <f t="shared" si="502"/>
        <v>0.16634140227776584</v>
      </c>
      <c r="BB632">
        <f t="shared" si="514"/>
        <v>-15.579992833663333</v>
      </c>
      <c r="BC632">
        <f t="shared" si="515"/>
        <v>-2.1528482689056925</v>
      </c>
      <c r="BD632">
        <f t="shared" si="503"/>
        <v>-303.3491198812884</v>
      </c>
      <c r="BF632">
        <f t="shared" si="504"/>
        <v>-105.77686538700334</v>
      </c>
      <c r="BG632">
        <f t="shared" si="505"/>
        <v>-268.74209595770827</v>
      </c>
      <c r="BH632">
        <f t="shared" si="516"/>
        <v>-88.742095957708273</v>
      </c>
      <c r="BI632">
        <f t="shared" si="517"/>
        <v>-88.742095957708273</v>
      </c>
      <c r="BJ632">
        <f t="shared" si="506"/>
        <v>0</v>
      </c>
      <c r="BK632">
        <f t="shared" si="518"/>
        <v>0</v>
      </c>
      <c r="BM632">
        <f t="shared" si="519"/>
        <v>-90.196872553340029</v>
      </c>
      <c r="BN632">
        <f t="shared" si="507"/>
        <v>-145.3929760764199</v>
      </c>
      <c r="BQ632" s="56">
        <f t="shared" si="520"/>
        <v>1.3219679666218043</v>
      </c>
    </row>
    <row r="633" spans="1:69" x14ac:dyDescent="0.2">
      <c r="A633">
        <f t="shared" si="563"/>
        <v>5700000</v>
      </c>
      <c r="B633">
        <f t="shared" si="508"/>
        <v>5700</v>
      </c>
      <c r="C633">
        <f t="shared" si="539"/>
        <v>1.2217791445505892</v>
      </c>
      <c r="D633">
        <f t="shared" si="540"/>
        <v>0.61203848931527582</v>
      </c>
      <c r="F633">
        <f t="shared" si="541"/>
        <v>1.6375935786073222E-6</v>
      </c>
      <c r="G633">
        <f t="shared" si="542"/>
        <v>2.6115725324773299E-4</v>
      </c>
      <c r="H633">
        <f t="shared" si="481"/>
        <v>-3.1413314927467524</v>
      </c>
      <c r="J633">
        <f t="shared" si="482"/>
        <v>15</v>
      </c>
      <c r="M633">
        <f t="shared" si="543"/>
        <v>2.1942914523284329E-4</v>
      </c>
      <c r="N633">
        <f t="shared" si="484"/>
        <v>-1.5707963250000001</v>
      </c>
      <c r="O633">
        <f t="shared" si="544"/>
        <v>1119.3718990227103</v>
      </c>
      <c r="P633">
        <f t="shared" si="486"/>
        <v>1.5699029685339934</v>
      </c>
      <c r="Q633">
        <f t="shared" si="545"/>
        <v>972.99950978828929</v>
      </c>
      <c r="R633">
        <f t="shared" si="488"/>
        <v>1.5697685768669829</v>
      </c>
      <c r="S633">
        <f t="shared" si="546"/>
        <v>3.6332662043338626E-2</v>
      </c>
      <c r="T633">
        <f t="shared" si="490"/>
        <v>-1.5344556664363305</v>
      </c>
      <c r="U633">
        <f t="shared" si="547"/>
        <v>3.586015357069721E-2</v>
      </c>
      <c r="V633">
        <f t="shared" si="492"/>
        <v>-1.5349284830421459</v>
      </c>
      <c r="X633">
        <f t="shared" si="548"/>
        <v>-100.58838419050576</v>
      </c>
      <c r="Y633">
        <f t="shared" si="549"/>
        <v>-230.89064327025838</v>
      </c>
      <c r="Z633">
        <f t="shared" si="510"/>
        <v>-50.89064327025838</v>
      </c>
      <c r="AC633">
        <v>1</v>
      </c>
      <c r="AD633">
        <f t="shared" si="550"/>
        <v>1119.3714523435499</v>
      </c>
      <c r="AE633">
        <f t="shared" si="551"/>
        <v>-4.8107212861495769</v>
      </c>
      <c r="AF633">
        <f t="shared" si="552"/>
        <v>0.1726242329322</v>
      </c>
      <c r="AG633">
        <f t="shared" si="553"/>
        <v>8.1310676592785764</v>
      </c>
      <c r="AH633">
        <f t="shared" si="554"/>
        <v>-232.39089660934201</v>
      </c>
      <c r="AJ633">
        <f t="shared" si="497"/>
        <v>26400</v>
      </c>
      <c r="AK633">
        <f t="shared" si="555"/>
        <v>726139.17998899205</v>
      </c>
      <c r="AL633">
        <v>8</v>
      </c>
      <c r="AM633">
        <f t="shared" si="556"/>
        <v>972.99899591328017</v>
      </c>
      <c r="AN633">
        <f t="shared" si="557"/>
        <v>746.46237516969927</v>
      </c>
      <c r="AO633">
        <f t="shared" si="558"/>
        <v>-20.99519227095184</v>
      </c>
      <c r="AQ633">
        <f t="shared" si="559"/>
        <v>7.694675225494958E-5</v>
      </c>
      <c r="AR633">
        <f t="shared" si="560"/>
        <v>-0.87719297570642529</v>
      </c>
      <c r="AT633">
        <f t="shared" si="561"/>
        <v>-203.85103646458418</v>
      </c>
      <c r="AU633">
        <f t="shared" si="562"/>
        <v>-7.1503971604605576</v>
      </c>
      <c r="AV633">
        <f t="shared" si="511"/>
        <v>-3.106530448799925</v>
      </c>
      <c r="AW633">
        <f t="shared" si="512"/>
        <v>736.97807332654202</v>
      </c>
      <c r="AX633">
        <f t="shared" si="513"/>
        <v>-1016.7053652574593</v>
      </c>
      <c r="AY633">
        <f t="shared" si="521"/>
        <v>-0.94357408889770511</v>
      </c>
      <c r="BA633">
        <f t="shared" si="502"/>
        <v>0.16243812882553033</v>
      </c>
      <c r="BB633">
        <f t="shared" si="514"/>
        <v>-15.786240438482093</v>
      </c>
      <c r="BC633">
        <f t="shared" si="515"/>
        <v>-2.1629563599022199</v>
      </c>
      <c r="BD633">
        <f t="shared" si="503"/>
        <v>-303.92827083498543</v>
      </c>
      <c r="BF633">
        <f t="shared" si="504"/>
        <v>-106.24043857231709</v>
      </c>
      <c r="BG633">
        <f t="shared" si="505"/>
        <v>-268.84608524916979</v>
      </c>
      <c r="BH633">
        <f t="shared" si="516"/>
        <v>-88.846085249169789</v>
      </c>
      <c r="BI633">
        <f t="shared" si="517"/>
        <v>-88.846085249169789</v>
      </c>
      <c r="BJ633">
        <f t="shared" si="506"/>
        <v>0</v>
      </c>
      <c r="BK633">
        <f t="shared" si="518"/>
        <v>0</v>
      </c>
      <c r="BM633">
        <f t="shared" si="519"/>
        <v>-90.454198133834979</v>
      </c>
      <c r="BN633">
        <f t="shared" si="507"/>
        <v>-144.91781441418439</v>
      </c>
      <c r="BQ633" s="56">
        <f t="shared" si="520"/>
        <v>1.115720361803044</v>
      </c>
    </row>
    <row r="634" spans="1:69" x14ac:dyDescent="0.2">
      <c r="A634">
        <f t="shared" si="563"/>
        <v>5800000</v>
      </c>
      <c r="B634">
        <f t="shared" si="508"/>
        <v>5800</v>
      </c>
      <c r="C634">
        <f t="shared" si="539"/>
        <v>1.2288959318273598</v>
      </c>
      <c r="D634">
        <f t="shared" si="540"/>
        <v>0.62024073917541778</v>
      </c>
      <c r="F634">
        <f t="shared" si="541"/>
        <v>1.5816115472874606E-6</v>
      </c>
      <c r="G634">
        <f t="shared" si="542"/>
        <v>2.5665452780816126E-4</v>
      </c>
      <c r="H634">
        <f t="shared" si="481"/>
        <v>-3.141335995472192</v>
      </c>
      <c r="J634">
        <f t="shared" si="482"/>
        <v>15</v>
      </c>
      <c r="M634">
        <f t="shared" si="543"/>
        <v>2.1564588410813909E-4</v>
      </c>
      <c r="N634">
        <f t="shared" si="484"/>
        <v>-1.5707963250000001</v>
      </c>
      <c r="O634">
        <f t="shared" si="544"/>
        <v>1139.0099869764983</v>
      </c>
      <c r="P634">
        <f t="shared" si="486"/>
        <v>1.5699183712546452</v>
      </c>
      <c r="Q634">
        <f t="shared" si="545"/>
        <v>990.06965875141987</v>
      </c>
      <c r="R634">
        <f t="shared" si="488"/>
        <v>1.5697862966811691</v>
      </c>
      <c r="S634">
        <f t="shared" si="546"/>
        <v>3.5707042520320399E-2</v>
      </c>
      <c r="T634">
        <f t="shared" si="490"/>
        <v>-1.5350816922136523</v>
      </c>
      <c r="U634">
        <f t="shared" si="547"/>
        <v>3.5242649717901441E-2</v>
      </c>
      <c r="V634">
        <f t="shared" si="492"/>
        <v>-1.5355463775073364</v>
      </c>
      <c r="X634">
        <f t="shared" si="548"/>
        <v>-100.99073832426244</v>
      </c>
      <c r="Y634">
        <f t="shared" si="549"/>
        <v>-230.49032055596095</v>
      </c>
      <c r="Z634">
        <f t="shared" si="510"/>
        <v>-50.490320555960949</v>
      </c>
      <c r="AC634">
        <v>1</v>
      </c>
      <c r="AD634">
        <f t="shared" si="550"/>
        <v>1139.0095479987001</v>
      </c>
      <c r="AE634">
        <f t="shared" si="551"/>
        <v>-4.9809992017873732</v>
      </c>
      <c r="AF634">
        <f t="shared" si="552"/>
        <v>0.17565272824680001</v>
      </c>
      <c r="AG634">
        <f t="shared" si="553"/>
        <v>7.8534483433022899</v>
      </c>
      <c r="AH634">
        <f t="shared" si="554"/>
        <v>-228.39394713470918</v>
      </c>
      <c r="AJ634">
        <f t="shared" si="497"/>
        <v>26400</v>
      </c>
      <c r="AK634">
        <f t="shared" si="555"/>
        <v>738878.46384844813</v>
      </c>
      <c r="AL634">
        <v>9</v>
      </c>
      <c r="AM634">
        <f t="shared" si="556"/>
        <v>990.06915373632</v>
      </c>
      <c r="AN634">
        <f t="shared" si="557"/>
        <v>746.4704598725607</v>
      </c>
      <c r="AO634">
        <f t="shared" si="558"/>
        <v>-19.879182971080319</v>
      </c>
      <c r="AQ634">
        <f t="shared" si="559"/>
        <v>7.4316289578505582E-5</v>
      </c>
      <c r="AR634">
        <f t="shared" si="560"/>
        <v>-0.86206895911066472</v>
      </c>
      <c r="AT634">
        <f t="shared" si="561"/>
        <v>-196.89074863445367</v>
      </c>
      <c r="AU634">
        <f t="shared" si="562"/>
        <v>-6.78718742945322</v>
      </c>
      <c r="AV634">
        <f t="shared" si="511"/>
        <v>-3.1071344529461462</v>
      </c>
      <c r="AW634">
        <f t="shared" si="512"/>
        <v>738.06845789126612</v>
      </c>
      <c r="AX634">
        <f t="shared" si="513"/>
        <v>-998.4370291060593</v>
      </c>
      <c r="AY634">
        <f t="shared" si="521"/>
        <v>-0.93422770652159903</v>
      </c>
      <c r="BA634">
        <f t="shared" si="502"/>
        <v>0.15866981255350679</v>
      </c>
      <c r="BB634">
        <f t="shared" si="514"/>
        <v>-15.990113826401291</v>
      </c>
      <c r="BC634">
        <f t="shared" si="515"/>
        <v>-2.1729067464245473</v>
      </c>
      <c r="BD634">
        <f t="shared" si="503"/>
        <v>-304.49838598789006</v>
      </c>
      <c r="BF634">
        <f t="shared" si="504"/>
        <v>-106.69598997306088</v>
      </c>
      <c r="BG634">
        <f t="shared" si="505"/>
        <v>-268.94650408920381</v>
      </c>
      <c r="BH634">
        <f t="shared" si="516"/>
        <v>-88.946504089203813</v>
      </c>
      <c r="BI634">
        <f t="shared" si="517"/>
        <v>-88.946504089203813</v>
      </c>
      <c r="BJ634">
        <f t="shared" si="506"/>
        <v>0</v>
      </c>
      <c r="BK634">
        <f t="shared" si="518"/>
        <v>0</v>
      </c>
      <c r="BM634">
        <f t="shared" si="519"/>
        <v>-90.705876146659591</v>
      </c>
      <c r="BN634">
        <f t="shared" si="507"/>
        <v>-144.44811810131378</v>
      </c>
      <c r="BQ634" s="56">
        <f t="shared" si="520"/>
        <v>0.91184697388384572</v>
      </c>
    </row>
    <row r="635" spans="1:69" x14ac:dyDescent="0.2">
      <c r="A635">
        <f t="shared" si="563"/>
        <v>5900000</v>
      </c>
      <c r="B635">
        <f t="shared" si="508"/>
        <v>5900</v>
      </c>
      <c r="C635">
        <f t="shared" si="539"/>
        <v>1.2360944401793676</v>
      </c>
      <c r="D635">
        <f t="shared" si="540"/>
        <v>0.6283479961163948</v>
      </c>
      <c r="F635">
        <f t="shared" si="541"/>
        <v>1.5284518724409867E-6</v>
      </c>
      <c r="G635">
        <f t="shared" si="542"/>
        <v>2.5230443783186187E-4</v>
      </c>
      <c r="H635">
        <f t="shared" si="481"/>
        <v>-3.1413403455621682</v>
      </c>
      <c r="J635">
        <f t="shared" si="482"/>
        <v>15</v>
      </c>
      <c r="M635">
        <f t="shared" si="543"/>
        <v>2.1199086912325536E-4</v>
      </c>
      <c r="N635">
        <f t="shared" si="484"/>
        <v>-1.5707963250000001</v>
      </c>
      <c r="O635">
        <f t="shared" si="544"/>
        <v>1158.6480751913496</v>
      </c>
      <c r="P635">
        <f t="shared" si="486"/>
        <v>1.569933251849569</v>
      </c>
      <c r="Q635">
        <f t="shared" si="545"/>
        <v>1007.1398080148862</v>
      </c>
      <c r="R635">
        <f t="shared" si="488"/>
        <v>1.5698034158242906</v>
      </c>
      <c r="S635">
        <f t="shared" si="546"/>
        <v>3.5102590558015137E-2</v>
      </c>
      <c r="T635">
        <f t="shared" si="490"/>
        <v>-1.5356865233823216</v>
      </c>
      <c r="U635">
        <f t="shared" si="547"/>
        <v>3.4646039852960768E-2</v>
      </c>
      <c r="V635">
        <f t="shared" si="492"/>
        <v>-1.536143351977427</v>
      </c>
      <c r="X635">
        <f t="shared" si="548"/>
        <v>-101.38508177110795</v>
      </c>
      <c r="Y635">
        <f t="shared" si="549"/>
        <v>-230.09308313211744</v>
      </c>
      <c r="Z635">
        <f t="shared" si="510"/>
        <v>-50.093083132117442</v>
      </c>
      <c r="AC635">
        <v>1</v>
      </c>
      <c r="AD635">
        <f t="shared" si="550"/>
        <v>1158.6476436538501</v>
      </c>
      <c r="AE635">
        <f t="shared" si="551"/>
        <v>-5.154238472479741</v>
      </c>
      <c r="AF635">
        <f t="shared" si="552"/>
        <v>0.17868122356140001</v>
      </c>
      <c r="AG635">
        <f t="shared" si="553"/>
        <v>7.5898026919989956</v>
      </c>
      <c r="AH635">
        <f t="shared" si="554"/>
        <v>-224.53200304980709</v>
      </c>
      <c r="AJ635">
        <f t="shared" si="497"/>
        <v>26400</v>
      </c>
      <c r="AK635">
        <f t="shared" si="555"/>
        <v>751617.74770790408</v>
      </c>
      <c r="AL635">
        <v>10</v>
      </c>
      <c r="AM635">
        <f t="shared" si="556"/>
        <v>1007.1393115593601</v>
      </c>
      <c r="AN635">
        <f t="shared" si="557"/>
        <v>746.47642999679852</v>
      </c>
      <c r="AO635">
        <f t="shared" si="558"/>
        <v>-18.80100943603767</v>
      </c>
      <c r="AQ635">
        <f t="shared" si="559"/>
        <v>7.1818442460367399E-5</v>
      </c>
      <c r="AR635">
        <f t="shared" si="560"/>
        <v>-0.84745762103233535</v>
      </c>
      <c r="AT635">
        <f t="shared" si="561"/>
        <v>-190.28081206240665</v>
      </c>
      <c r="AU635">
        <f t="shared" si="562"/>
        <v>-6.448161672207827</v>
      </c>
      <c r="AV635">
        <f t="shared" si="511"/>
        <v>-3.1077180079551421</v>
      </c>
      <c r="AW635">
        <f t="shared" si="512"/>
        <v>739.08939755233212</v>
      </c>
      <c r="AX635">
        <f t="shared" si="513"/>
        <v>-980.78559227228175</v>
      </c>
      <c r="AY635">
        <f t="shared" si="521"/>
        <v>-0.92501511164898087</v>
      </c>
      <c r="BA635">
        <f t="shared" si="502"/>
        <v>0.15502997745896421</v>
      </c>
      <c r="BB635">
        <f t="shared" si="514"/>
        <v>-16.191686322244362</v>
      </c>
      <c r="BC635">
        <f t="shared" si="515"/>
        <v>-2.1827028963061612</v>
      </c>
      <c r="BD635">
        <f t="shared" si="503"/>
        <v>-305.0596640322255</v>
      </c>
      <c r="BF635">
        <f t="shared" si="504"/>
        <v>-107.14379271458574</v>
      </c>
      <c r="BG635">
        <f t="shared" si="505"/>
        <v>-269.04351976865883</v>
      </c>
      <c r="BH635">
        <f t="shared" si="516"/>
        <v>-89.043519768658825</v>
      </c>
      <c r="BI635">
        <f t="shared" si="517"/>
        <v>-89.043519768658825</v>
      </c>
      <c r="BJ635">
        <f t="shared" si="506"/>
        <v>0</v>
      </c>
      <c r="BK635">
        <f t="shared" si="518"/>
        <v>0</v>
      </c>
      <c r="BM635">
        <f t="shared" si="519"/>
        <v>-90.952106392341378</v>
      </c>
      <c r="BN635">
        <f t="shared" si="507"/>
        <v>-143.9838557364333</v>
      </c>
      <c r="BQ635" s="56">
        <f t="shared" si="520"/>
        <v>0.7102744780407737</v>
      </c>
    </row>
    <row r="636" spans="1:69" x14ac:dyDescent="0.2">
      <c r="A636">
        <f t="shared" si="563"/>
        <v>6000000</v>
      </c>
      <c r="B636">
        <f t="shared" si="508"/>
        <v>6000</v>
      </c>
      <c r="C636">
        <f t="shared" si="539"/>
        <v>1.2433732502351411</v>
      </c>
      <c r="D636">
        <f t="shared" si="540"/>
        <v>0.63636085351406069</v>
      </c>
      <c r="F636">
        <f t="shared" si="541"/>
        <v>1.4779279734996569E-6</v>
      </c>
      <c r="G636">
        <f t="shared" si="542"/>
        <v>2.4809935149999751E-4</v>
      </c>
      <c r="H636">
        <f t="shared" si="481"/>
        <v>-3.1413445506485003</v>
      </c>
      <c r="J636">
        <f t="shared" si="482"/>
        <v>15</v>
      </c>
      <c r="M636">
        <f t="shared" si="543"/>
        <v>2.0845768797120111E-4</v>
      </c>
      <c r="N636">
        <f t="shared" si="484"/>
        <v>-1.5707963250000001</v>
      </c>
      <c r="O636">
        <f t="shared" si="544"/>
        <v>1178.2861636542104</v>
      </c>
      <c r="P636">
        <f t="shared" si="486"/>
        <v>1.5699476364250253</v>
      </c>
      <c r="Q636">
        <f t="shared" si="545"/>
        <v>1024.2099575636714</v>
      </c>
      <c r="R636">
        <f t="shared" si="488"/>
        <v>1.5698199643298612</v>
      </c>
      <c r="S636">
        <f t="shared" si="546"/>
        <v>3.4518250366951525E-2</v>
      </c>
      <c r="T636">
        <f t="shared" si="490"/>
        <v>-1.5362712179454356</v>
      </c>
      <c r="U636">
        <f t="shared" si="547"/>
        <v>3.4069281765536683E-2</v>
      </c>
      <c r="V636">
        <f t="shared" si="492"/>
        <v>-1.5367204507912802</v>
      </c>
      <c r="X636">
        <f t="shared" si="548"/>
        <v>-101.77169022012761</v>
      </c>
      <c r="Y636">
        <f t="shared" si="549"/>
        <v>-229.69901467681635</v>
      </c>
      <c r="Z636">
        <f t="shared" si="510"/>
        <v>-49.699014676816347</v>
      </c>
      <c r="AC636">
        <v>1</v>
      </c>
      <c r="AD636">
        <f t="shared" si="550"/>
        <v>1178.2857393090001</v>
      </c>
      <c r="AE636">
        <f t="shared" si="551"/>
        <v>-5.3304390982266785</v>
      </c>
      <c r="AF636">
        <f t="shared" si="552"/>
        <v>0.18170971887599999</v>
      </c>
      <c r="AG636">
        <f t="shared" si="553"/>
        <v>7.3392087538493156</v>
      </c>
      <c r="AH636">
        <f t="shared" si="554"/>
        <v>-220.79834551362049</v>
      </c>
      <c r="AJ636">
        <f t="shared" si="497"/>
        <v>26400</v>
      </c>
      <c r="AK636">
        <f t="shared" si="555"/>
        <v>764357.03156736004</v>
      </c>
      <c r="AL636">
        <v>11</v>
      </c>
      <c r="AM636">
        <f t="shared" si="556"/>
        <v>1024.2094693824001</v>
      </c>
      <c r="AN636">
        <f t="shared" si="557"/>
        <v>746.4804818217342</v>
      </c>
      <c r="AO636">
        <f t="shared" si="558"/>
        <v>-17.758783963331982</v>
      </c>
      <c r="AQ636">
        <f t="shared" si="559"/>
        <v>6.9444443962191359E-5</v>
      </c>
      <c r="AR636">
        <f t="shared" si="560"/>
        <v>-0.8333333275462963</v>
      </c>
      <c r="AT636">
        <f t="shared" si="561"/>
        <v>-183.99811031631117</v>
      </c>
      <c r="AU636">
        <f t="shared" si="562"/>
        <v>-6.1313404707341217</v>
      </c>
      <c r="AV636">
        <f t="shared" si="511"/>
        <v>-3.1082821346229075</v>
      </c>
      <c r="AW636">
        <f t="shared" si="512"/>
        <v>740.04595919506198</v>
      </c>
      <c r="AX636">
        <f t="shared" si="513"/>
        <v>-963.72042082018015</v>
      </c>
      <c r="AY636">
        <f t="shared" si="521"/>
        <v>-0.91593400280625059</v>
      </c>
      <c r="BA636">
        <f t="shared" si="502"/>
        <v>0.15151256348820263</v>
      </c>
      <c r="BB636">
        <f t="shared" si="514"/>
        <v>-16.391027075593108</v>
      </c>
      <c r="BC636">
        <f t="shared" si="515"/>
        <v>-2.1923481318166571</v>
      </c>
      <c r="BD636">
        <f t="shared" si="503"/>
        <v>-305.61229532001812</v>
      </c>
      <c r="BF636">
        <f t="shared" si="504"/>
        <v>-107.58410611235146</v>
      </c>
      <c r="BG636">
        <f t="shared" si="505"/>
        <v>-269.13728907889993</v>
      </c>
      <c r="BH636">
        <f t="shared" si="516"/>
        <v>-89.137289078899926</v>
      </c>
      <c r="BI636">
        <f t="shared" si="517"/>
        <v>-89.137289078899926</v>
      </c>
      <c r="BJ636">
        <f t="shared" si="506"/>
        <v>0</v>
      </c>
      <c r="BK636">
        <f t="shared" si="518"/>
        <v>0</v>
      </c>
      <c r="BM636">
        <f t="shared" si="519"/>
        <v>-91.193079036758334</v>
      </c>
      <c r="BN636">
        <f t="shared" si="507"/>
        <v>-143.52499375888186</v>
      </c>
      <c r="BQ636" s="56">
        <f t="shared" si="520"/>
        <v>0.51093372469202714</v>
      </c>
    </row>
    <row r="637" spans="1:69" x14ac:dyDescent="0.2">
      <c r="A637">
        <f t="shared" si="563"/>
        <v>6100000</v>
      </c>
      <c r="B637">
        <f t="shared" si="508"/>
        <v>6100</v>
      </c>
      <c r="C637">
        <f t="shared" si="539"/>
        <v>1.2507309600132628</v>
      </c>
      <c r="D637">
        <f t="shared" si="540"/>
        <v>0.64427993949630646</v>
      </c>
      <c r="F637">
        <f t="shared" si="541"/>
        <v>1.4298684369998797E-6</v>
      </c>
      <c r="G637">
        <f t="shared" si="542"/>
        <v>2.440321374445191E-4</v>
      </c>
      <c r="H637">
        <f t="shared" si="481"/>
        <v>-3.1413486178625556</v>
      </c>
      <c r="J637">
        <f t="shared" si="482"/>
        <v>15</v>
      </c>
      <c r="M637">
        <f t="shared" si="543"/>
        <v>2.0504034882413226E-4</v>
      </c>
      <c r="N637">
        <f t="shared" si="484"/>
        <v>-1.5707963250000001</v>
      </c>
      <c r="O637">
        <f t="shared" si="544"/>
        <v>1197.9242523528842</v>
      </c>
      <c r="P637">
        <f t="shared" si="486"/>
        <v>1.5699615493753911</v>
      </c>
      <c r="Q637">
        <f t="shared" si="545"/>
        <v>1041.2801073837434</v>
      </c>
      <c r="R637">
        <f t="shared" si="488"/>
        <v>1.5698359702619877</v>
      </c>
      <c r="S637">
        <f t="shared" si="546"/>
        <v>3.3953035183148121E-2</v>
      </c>
      <c r="T637">
        <f t="shared" si="490"/>
        <v>-1.536836764666756</v>
      </c>
      <c r="U637">
        <f t="shared" si="547"/>
        <v>3.3511401388278871E-2</v>
      </c>
      <c r="V637">
        <f t="shared" si="492"/>
        <v>-1.5372786499391382</v>
      </c>
      <c r="X637">
        <f t="shared" si="548"/>
        <v>-102.15082613441119</v>
      </c>
      <c r="Y637">
        <f t="shared" si="549"/>
        <v>-229.3081891760402</v>
      </c>
      <c r="Z637">
        <f t="shared" si="510"/>
        <v>-49.308189176040202</v>
      </c>
      <c r="AC637">
        <v>1</v>
      </c>
      <c r="AD637">
        <f t="shared" si="550"/>
        <v>1197.92383496415</v>
      </c>
      <c r="AE637">
        <f t="shared" si="551"/>
        <v>-5.5096010790281866</v>
      </c>
      <c r="AF637">
        <f t="shared" si="552"/>
        <v>0.18473821419059999</v>
      </c>
      <c r="AG637">
        <f t="shared" si="553"/>
        <v>7.1008193496408722</v>
      </c>
      <c r="AH637">
        <f t="shared" si="554"/>
        <v>-217.18669375773976</v>
      </c>
      <c r="AJ637">
        <f t="shared" si="497"/>
        <v>26400</v>
      </c>
      <c r="AK637">
        <f t="shared" si="555"/>
        <v>777096.31542681612</v>
      </c>
      <c r="AL637">
        <v>12</v>
      </c>
      <c r="AM637">
        <f t="shared" si="556"/>
        <v>1041.2796272054402</v>
      </c>
      <c r="AN637">
        <f t="shared" si="557"/>
        <v>746.48279292475559</v>
      </c>
      <c r="AO637">
        <f t="shared" si="558"/>
        <v>-16.750742095774871</v>
      </c>
      <c r="AQ637">
        <f t="shared" si="559"/>
        <v>6.7186239806596079E-5</v>
      </c>
      <c r="AR637">
        <f t="shared" si="560"/>
        <v>-0.81967212564047209</v>
      </c>
      <c r="AT637">
        <f t="shared" si="561"/>
        <v>-178.02140185588115</v>
      </c>
      <c r="AU637">
        <f t="shared" si="562"/>
        <v>-5.8349356473987379</v>
      </c>
      <c r="AV637">
        <f t="shared" si="511"/>
        <v>-3.1088277869406089</v>
      </c>
      <c r="AW637">
        <f t="shared" si="512"/>
        <v>740.94277499563691</v>
      </c>
      <c r="AX637">
        <f t="shared" si="513"/>
        <v>-947.2128699885393</v>
      </c>
      <c r="AY637">
        <f t="shared" si="521"/>
        <v>-0.90698214488791418</v>
      </c>
      <c r="BA637">
        <f t="shared" si="502"/>
        <v>0.14811189259258847</v>
      </c>
      <c r="BB637">
        <f t="shared" si="514"/>
        <v>-16.588201371105239</v>
      </c>
      <c r="BC637">
        <f t="shared" si="515"/>
        <v>-2.2018456420526946</v>
      </c>
      <c r="BD637">
        <f t="shared" si="503"/>
        <v>-306.15646257304712</v>
      </c>
      <c r="BF637">
        <f t="shared" si="504"/>
        <v>-108.01717659146445</v>
      </c>
      <c r="BG637">
        <f t="shared" si="505"/>
        <v>-269.22795916122658</v>
      </c>
      <c r="BH637">
        <f t="shared" si="516"/>
        <v>-89.227959161226579</v>
      </c>
      <c r="BI637">
        <f t="shared" si="517"/>
        <v>-89.227959161226579</v>
      </c>
      <c r="BJ637">
        <f t="shared" si="506"/>
        <v>0</v>
      </c>
      <c r="BK637">
        <f t="shared" si="518"/>
        <v>0</v>
      </c>
      <c r="BM637">
        <f t="shared" si="519"/>
        <v>-91.428975220359206</v>
      </c>
      <c r="BN637">
        <f t="shared" si="507"/>
        <v>-143.07149658817951</v>
      </c>
      <c r="BQ637" s="56">
        <f t="shared" si="520"/>
        <v>0.3137594291798993</v>
      </c>
    </row>
    <row r="638" spans="1:69" x14ac:dyDescent="0.2">
      <c r="A638">
        <f t="shared" si="563"/>
        <v>6200000</v>
      </c>
      <c r="B638">
        <f t="shared" si="508"/>
        <v>6200</v>
      </c>
      <c r="C638">
        <f t="shared" si="539"/>
        <v>1.258166185306433</v>
      </c>
      <c r="D638">
        <f t="shared" si="540"/>
        <v>0.6521059146224546</v>
      </c>
      <c r="F638">
        <f t="shared" si="541"/>
        <v>1.3841155607644061E-6</v>
      </c>
      <c r="G638">
        <f t="shared" si="542"/>
        <v>2.4009612438888743E-4</v>
      </c>
      <c r="H638">
        <f t="shared" si="481"/>
        <v>-3.1413525538756115</v>
      </c>
      <c r="J638">
        <f t="shared" si="482"/>
        <v>15</v>
      </c>
      <c r="M638">
        <f t="shared" si="543"/>
        <v>2.0173324642374304E-4</v>
      </c>
      <c r="N638">
        <f t="shared" si="484"/>
        <v>-1.5707963250000001</v>
      </c>
      <c r="O638">
        <f t="shared" si="544"/>
        <v>1217.5623412759601</v>
      </c>
      <c r="P638">
        <f t="shared" si="486"/>
        <v>1.569975013521214</v>
      </c>
      <c r="Q638">
        <f t="shared" si="545"/>
        <v>1058.3502574619756</v>
      </c>
      <c r="R638">
        <f t="shared" si="488"/>
        <v>1.5698514598741915</v>
      </c>
      <c r="S638">
        <f t="shared" si="546"/>
        <v>3.3406021721013417E-2</v>
      </c>
      <c r="T638">
        <f t="shared" si="490"/>
        <v>-1.5373840886415222</v>
      </c>
      <c r="U638">
        <f t="shared" si="547"/>
        <v>3.297148732014811E-2</v>
      </c>
      <c r="V638">
        <f t="shared" si="492"/>
        <v>-1.5378188625621039</v>
      </c>
      <c r="X638">
        <f t="shared" si="548"/>
        <v>-102.52273958154667</v>
      </c>
      <c r="Y638">
        <f t="shared" si="549"/>
        <v>-228.92067167621107</v>
      </c>
      <c r="Z638">
        <f t="shared" si="510"/>
        <v>-48.920671676211072</v>
      </c>
      <c r="AC638">
        <v>1</v>
      </c>
      <c r="AD638">
        <f t="shared" si="550"/>
        <v>1217.5619306193</v>
      </c>
      <c r="AE638">
        <f t="shared" si="551"/>
        <v>-5.6917244148842627</v>
      </c>
      <c r="AF638">
        <f t="shared" si="552"/>
        <v>0.1877667095052</v>
      </c>
      <c r="AG638">
        <f t="shared" si="553"/>
        <v>6.873854914301611</v>
      </c>
      <c r="AH638">
        <f t="shared" si="554"/>
        <v>-213.69116999406893</v>
      </c>
      <c r="AJ638">
        <f t="shared" si="497"/>
        <v>26400</v>
      </c>
      <c r="AK638">
        <f t="shared" si="555"/>
        <v>789835.59928627207</v>
      </c>
      <c r="AL638">
        <v>13</v>
      </c>
      <c r="AM638">
        <f t="shared" si="556"/>
        <v>1058.3497850284803</v>
      </c>
      <c r="AN638">
        <f t="shared" si="557"/>
        <v>746.48352415049305</v>
      </c>
      <c r="AO638">
        <f t="shared" si="558"/>
        <v>-15.775232746510463</v>
      </c>
      <c r="AQ638">
        <f t="shared" si="559"/>
        <v>6.5036419972447842E-5</v>
      </c>
      <c r="AR638">
        <f t="shared" si="560"/>
        <v>-0.80645160765835322</v>
      </c>
      <c r="AT638">
        <f t="shared" si="561"/>
        <v>-172.3311405331963</v>
      </c>
      <c r="AU638">
        <f t="shared" si="562"/>
        <v>-5.5573290551249439</v>
      </c>
      <c r="AV638">
        <f t="shared" si="511"/>
        <v>-3.1093558574695672</v>
      </c>
      <c r="AW638">
        <f t="shared" si="512"/>
        <v>741.78408555766362</v>
      </c>
      <c r="AX638">
        <f t="shared" si="513"/>
        <v>-931.23612579572568</v>
      </c>
      <c r="AY638">
        <f t="shared" si="521"/>
        <v>-0.89815736352030906</v>
      </c>
      <c r="BA638">
        <f t="shared" si="502"/>
        <v>0.14482263810910806</v>
      </c>
      <c r="BB638">
        <f t="shared" si="514"/>
        <v>-16.783270912306833</v>
      </c>
      <c r="BC638">
        <f t="shared" si="515"/>
        <v>-2.2111984939492579</v>
      </c>
      <c r="BD638">
        <f t="shared" si="503"/>
        <v>-306.69234151374349</v>
      </c>
      <c r="BF638">
        <f t="shared" si="504"/>
        <v>-108.44323853094298</v>
      </c>
      <c r="BG638">
        <f t="shared" si="505"/>
        <v>-269.31566827304442</v>
      </c>
      <c r="BH638">
        <f t="shared" si="516"/>
        <v>-89.315668273044423</v>
      </c>
      <c r="BI638">
        <f t="shared" si="517"/>
        <v>-89.315668273044423</v>
      </c>
      <c r="BJ638">
        <f t="shared" si="506"/>
        <v>0</v>
      </c>
      <c r="BK638">
        <f t="shared" si="518"/>
        <v>0</v>
      </c>
      <c r="BM638">
        <f t="shared" si="519"/>
        <v>-91.659967618636159</v>
      </c>
      <c r="BN638">
        <f t="shared" si="507"/>
        <v>-142.62332675930094</v>
      </c>
      <c r="BQ638" s="56">
        <f t="shared" si="520"/>
        <v>0.11868988797830658</v>
      </c>
    </row>
    <row r="639" spans="1:69" x14ac:dyDescent="0.2">
      <c r="A639">
        <f t="shared" si="563"/>
        <v>6300000</v>
      </c>
      <c r="B639">
        <f t="shared" si="508"/>
        <v>6300</v>
      </c>
      <c r="C639">
        <f t="shared" si="539"/>
        <v>1.2656775600202563</v>
      </c>
      <c r="D639">
        <f t="shared" si="540"/>
        <v>0.65983946963347695</v>
      </c>
      <c r="F639">
        <f t="shared" si="541"/>
        <v>1.3405240585404125E-6</v>
      </c>
      <c r="G639">
        <f t="shared" si="542"/>
        <v>2.3628506463257138E-4</v>
      </c>
      <c r="H639">
        <f t="shared" si="481"/>
        <v>-3.1413563649353677</v>
      </c>
      <c r="J639">
        <f t="shared" si="482"/>
        <v>15</v>
      </c>
      <c r="M639">
        <f t="shared" si="543"/>
        <v>1.9853113140114393E-4</v>
      </c>
      <c r="N639">
        <f t="shared" si="484"/>
        <v>-1.5707963250000001</v>
      </c>
      <c r="O639">
        <f t="shared" si="544"/>
        <v>1237.2004304127527</v>
      </c>
      <c r="P639">
        <f t="shared" si="486"/>
        <v>1.5699880502341201</v>
      </c>
      <c r="Q639">
        <f t="shared" si="545"/>
        <v>1075.4204077860745</v>
      </c>
      <c r="R639">
        <f t="shared" si="488"/>
        <v>1.5698664577531067</v>
      </c>
      <c r="S639">
        <f t="shared" si="546"/>
        <v>3.2876345152433858E-2</v>
      </c>
      <c r="T639">
        <f t="shared" si="490"/>
        <v>-1.5379140563381208</v>
      </c>
      <c r="U639">
        <f t="shared" si="547"/>
        <v>3.2448685869300824E-2</v>
      </c>
      <c r="V639">
        <f t="shared" si="492"/>
        <v>-1.5383419439292159</v>
      </c>
      <c r="X639">
        <f t="shared" si="548"/>
        <v>-102.88766899876558</v>
      </c>
      <c r="Y639">
        <f t="shared" si="549"/>
        <v>-228.53651897382684</v>
      </c>
      <c r="Z639">
        <f t="shared" si="510"/>
        <v>-48.536518973826844</v>
      </c>
      <c r="AC639">
        <v>1</v>
      </c>
      <c r="AD639">
        <f t="shared" si="550"/>
        <v>1237.20002627445</v>
      </c>
      <c r="AE639">
        <f t="shared" si="551"/>
        <v>-5.8768091057949121</v>
      </c>
      <c r="AF639">
        <f t="shared" si="552"/>
        <v>0.1907952048198</v>
      </c>
      <c r="AG639">
        <f t="shared" si="553"/>
        <v>6.6575971253707902</v>
      </c>
      <c r="AH639">
        <f t="shared" si="554"/>
        <v>-210.30626763911744</v>
      </c>
      <c r="AJ639">
        <f t="shared" si="497"/>
        <v>26400</v>
      </c>
      <c r="AK639">
        <f t="shared" si="555"/>
        <v>802574.88314572803</v>
      </c>
      <c r="AL639">
        <v>14</v>
      </c>
      <c r="AM639">
        <f t="shared" si="556"/>
        <v>1075.4199428515201</v>
      </c>
      <c r="AN639">
        <f t="shared" si="557"/>
        <v>746.48282134949886</v>
      </c>
      <c r="AO639">
        <f t="shared" si="558"/>
        <v>-14.830709256531874</v>
      </c>
      <c r="AQ639">
        <f t="shared" si="559"/>
        <v>6.2988157829502655E-5</v>
      </c>
      <c r="AR639">
        <f t="shared" si="560"/>
        <v>-0.79365078865173355</v>
      </c>
      <c r="AT639">
        <f t="shared" si="561"/>
        <v>-166.9093158204096</v>
      </c>
      <c r="AU639">
        <f t="shared" si="562"/>
        <v>-5.2970540134546287</v>
      </c>
      <c r="AV639">
        <f t="shared" si="511"/>
        <v>-3.1098671822056905</v>
      </c>
      <c r="AW639">
        <f t="shared" si="512"/>
        <v>742.57377818953489</v>
      </c>
      <c r="AX639">
        <f t="shared" si="513"/>
        <v>-915.76506149748354</v>
      </c>
      <c r="AY639">
        <f t="shared" si="521"/>
        <v>-0.88945754012937805</v>
      </c>
      <c r="BA639">
        <f t="shared" si="502"/>
        <v>0.14163979709100469</v>
      </c>
      <c r="BB639">
        <f t="shared" si="514"/>
        <v>-16.976294081418903</v>
      </c>
      <c r="BC639">
        <f t="shared" si="515"/>
        <v>-2.2204096420763122</v>
      </c>
      <c r="BD639">
        <f t="shared" si="503"/>
        <v>-307.22010142649657</v>
      </c>
      <c r="BF639">
        <f t="shared" si="504"/>
        <v>-108.86251503997181</v>
      </c>
      <c r="BG639">
        <f t="shared" si="505"/>
        <v>-269.40054648016712</v>
      </c>
      <c r="BH639">
        <f t="shared" si="516"/>
        <v>-89.400546480167122</v>
      </c>
      <c r="BI639">
        <f t="shared" si="517"/>
        <v>-89.400546480167122</v>
      </c>
      <c r="BJ639">
        <f t="shared" si="506"/>
        <v>0</v>
      </c>
      <c r="BK639">
        <f t="shared" si="518"/>
        <v>0</v>
      </c>
      <c r="BM639">
        <f t="shared" si="519"/>
        <v>-91.886220958552926</v>
      </c>
      <c r="BN639">
        <f t="shared" si="507"/>
        <v>-142.18044505367058</v>
      </c>
      <c r="BQ639" s="56">
        <f t="shared" si="520"/>
        <v>-7.4333281133766388E-2</v>
      </c>
    </row>
    <row r="640" spans="1:69" x14ac:dyDescent="0.2">
      <c r="A640">
        <f t="shared" si="563"/>
        <v>6400000</v>
      </c>
      <c r="B640">
        <f t="shared" si="508"/>
        <v>6400</v>
      </c>
      <c r="C640">
        <f t="shared" si="539"/>
        <v>1.2732637364688284</v>
      </c>
      <c r="D640">
        <f t="shared" si="540"/>
        <v>0.66748132327455056</v>
      </c>
      <c r="F640">
        <f t="shared" si="541"/>
        <v>1.2989599051961604E-6</v>
      </c>
      <c r="G640">
        <f t="shared" si="542"/>
        <v>2.3259310095890732E-4</v>
      </c>
      <c r="H640">
        <f t="shared" si="481"/>
        <v>-3.1413600568990412</v>
      </c>
      <c r="J640">
        <f t="shared" si="482"/>
        <v>15</v>
      </c>
      <c r="M640">
        <f t="shared" si="543"/>
        <v>1.9542908247300103E-4</v>
      </c>
      <c r="N640">
        <f t="shared" si="484"/>
        <v>-1.5707963250000001</v>
      </c>
      <c r="O640">
        <f t="shared" si="544"/>
        <v>1256.8385197532436</v>
      </c>
      <c r="P640">
        <f t="shared" si="486"/>
        <v>1.5700006795500099</v>
      </c>
      <c r="Q640">
        <f t="shared" si="545"/>
        <v>1092.4905583445152</v>
      </c>
      <c r="R640">
        <f t="shared" si="488"/>
        <v>1.5698809869487047</v>
      </c>
      <c r="S640">
        <f t="shared" si="546"/>
        <v>3.236319455475458E-2</v>
      </c>
      <c r="T640">
        <f t="shared" si="490"/>
        <v>-1.5384274801683109</v>
      </c>
      <c r="U640">
        <f t="shared" si="547"/>
        <v>3.194219655895502E-2</v>
      </c>
      <c r="V640">
        <f t="shared" si="492"/>
        <v>-1.5388486959490917</v>
      </c>
      <c r="X640">
        <f t="shared" si="548"/>
        <v>-103.24584189889973</v>
      </c>
      <c r="Y640">
        <f t="shared" si="549"/>
        <v>-228.15578024852206</v>
      </c>
      <c r="Z640">
        <f t="shared" si="510"/>
        <v>-48.155780248522063</v>
      </c>
      <c r="AC640">
        <v>1</v>
      </c>
      <c r="AD640">
        <f t="shared" si="550"/>
        <v>1256.8381219296</v>
      </c>
      <c r="AE640">
        <f t="shared" si="551"/>
        <v>-6.0648551517601312</v>
      </c>
      <c r="AF640">
        <f t="shared" si="552"/>
        <v>0.19382370013440001</v>
      </c>
      <c r="AG640">
        <f t="shared" si="553"/>
        <v>6.4513832208735371</v>
      </c>
      <c r="AH640">
        <f t="shared" si="554"/>
        <v>-207.0268224952332</v>
      </c>
      <c r="AJ640">
        <f t="shared" si="497"/>
        <v>26400</v>
      </c>
      <c r="AK640">
        <f t="shared" si="555"/>
        <v>815314.16700518399</v>
      </c>
      <c r="AL640">
        <v>15</v>
      </c>
      <c r="AM640">
        <f t="shared" si="556"/>
        <v>1092.4901006745602</v>
      </c>
      <c r="AN640">
        <f t="shared" si="557"/>
        <v>746.48081691623042</v>
      </c>
      <c r="AO640">
        <f t="shared" si="558"/>
        <v>-13.915721283762254</v>
      </c>
      <c r="AQ640">
        <f t="shared" si="559"/>
        <v>6.1035155877470973E-5</v>
      </c>
      <c r="AR640">
        <f t="shared" si="560"/>
        <v>-0.78124999523162841</v>
      </c>
      <c r="AT640">
        <f t="shared" si="561"/>
        <v>-161.73931032603963</v>
      </c>
      <c r="AU640">
        <f t="shared" si="562"/>
        <v>-5.0527790249266724</v>
      </c>
      <c r="AV640">
        <f t="shared" si="511"/>
        <v>-3.1103625449890338</v>
      </c>
      <c r="AW640">
        <f t="shared" si="512"/>
        <v>743.31542093407177</v>
      </c>
      <c r="AX640">
        <f t="shared" si="513"/>
        <v>-900.7761073026511</v>
      </c>
      <c r="AY640">
        <f t="shared" si="521"/>
        <v>-0.88088060762399578</v>
      </c>
      <c r="BA640">
        <f t="shared" si="502"/>
        <v>0.138558665261342</v>
      </c>
      <c r="BB640">
        <f t="shared" si="514"/>
        <v>-17.167326177496744</v>
      </c>
      <c r="BC640">
        <f t="shared" si="515"/>
        <v>-2.2294819373650379</v>
      </c>
      <c r="BD640">
        <f t="shared" si="503"/>
        <v>-307.73990565763097</v>
      </c>
      <c r="BF640">
        <f t="shared" si="504"/>
        <v>-109.2752186726038</v>
      </c>
      <c r="BG640">
        <f t="shared" si="505"/>
        <v>-269.48271628344787</v>
      </c>
      <c r="BH640">
        <f t="shared" si="516"/>
        <v>-89.482716283447871</v>
      </c>
      <c r="BI640">
        <f t="shared" si="517"/>
        <v>-89.482716283447871</v>
      </c>
      <c r="BJ640">
        <f t="shared" si="506"/>
        <v>0</v>
      </c>
      <c r="BK640">
        <f t="shared" si="518"/>
        <v>0</v>
      </c>
      <c r="BM640">
        <f t="shared" si="519"/>
        <v>-92.107892495107052</v>
      </c>
      <c r="BN640">
        <f t="shared" si="507"/>
        <v>-141.7428106258169</v>
      </c>
      <c r="BQ640" s="56">
        <f t="shared" si="520"/>
        <v>-0.2653653772116068</v>
      </c>
    </row>
    <row r="641" spans="1:69" x14ac:dyDescent="0.2">
      <c r="A641">
        <f t="shared" si="563"/>
        <v>6500000</v>
      </c>
      <c r="B641">
        <f t="shared" si="508"/>
        <v>6500</v>
      </c>
      <c r="C641">
        <f t="shared" si="539"/>
        <v>1.2809233856291873</v>
      </c>
      <c r="D641">
        <f t="shared" si="540"/>
        <v>0.67503222019106146</v>
      </c>
      <c r="F641">
        <f t="shared" si="541"/>
        <v>1.2592993053119037E-6</v>
      </c>
      <c r="G641">
        <f t="shared" si="542"/>
        <v>2.2901473659764566E-4</v>
      </c>
      <c r="H641">
        <f t="shared" si="481"/>
        <v>-3.1413636352634025</v>
      </c>
      <c r="J641">
        <f t="shared" si="482"/>
        <v>15</v>
      </c>
      <c r="M641">
        <f t="shared" si="543"/>
        <v>1.9242248120418564E-4</v>
      </c>
      <c r="N641">
        <f t="shared" si="484"/>
        <v>-1.5707963250000001</v>
      </c>
      <c r="O641">
        <f t="shared" si="544"/>
        <v>1276.4766092880318</v>
      </c>
      <c r="P641">
        <f t="shared" si="486"/>
        <v>1.5700129202718069</v>
      </c>
      <c r="Q641">
        <f t="shared" si="545"/>
        <v>1109.5607091264817</v>
      </c>
      <c r="R641">
        <f t="shared" si="488"/>
        <v>1.5698950690924993</v>
      </c>
      <c r="S641">
        <f t="shared" si="546"/>
        <v>3.1865808777374785E-2</v>
      </c>
      <c r="T641">
        <f t="shared" si="490"/>
        <v>-1.5389251226366332</v>
      </c>
      <c r="U641">
        <f t="shared" si="547"/>
        <v>3.1451268046587925E-2</v>
      </c>
      <c r="V641">
        <f t="shared" si="492"/>
        <v>-1.5393398712661188</v>
      </c>
      <c r="X641">
        <f t="shared" si="548"/>
        <v>-103.59747552264041</v>
      </c>
      <c r="Y641">
        <f t="shared" si="549"/>
        <v>-227.77849764511691</v>
      </c>
      <c r="Z641">
        <f t="shared" si="510"/>
        <v>-47.778497645116914</v>
      </c>
      <c r="AC641">
        <v>1</v>
      </c>
      <c r="AD641">
        <f t="shared" si="550"/>
        <v>1276.47621758475</v>
      </c>
      <c r="AE641">
        <f t="shared" si="551"/>
        <v>-6.255862552779921</v>
      </c>
      <c r="AF641">
        <f t="shared" si="552"/>
        <v>0.19685219544899998</v>
      </c>
      <c r="AG641">
        <f t="shared" si="553"/>
        <v>6.2546009226755261</v>
      </c>
      <c r="AH641">
        <f t="shared" si="554"/>
        <v>-203.84798657297586</v>
      </c>
      <c r="AJ641">
        <f t="shared" si="497"/>
        <v>26400</v>
      </c>
      <c r="AK641">
        <f t="shared" si="555"/>
        <v>828053.45086463995</v>
      </c>
      <c r="AL641">
        <v>16</v>
      </c>
      <c r="AM641">
        <f t="shared" si="556"/>
        <v>1109.5602584976002</v>
      </c>
      <c r="AN641">
        <f t="shared" si="557"/>
        <v>746.47763115192004</v>
      </c>
      <c r="AO641">
        <f t="shared" si="558"/>
        <v>-13.028907435044498</v>
      </c>
      <c r="AQ641">
        <f t="shared" si="559"/>
        <v>5.9171597283008303E-5</v>
      </c>
      <c r="AR641">
        <f t="shared" si="560"/>
        <v>-0.76923076467910789</v>
      </c>
      <c r="AT641">
        <f t="shared" si="561"/>
        <v>-156.80577249509977</v>
      </c>
      <c r="AU641">
        <f t="shared" si="562"/>
        <v>-4.8232934614807972</v>
      </c>
      <c r="AV641">
        <f t="shared" si="511"/>
        <v>-3.1108426815073336</v>
      </c>
      <c r="AW641">
        <f t="shared" si="512"/>
        <v>744.01229287709918</v>
      </c>
      <c r="AX641">
        <f t="shared" si="513"/>
        <v>-886.24713194396725</v>
      </c>
      <c r="AY641">
        <f t="shared" si="521"/>
        <v>-0.8724245466175865</v>
      </c>
      <c r="BA641">
        <f t="shared" si="502"/>
        <v>0.13557481430301244</v>
      </c>
      <c r="BB641">
        <f t="shared" si="514"/>
        <v>-17.356419634915568</v>
      </c>
      <c r="BC641">
        <f t="shared" si="515"/>
        <v>-2.2384181348897472</v>
      </c>
      <c r="BD641">
        <f t="shared" si="503"/>
        <v>-308.2519120612771</v>
      </c>
      <c r="BF641">
        <f t="shared" si="504"/>
        <v>-109.68155208666343</v>
      </c>
      <c r="BG641">
        <f t="shared" si="505"/>
        <v>-269.5622931869209</v>
      </c>
      <c r="BH641">
        <f t="shared" si="516"/>
        <v>-89.562293186920897</v>
      </c>
      <c r="BI641">
        <f t="shared" si="517"/>
        <v>-89.562293186920897</v>
      </c>
      <c r="BJ641">
        <f t="shared" si="506"/>
        <v>0</v>
      </c>
      <c r="BK641">
        <f t="shared" si="518"/>
        <v>0</v>
      </c>
      <c r="BM641">
        <f t="shared" si="519"/>
        <v>-92.325132451747848</v>
      </c>
      <c r="BN641">
        <f t="shared" si="507"/>
        <v>-141.31038112564383</v>
      </c>
      <c r="BQ641" s="56">
        <f t="shared" si="520"/>
        <v>-0.45445883463043302</v>
      </c>
    </row>
    <row r="642" spans="1:69" x14ac:dyDescent="0.2">
      <c r="A642">
        <f t="shared" si="563"/>
        <v>6600000</v>
      </c>
      <c r="B642">
        <f t="shared" si="508"/>
        <v>6600</v>
      </c>
      <c r="C642">
        <f t="shared" si="539"/>
        <v>1.2886551973566713</v>
      </c>
      <c r="D642">
        <f t="shared" si="540"/>
        <v>0.6824929288987952</v>
      </c>
      <c r="F642">
        <f t="shared" si="541"/>
        <v>1.2214277703232449E-6</v>
      </c>
      <c r="G642">
        <f t="shared" si="542"/>
        <v>2.2554480791819881E-4</v>
      </c>
      <c r="H642">
        <f t="shared" si="481"/>
        <v>-3.141367105192082</v>
      </c>
      <c r="J642">
        <f t="shared" si="482"/>
        <v>15</v>
      </c>
      <c r="M642">
        <f t="shared" si="543"/>
        <v>1.8950698906472827E-4</v>
      </c>
      <c r="N642">
        <f t="shared" si="484"/>
        <v>-1.5707963250000001</v>
      </c>
      <c r="O642">
        <f t="shared" si="544"/>
        <v>1296.1146990082852</v>
      </c>
      <c r="P642">
        <f t="shared" si="486"/>
        <v>1.5700247900628646</v>
      </c>
      <c r="Q642">
        <f t="shared" si="545"/>
        <v>1126.6308601218141</v>
      </c>
      <c r="R642">
        <f t="shared" si="488"/>
        <v>1.5699087245050054</v>
      </c>
      <c r="S642">
        <f t="shared" si="546"/>
        <v>3.1383472682744933E-2</v>
      </c>
      <c r="T642">
        <f t="shared" si="490"/>
        <v>-1.5394077001135107</v>
      </c>
      <c r="U642">
        <f t="shared" si="547"/>
        <v>3.097519441280551E-2</v>
      </c>
      <c r="V642">
        <f t="shared" si="492"/>
        <v>-1.5398161769851426</v>
      </c>
      <c r="X642">
        <f t="shared" si="548"/>
        <v>-103.94277744200377</v>
      </c>
      <c r="Y642">
        <f t="shared" si="549"/>
        <v>-227.40470680956443</v>
      </c>
      <c r="Z642">
        <f t="shared" si="510"/>
        <v>-47.404706809564431</v>
      </c>
      <c r="AC642">
        <v>1</v>
      </c>
      <c r="AD642">
        <f t="shared" si="550"/>
        <v>1296.1143132399</v>
      </c>
      <c r="AE642">
        <f t="shared" si="551"/>
        <v>-6.4498313088542814</v>
      </c>
      <c r="AF642">
        <f t="shared" si="552"/>
        <v>0.19988069076360002</v>
      </c>
      <c r="AG642">
        <f t="shared" si="553"/>
        <v>6.0666838927117634</v>
      </c>
      <c r="AH642">
        <f t="shared" si="554"/>
        <v>-200.76520427676127</v>
      </c>
      <c r="AJ642">
        <f t="shared" si="497"/>
        <v>26400</v>
      </c>
      <c r="AK642">
        <f t="shared" si="555"/>
        <v>840792.73472409614</v>
      </c>
      <c r="AL642">
        <v>17</v>
      </c>
      <c r="AM642">
        <f t="shared" si="556"/>
        <v>1126.6304163206403</v>
      </c>
      <c r="AN642">
        <f t="shared" si="557"/>
        <v>746.47337347433881</v>
      </c>
      <c r="AO642">
        <f t="shared" si="558"/>
        <v>-12.168988563002166</v>
      </c>
      <c r="AQ642">
        <f t="shared" si="559"/>
        <v>5.7392102517262957E-5</v>
      </c>
      <c r="AR642">
        <f t="shared" si="560"/>
        <v>-0.75757575322787107</v>
      </c>
      <c r="AT642">
        <f t="shared" si="561"/>
        <v>-152.0945026721709</v>
      </c>
      <c r="AU642">
        <f t="shared" si="562"/>
        <v>-4.6074949568022578</v>
      </c>
      <c r="AV642">
        <f t="shared" si="511"/>
        <v>-3.1113082829364584</v>
      </c>
      <c r="AW642">
        <f t="shared" si="512"/>
        <v>744.66741118960363</v>
      </c>
      <c r="AX642">
        <f t="shared" si="513"/>
        <v>-872.15733486775252</v>
      </c>
      <c r="AY642">
        <f t="shared" si="521"/>
        <v>-0.86408738212049863</v>
      </c>
      <c r="BA642">
        <f t="shared" si="502"/>
        <v>0.13268407123380802</v>
      </c>
      <c r="BB642">
        <f t="shared" si="514"/>
        <v>-17.54362422402021</v>
      </c>
      <c r="BC642">
        <f t="shared" si="515"/>
        <v>-2.24722090081596</v>
      </c>
      <c r="BD642">
        <f t="shared" si="503"/>
        <v>-308.756273397467</v>
      </c>
      <c r="BF642">
        <f t="shared" si="504"/>
        <v>-110.08170865198923</v>
      </c>
      <c r="BG642">
        <f t="shared" si="505"/>
        <v>-269.63938621376144</v>
      </c>
      <c r="BH642">
        <f t="shared" si="516"/>
        <v>-89.639386213761441</v>
      </c>
      <c r="BI642">
        <f t="shared" si="517"/>
        <v>-89.639386213761441</v>
      </c>
      <c r="BJ642">
        <f t="shared" si="506"/>
        <v>0</v>
      </c>
      <c r="BK642">
        <f t="shared" si="518"/>
        <v>0</v>
      </c>
      <c r="BM642">
        <f t="shared" si="519"/>
        <v>-92.538084427969025</v>
      </c>
      <c r="BN642">
        <f t="shared" si="507"/>
        <v>-140.8831128162945</v>
      </c>
      <c r="BQ642" s="56">
        <f t="shared" si="520"/>
        <v>-0.64166342373507268</v>
      </c>
    </row>
    <row r="643" spans="1:69" x14ac:dyDescent="0.2">
      <c r="A643">
        <f t="shared" si="563"/>
        <v>6700000</v>
      </c>
      <c r="B643">
        <f t="shared" si="508"/>
        <v>6700</v>
      </c>
      <c r="C643">
        <f t="shared" si="539"/>
        <v>1.2964578805632014</v>
      </c>
      <c r="D643">
        <f t="shared" si="540"/>
        <v>0.68986423982870893</v>
      </c>
      <c r="F643">
        <f t="shared" si="541"/>
        <v>1.1852392913536784E-6</v>
      </c>
      <c r="G643">
        <f t="shared" si="542"/>
        <v>2.2217845956829104E-4</v>
      </c>
      <c r="H643">
        <f t="shared" si="481"/>
        <v>-3.1413704715404318</v>
      </c>
      <c r="J643">
        <f t="shared" si="482"/>
        <v>15</v>
      </c>
      <c r="M643">
        <f t="shared" si="543"/>
        <v>1.8667852654137416E-4</v>
      </c>
      <c r="N643">
        <f t="shared" si="484"/>
        <v>-1.5707963250000001</v>
      </c>
      <c r="O643">
        <f t="shared" si="544"/>
        <v>1315.7527889056998</v>
      </c>
      <c r="P643">
        <f t="shared" si="486"/>
        <v>1.570036305532009</v>
      </c>
      <c r="Q643">
        <f t="shared" si="545"/>
        <v>1143.7010113209585</v>
      </c>
      <c r="R643">
        <f t="shared" si="488"/>
        <v>1.5699219722935738</v>
      </c>
      <c r="S643">
        <f t="shared" si="546"/>
        <v>3.0915513722807885E-2</v>
      </c>
      <c r="T643">
        <f t="shared" si="490"/>
        <v>-1.5398758862712489</v>
      </c>
      <c r="U643">
        <f t="shared" si="547"/>
        <v>3.0513311781414299E-2</v>
      </c>
      <c r="V643">
        <f t="shared" si="492"/>
        <v>-1.5402782780633575</v>
      </c>
      <c r="X643">
        <f t="shared" si="548"/>
        <v>-104.28194611938829</v>
      </c>
      <c r="Y643">
        <f t="shared" si="549"/>
        <v>-227.03443738313248</v>
      </c>
      <c r="Z643">
        <f t="shared" si="510"/>
        <v>-47.034437383132484</v>
      </c>
      <c r="AC643">
        <v>1</v>
      </c>
      <c r="AD643">
        <f t="shared" si="550"/>
        <v>1315.7524088950499</v>
      </c>
      <c r="AE643">
        <f t="shared" si="551"/>
        <v>-6.6467614199832115</v>
      </c>
      <c r="AF643">
        <f t="shared" si="552"/>
        <v>0.20290918607819999</v>
      </c>
      <c r="AG643">
        <f t="shared" si="553"/>
        <v>5.8871076591303195</v>
      </c>
      <c r="AH643">
        <f t="shared" si="554"/>
        <v>-197.77419070878904</v>
      </c>
      <c r="AJ643">
        <f t="shared" si="497"/>
        <v>26400</v>
      </c>
      <c r="AK643">
        <f t="shared" si="555"/>
        <v>853532.01858355198</v>
      </c>
      <c r="AL643">
        <v>18</v>
      </c>
      <c r="AM643">
        <f t="shared" si="556"/>
        <v>1143.7005741436801</v>
      </c>
      <c r="AN643">
        <f t="shared" si="557"/>
        <v>746.4681434934389</v>
      </c>
      <c r="AO643">
        <f t="shared" si="558"/>
        <v>-11.334761658945814</v>
      </c>
      <c r="AQ643">
        <f t="shared" si="559"/>
        <v>5.5691690489576241E-5</v>
      </c>
      <c r="AR643">
        <f t="shared" si="560"/>
        <v>-0.7462686525603216</v>
      </c>
      <c r="AT643">
        <f t="shared" si="561"/>
        <v>-147.59235094847844</v>
      </c>
      <c r="AU643">
        <f t="shared" si="562"/>
        <v>-4.4043782792725121</v>
      </c>
      <c r="AV643">
        <f t="shared" si="511"/>
        <v>-3.1117599992556086</v>
      </c>
      <c r="AW643">
        <f t="shared" si="512"/>
        <v>745.28355529686439</v>
      </c>
      <c r="AX643">
        <f t="shared" si="513"/>
        <v>-858.48714795100386</v>
      </c>
      <c r="AY643">
        <f t="shared" si="521"/>
        <v>-0.85586718064404954</v>
      </c>
      <c r="BA643">
        <f t="shared" si="502"/>
        <v>0.12988249964550896</v>
      </c>
      <c r="BB643">
        <f t="shared" si="514"/>
        <v>-17.728987235567327</v>
      </c>
      <c r="BC643">
        <f t="shared" si="515"/>
        <v>-2.2558928186115592</v>
      </c>
      <c r="BD643">
        <f t="shared" si="503"/>
        <v>-309.25313768800697</v>
      </c>
      <c r="BF643">
        <f t="shared" si="504"/>
        <v>-110.47587301261012</v>
      </c>
      <c r="BG643">
        <f t="shared" si="505"/>
        <v>-269.71409837560918</v>
      </c>
      <c r="BH643">
        <f t="shared" si="516"/>
        <v>-89.714098375609183</v>
      </c>
      <c r="BI643">
        <f t="shared" si="517"/>
        <v>-89.714098375609183</v>
      </c>
      <c r="BJ643">
        <f t="shared" si="506"/>
        <v>0</v>
      </c>
      <c r="BK643">
        <f t="shared" si="518"/>
        <v>0</v>
      </c>
      <c r="BM643">
        <f t="shared" si="519"/>
        <v>-92.746885777042806</v>
      </c>
      <c r="BN643">
        <f t="shared" si="507"/>
        <v>-140.46096068760221</v>
      </c>
      <c r="BQ643" s="56">
        <f t="shared" si="520"/>
        <v>-0.82702643528219322</v>
      </c>
    </row>
    <row r="644" spans="1:69" x14ac:dyDescent="0.2">
      <c r="A644">
        <f t="shared" si="563"/>
        <v>6800000</v>
      </c>
      <c r="B644">
        <f t="shared" si="508"/>
        <v>6800</v>
      </c>
      <c r="C644">
        <f t="shared" si="539"/>
        <v>1.3043301633604658</v>
      </c>
      <c r="D644">
        <f t="shared" si="540"/>
        <v>0.69714696344637184</v>
      </c>
      <c r="F644">
        <f t="shared" si="541"/>
        <v>1.1506355965627916E-6</v>
      </c>
      <c r="G644">
        <f t="shared" si="542"/>
        <v>2.1891112180627521E-4</v>
      </c>
      <c r="H644">
        <f t="shared" si="481"/>
        <v>-3.1413737388781939</v>
      </c>
      <c r="J644">
        <f t="shared" si="482"/>
        <v>15</v>
      </c>
      <c r="M644">
        <f t="shared" si="543"/>
        <v>1.8393325409223629E-4</v>
      </c>
      <c r="N644">
        <f t="shared" si="484"/>
        <v>-1.5707963250000001</v>
      </c>
      <c r="O644">
        <f t="shared" si="544"/>
        <v>1335.3908789724596</v>
      </c>
      <c r="P644">
        <f t="shared" si="486"/>
        <v>1.570047482311077</v>
      </c>
      <c r="Q644">
        <f t="shared" si="545"/>
        <v>1160.7711627149235</v>
      </c>
      <c r="R644">
        <f t="shared" si="488"/>
        <v>1.5699348304415954</v>
      </c>
      <c r="S644">
        <f t="shared" si="546"/>
        <v>3.0461298816488725E-2</v>
      </c>
      <c r="T644">
        <f t="shared" si="490"/>
        <v>-1.5403303152175485</v>
      </c>
      <c r="U644">
        <f t="shared" si="547"/>
        <v>3.0064995236731569E-2</v>
      </c>
      <c r="V644">
        <f t="shared" si="492"/>
        <v>-1.5407268004035772</v>
      </c>
      <c r="X644">
        <f t="shared" si="548"/>
        <v>-104.6151714261552</v>
      </c>
      <c r="Y644">
        <f t="shared" si="549"/>
        <v>-226.66771345866545</v>
      </c>
      <c r="Z644">
        <f t="shared" si="510"/>
        <v>-46.667713458665446</v>
      </c>
      <c r="AC644">
        <v>1</v>
      </c>
      <c r="AD644">
        <f t="shared" si="550"/>
        <v>1335.3905045502001</v>
      </c>
      <c r="AE644">
        <f t="shared" si="551"/>
        <v>-6.8466528861667113</v>
      </c>
      <c r="AF644">
        <f t="shared" si="552"/>
        <v>0.2059376813928</v>
      </c>
      <c r="AG644">
        <f t="shared" si="553"/>
        <v>5.7153859576360313</v>
      </c>
      <c r="AH644">
        <f t="shared" si="554"/>
        <v>-194.87091187484108</v>
      </c>
      <c r="AJ644">
        <f t="shared" si="497"/>
        <v>26400</v>
      </c>
      <c r="AK644">
        <f t="shared" si="555"/>
        <v>866271.30244300817</v>
      </c>
      <c r="AL644">
        <v>19</v>
      </c>
      <c r="AM644">
        <f t="shared" si="556"/>
        <v>1160.7707319667202</v>
      </c>
      <c r="AN644">
        <f t="shared" si="557"/>
        <v>746.4620319692807</v>
      </c>
      <c r="AO644">
        <f t="shared" si="558"/>
        <v>-10.525094281007371</v>
      </c>
      <c r="AQ644">
        <f t="shared" si="559"/>
        <v>5.4065743652326213E-5</v>
      </c>
      <c r="AR644">
        <f t="shared" si="560"/>
        <v>-0.73529411367163655</v>
      </c>
      <c r="AT644">
        <f t="shared" si="561"/>
        <v>-143.28712542080279</v>
      </c>
      <c r="AU644">
        <f t="shared" si="562"/>
        <v>-4.2130254927780237</v>
      </c>
      <c r="AV644">
        <f t="shared" si="511"/>
        <v>-3.1121984422706608</v>
      </c>
      <c r="AW644">
        <f t="shared" si="512"/>
        <v>745.86328851569283</v>
      </c>
      <c r="AX644">
        <f t="shared" si="513"/>
        <v>-845.2181457804395</v>
      </c>
      <c r="AY644">
        <f t="shared" si="521"/>
        <v>-0.84776204766448482</v>
      </c>
      <c r="BA644">
        <f t="shared" si="502"/>
        <v>0.12716638261224872</v>
      </c>
      <c r="BB644">
        <f t="shared" si="514"/>
        <v>-17.912553650421248</v>
      </c>
      <c r="BC644">
        <f t="shared" si="515"/>
        <v>-2.2644363946061761</v>
      </c>
      <c r="BD644">
        <f t="shared" si="503"/>
        <v>-309.74264853500711</v>
      </c>
      <c r="BF644">
        <f t="shared" si="504"/>
        <v>-110.8642216069717</v>
      </c>
      <c r="BG644">
        <f t="shared" si="505"/>
        <v>-269.78652710014444</v>
      </c>
      <c r="BH644">
        <f t="shared" si="516"/>
        <v>-89.78652710014444</v>
      </c>
      <c r="BI644">
        <f t="shared" si="517"/>
        <v>-89.78652710014444</v>
      </c>
      <c r="BJ644">
        <f t="shared" si="506"/>
        <v>0</v>
      </c>
      <c r="BK644">
        <f t="shared" si="518"/>
        <v>0</v>
      </c>
      <c r="BM644">
        <f t="shared" si="519"/>
        <v>-92.951667956550438</v>
      </c>
      <c r="BN644">
        <f t="shared" si="507"/>
        <v>-140.04387856513733</v>
      </c>
      <c r="BQ644" s="56">
        <f t="shared" si="520"/>
        <v>-1.0105928501361112</v>
      </c>
    </row>
    <row r="645" spans="1:69" x14ac:dyDescent="0.2">
      <c r="A645">
        <f t="shared" si="563"/>
        <v>6900000</v>
      </c>
      <c r="B645">
        <f t="shared" si="508"/>
        <v>6900</v>
      </c>
      <c r="C645">
        <f t="shared" si="539"/>
        <v>1.3122707931699522</v>
      </c>
      <c r="D645">
        <f t="shared" si="540"/>
        <v>0.70434192844586929</v>
      </c>
      <c r="F645">
        <f t="shared" si="541"/>
        <v>1.1175254832832805E-6</v>
      </c>
      <c r="G645">
        <f t="shared" si="542"/>
        <v>2.1573848980456831E-4</v>
      </c>
      <c r="H645">
        <f t="shared" si="481"/>
        <v>-3.1413769115101955</v>
      </c>
      <c r="J645">
        <f t="shared" si="482"/>
        <v>15</v>
      </c>
      <c r="M645">
        <f t="shared" si="543"/>
        <v>1.812675547575662E-4</v>
      </c>
      <c r="N645">
        <f t="shared" si="484"/>
        <v>-1.5707963250000001</v>
      </c>
      <c r="O645">
        <f t="shared" si="544"/>
        <v>1355.0289692012016</v>
      </c>
      <c r="P645">
        <f t="shared" si="486"/>
        <v>1.5700583351257138</v>
      </c>
      <c r="Q645">
        <f t="shared" si="545"/>
        <v>1177.8413142952379</v>
      </c>
      <c r="R645">
        <f t="shared" si="488"/>
        <v>1.5699473158899473</v>
      </c>
      <c r="S645">
        <f t="shared" si="546"/>
        <v>3.0020231497808775E-2</v>
      </c>
      <c r="T645">
        <f t="shared" si="490"/>
        <v>-1.5407715843571377</v>
      </c>
      <c r="U645">
        <f t="shared" si="547"/>
        <v>2.962965600809149E-2</v>
      </c>
      <c r="V645">
        <f t="shared" si="492"/>
        <v>-1.5411623336791003</v>
      </c>
      <c r="X645">
        <f t="shared" si="548"/>
        <v>-104.94263512425975</v>
      </c>
      <c r="Y645">
        <f t="shared" si="549"/>
        <v>-226.30455400234098</v>
      </c>
      <c r="Z645">
        <f t="shared" si="510"/>
        <v>-46.304554002340979</v>
      </c>
      <c r="AC645">
        <v>1</v>
      </c>
      <c r="AD645">
        <f t="shared" si="550"/>
        <v>1355.0286002053499</v>
      </c>
      <c r="AE645">
        <f t="shared" si="551"/>
        <v>-7.0495057074047809</v>
      </c>
      <c r="AF645">
        <f t="shared" si="552"/>
        <v>0.20896617670739998</v>
      </c>
      <c r="AG645">
        <f t="shared" si="553"/>
        <v>5.5510674403812281</v>
      </c>
      <c r="AH645">
        <f t="shared" si="554"/>
        <v>-192.05156660041979</v>
      </c>
      <c r="AJ645">
        <f t="shared" si="497"/>
        <v>26400</v>
      </c>
      <c r="AK645">
        <f t="shared" si="555"/>
        <v>879010.58630246413</v>
      </c>
      <c r="AL645">
        <v>20</v>
      </c>
      <c r="AM645">
        <f t="shared" si="556"/>
        <v>1177.8408897897602</v>
      </c>
      <c r="AN645">
        <f t="shared" si="557"/>
        <v>746.45512166645176</v>
      </c>
      <c r="AO645">
        <f t="shared" si="558"/>
        <v>-9.7389194636624232</v>
      </c>
      <c r="AQ645">
        <f t="shared" si="559"/>
        <v>5.25099766198804E-5</v>
      </c>
      <c r="AR645">
        <f t="shared" si="560"/>
        <v>-0.72463767735434947</v>
      </c>
      <c r="AT645">
        <f t="shared" si="561"/>
        <v>-139.16750966717086</v>
      </c>
      <c r="AU645">
        <f t="shared" si="562"/>
        <v>-4.0325972401072061</v>
      </c>
      <c r="AV645">
        <f t="shared" si="511"/>
        <v>-3.1126241883751904</v>
      </c>
      <c r="AW645">
        <f t="shared" si="512"/>
        <v>746.40897745622794</v>
      </c>
      <c r="AX645">
        <f t="shared" si="513"/>
        <v>-832.3329636379566</v>
      </c>
      <c r="AY645">
        <f t="shared" si="521"/>
        <v>-0.83977012540149487</v>
      </c>
      <c r="BA645">
        <f t="shared" si="502"/>
        <v>0.12453220709625477</v>
      </c>
      <c r="BB645">
        <f t="shared" si="514"/>
        <v>-18.094366295816759</v>
      </c>
      <c r="BC645">
        <f t="shared" si="515"/>
        <v>-2.2728540629736953</v>
      </c>
      <c r="BD645">
        <f t="shared" si="503"/>
        <v>-310.22494540635785</v>
      </c>
      <c r="BF645">
        <f t="shared" si="504"/>
        <v>-111.24692314990725</v>
      </c>
      <c r="BG645">
        <f t="shared" si="505"/>
        <v>-269.8567646212324</v>
      </c>
      <c r="BH645">
        <f t="shared" si="516"/>
        <v>-89.856764621232401</v>
      </c>
      <c r="BI645">
        <f t="shared" si="517"/>
        <v>-89.856764621232401</v>
      </c>
      <c r="BJ645">
        <f t="shared" si="506"/>
        <v>0</v>
      </c>
      <c r="BK645">
        <f t="shared" si="518"/>
        <v>0</v>
      </c>
      <c r="BM645">
        <f t="shared" si="519"/>
        <v>-93.152556854090491</v>
      </c>
      <c r="BN645">
        <f t="shared" si="507"/>
        <v>-139.63181921487455</v>
      </c>
      <c r="BQ645" s="56">
        <f t="shared" si="520"/>
        <v>-1.192405495531621</v>
      </c>
    </row>
    <row r="646" spans="1:69" x14ac:dyDescent="0.2">
      <c r="A646">
        <f t="shared" si="563"/>
        <v>7000000</v>
      </c>
      <c r="B646">
        <f t="shared" si="508"/>
        <v>7000</v>
      </c>
      <c r="C646">
        <f t="shared" si="539"/>
        <v>1.3202785368017218</v>
      </c>
      <c r="D646">
        <f t="shared" si="540"/>
        <v>0.71144998001771553</v>
      </c>
      <c r="F646">
        <f t="shared" si="541"/>
        <v>1.0858242164614299E-6</v>
      </c>
      <c r="G646">
        <f t="shared" si="542"/>
        <v>2.1265650472709186E-4</v>
      </c>
      <c r="H646">
        <f t="shared" si="481"/>
        <v>-3.1413799934952733</v>
      </c>
      <c r="J646">
        <f t="shared" si="482"/>
        <v>15</v>
      </c>
      <c r="M646">
        <f t="shared" si="543"/>
        <v>1.7867801826102953E-4</v>
      </c>
      <c r="N646">
        <f t="shared" si="484"/>
        <v>-1.5707963250000001</v>
      </c>
      <c r="O646">
        <f t="shared" si="544"/>
        <v>1374.6670595849835</v>
      </c>
      <c r="P646">
        <f t="shared" si="486"/>
        <v>1.5700688778600986</v>
      </c>
      <c r="Q646">
        <f t="shared" si="545"/>
        <v>1194.9114660539162</v>
      </c>
      <c r="R646">
        <f t="shared" si="488"/>
        <v>1.5699594446114566</v>
      </c>
      <c r="S646">
        <f t="shared" si="546"/>
        <v>2.959174930766156E-2</v>
      </c>
      <c r="T646">
        <f t="shared" si="490"/>
        <v>-1.5412002570086467</v>
      </c>
      <c r="U646">
        <f t="shared" si="547"/>
        <v>2.92067388949241E-2</v>
      </c>
      <c r="V646">
        <f t="shared" si="492"/>
        <v>-1.5415854339169504</v>
      </c>
      <c r="X646">
        <f t="shared" si="548"/>
        <v>-105.26451131410516</v>
      </c>
      <c r="Y646">
        <f t="shared" si="549"/>
        <v>-225.94497324396528</v>
      </c>
      <c r="Z646">
        <f t="shared" si="510"/>
        <v>-45.944973243965279</v>
      </c>
      <c r="AC646">
        <v>1</v>
      </c>
      <c r="AD646">
        <f t="shared" si="550"/>
        <v>1374.6666958605001</v>
      </c>
      <c r="AE646">
        <f t="shared" si="551"/>
        <v>-7.255319883697422</v>
      </c>
      <c r="AF646">
        <f t="shared" si="552"/>
        <v>0.21199467202200001</v>
      </c>
      <c r="AG646">
        <f t="shared" si="553"/>
        <v>5.3937327108145974</v>
      </c>
      <c r="AH646">
        <f t="shared" si="554"/>
        <v>-189.31256998740741</v>
      </c>
      <c r="AJ646">
        <f t="shared" si="497"/>
        <v>26400</v>
      </c>
      <c r="AK646">
        <f t="shared" si="555"/>
        <v>891749.87016191997</v>
      </c>
      <c r="AL646">
        <v>21</v>
      </c>
      <c r="AM646">
        <f t="shared" si="556"/>
        <v>1194.9110476128001</v>
      </c>
      <c r="AN646">
        <f t="shared" si="557"/>
        <v>746.44748811731051</v>
      </c>
      <c r="AO646">
        <f t="shared" si="558"/>
        <v>-8.9752310608912271</v>
      </c>
      <c r="AQ646">
        <f t="shared" si="559"/>
        <v>5.1020407902957101E-5</v>
      </c>
      <c r="AR646">
        <f t="shared" si="560"/>
        <v>-0.71428571064139945</v>
      </c>
      <c r="AT646">
        <f t="shared" si="561"/>
        <v>-135.22298839636193</v>
      </c>
      <c r="AU646">
        <f t="shared" si="562"/>
        <v>-3.8623250068958814</v>
      </c>
      <c r="AV646">
        <f t="shared" si="511"/>
        <v>-3.1130377810753376</v>
      </c>
      <c r="AW646">
        <f t="shared" si="512"/>
        <v>746.92280944644472</v>
      </c>
      <c r="AX646">
        <f t="shared" si="513"/>
        <v>-819.81522243304221</v>
      </c>
      <c r="AY646">
        <f t="shared" si="521"/>
        <v>-0.83188959087150638</v>
      </c>
      <c r="BA646">
        <f t="shared" si="502"/>
        <v>0.12197664969894982</v>
      </c>
      <c r="BB646">
        <f t="shared" si="514"/>
        <v>-18.274465989371393</v>
      </c>
      <c r="BC646">
        <f t="shared" si="515"/>
        <v>-2.2811481902038313</v>
      </c>
      <c r="BD646">
        <f t="shared" si="503"/>
        <v>-310.70016389193222</v>
      </c>
      <c r="BF646">
        <f t="shared" si="504"/>
        <v>-111.62413907967461</v>
      </c>
      <c r="BG646">
        <f t="shared" si="505"/>
        <v>-269.92489833545091</v>
      </c>
      <c r="BH646">
        <f t="shared" si="516"/>
        <v>-89.924898335450905</v>
      </c>
      <c r="BI646">
        <f t="shared" si="517"/>
        <v>-89.924898335450905</v>
      </c>
      <c r="BJ646">
        <f t="shared" si="506"/>
        <v>0</v>
      </c>
      <c r="BK646">
        <f t="shared" si="518"/>
        <v>0</v>
      </c>
      <c r="BM646">
        <f t="shared" si="519"/>
        <v>-93.349673090303213</v>
      </c>
      <c r="BN646">
        <f t="shared" si="507"/>
        <v>-139.22473444351877</v>
      </c>
      <c r="BQ646" s="56">
        <f t="shared" si="520"/>
        <v>-1.372505189086255</v>
      </c>
    </row>
    <row r="647" spans="1:69" x14ac:dyDescent="0.2">
      <c r="A647">
        <f t="shared" si="563"/>
        <v>7100000</v>
      </c>
      <c r="B647">
        <f t="shared" si="508"/>
        <v>7100</v>
      </c>
      <c r="C647">
        <f t="shared" si="539"/>
        <v>1.3283521805037777</v>
      </c>
      <c r="D647">
        <f t="shared" si="540"/>
        <v>0.71847197819008246</v>
      </c>
      <c r="F647">
        <f t="shared" si="541"/>
        <v>1.055452985983626E-6</v>
      </c>
      <c r="G647">
        <f t="shared" si="542"/>
        <v>2.0966133640581443E-4</v>
      </c>
      <c r="H647">
        <f t="shared" si="481"/>
        <v>-3.1413829886635942</v>
      </c>
      <c r="J647">
        <f t="shared" si="482"/>
        <v>15</v>
      </c>
      <c r="M647">
        <f t="shared" si="543"/>
        <v>1.7616142645453616E-4</v>
      </c>
      <c r="N647">
        <f t="shared" si="484"/>
        <v>-1.5707963250000001</v>
      </c>
      <c r="O647">
        <f t="shared" si="544"/>
        <v>1394.3051501172547</v>
      </c>
      <c r="P647">
        <f t="shared" si="486"/>
        <v>1.5700791236162051</v>
      </c>
      <c r="Q647">
        <f t="shared" si="545"/>
        <v>1211.9816179834215</v>
      </c>
      <c r="R647">
        <f t="shared" si="488"/>
        <v>1.569971231679075</v>
      </c>
      <c r="S647">
        <f t="shared" si="546"/>
        <v>2.9175321405314245E-2</v>
      </c>
      <c r="T647">
        <f t="shared" si="490"/>
        <v>-1.5416168648007986</v>
      </c>
      <c r="U647">
        <f t="shared" si="547"/>
        <v>2.8795719908771659E-2</v>
      </c>
      <c r="V647">
        <f t="shared" si="492"/>
        <v>-1.5419966258632545</v>
      </c>
      <c r="X647">
        <f t="shared" si="548"/>
        <v>-105.58096685147503</v>
      </c>
      <c r="Y647">
        <f t="shared" si="549"/>
        <v>-225.58898103852235</v>
      </c>
      <c r="Z647">
        <f t="shared" si="510"/>
        <v>-45.588981038522348</v>
      </c>
      <c r="AC647">
        <v>1</v>
      </c>
      <c r="AD647">
        <f t="shared" si="550"/>
        <v>1394.3047915156501</v>
      </c>
      <c r="AE647">
        <f t="shared" si="551"/>
        <v>-7.4640954150446337</v>
      </c>
      <c r="AF647">
        <f t="shared" si="552"/>
        <v>0.21502316733659999</v>
      </c>
      <c r="AG647">
        <f t="shared" si="553"/>
        <v>5.2429916481180143</v>
      </c>
      <c r="AH647">
        <f t="shared" si="554"/>
        <v>-186.65053826041176</v>
      </c>
      <c r="AJ647">
        <f t="shared" si="497"/>
        <v>26400</v>
      </c>
      <c r="AK647">
        <f t="shared" si="555"/>
        <v>904489.15402137616</v>
      </c>
      <c r="AL647">
        <v>22</v>
      </c>
      <c r="AM647">
        <f t="shared" si="556"/>
        <v>1211.9812054358401</v>
      </c>
      <c r="AN647">
        <f t="shared" si="557"/>
        <v>746.43920030477716</v>
      </c>
      <c r="AO647">
        <f t="shared" si="558"/>
        <v>-8.2330794805572847</v>
      </c>
      <c r="AQ647">
        <f t="shared" si="559"/>
        <v>4.9593334409872377E-5</v>
      </c>
      <c r="AR647">
        <f t="shared" si="560"/>
        <v>-0.70422534862018771</v>
      </c>
      <c r="AT647">
        <f t="shared" si="561"/>
        <v>-131.44378035914605</v>
      </c>
      <c r="AU647">
        <f t="shared" si="562"/>
        <v>-3.7015042437703722</v>
      </c>
      <c r="AV647">
        <f t="shared" si="511"/>
        <v>-3.1134397333017478</v>
      </c>
      <c r="AW647">
        <f t="shared" si="512"/>
        <v>747.40680820463376</v>
      </c>
      <c r="AX647">
        <f t="shared" si="513"/>
        <v>-807.6494599068094</v>
      </c>
      <c r="AY647">
        <f t="shared" si="521"/>
        <v>-0.82411865418083985</v>
      </c>
      <c r="BA647">
        <f t="shared" si="502"/>
        <v>0.11949656362274168</v>
      </c>
      <c r="BB647">
        <f t="shared" si="514"/>
        <v>-18.45289167191342</v>
      </c>
      <c r="BC647">
        <f t="shared" si="515"/>
        <v>-2.2893210791209082</v>
      </c>
      <c r="BD647">
        <f t="shared" si="503"/>
        <v>-311.16843593384499</v>
      </c>
      <c r="BF647">
        <f t="shared" si="504"/>
        <v>-111.99602397304858</v>
      </c>
      <c r="BG647">
        <f t="shared" si="505"/>
        <v>-269.99101112838275</v>
      </c>
      <c r="BH647">
        <f t="shared" si="516"/>
        <v>-89.991011128382752</v>
      </c>
      <c r="BI647">
        <f t="shared" si="517"/>
        <v>-89.991011128382752</v>
      </c>
      <c r="BJ647">
        <f t="shared" si="506"/>
        <v>0</v>
      </c>
      <c r="BK647">
        <f t="shared" si="518"/>
        <v>0</v>
      </c>
      <c r="BM647">
        <f t="shared" si="519"/>
        <v>-93.543132301135159</v>
      </c>
      <c r="BN647">
        <f t="shared" si="507"/>
        <v>-138.82257519453773</v>
      </c>
      <c r="BQ647" s="56">
        <f t="shared" si="520"/>
        <v>-1.5509308716282824</v>
      </c>
    </row>
    <row r="648" spans="1:69" x14ac:dyDescent="0.2">
      <c r="A648">
        <f t="shared" si="563"/>
        <v>7200000</v>
      </c>
      <c r="B648">
        <f t="shared" si="508"/>
        <v>7200</v>
      </c>
      <c r="C648">
        <f t="shared" si="539"/>
        <v>1.3364905299838192</v>
      </c>
      <c r="D648">
        <f t="shared" si="540"/>
        <v>0.72540879624244858</v>
      </c>
      <c r="F648">
        <f t="shared" si="541"/>
        <v>1.0263384163920844E-6</v>
      </c>
      <c r="G648">
        <f t="shared" si="542"/>
        <v>2.067493674609261E-4</v>
      </c>
      <c r="H648">
        <f t="shared" si="481"/>
        <v>-3.1413859006325393</v>
      </c>
      <c r="J648">
        <f t="shared" si="482"/>
        <v>15</v>
      </c>
      <c r="M648">
        <f t="shared" si="543"/>
        <v>1.7371473997600091E-4</v>
      </c>
      <c r="N648">
        <f t="shared" si="484"/>
        <v>-1.5707963250000001</v>
      </c>
      <c r="O648">
        <f t="shared" si="544"/>
        <v>1413.9432407918284</v>
      </c>
      <c r="P648">
        <f t="shared" si="486"/>
        <v>1.5700890847681197</v>
      </c>
      <c r="Q648">
        <f t="shared" si="545"/>
        <v>1229.0517700766356</v>
      </c>
      <c r="R648">
        <f t="shared" si="488"/>
        <v>1.5699826913283683</v>
      </c>
      <c r="S648">
        <f t="shared" si="546"/>
        <v>2.877044637834697E-2</v>
      </c>
      <c r="T648">
        <f t="shared" si="490"/>
        <v>-1.542021909869318</v>
      </c>
      <c r="U648">
        <f t="shared" si="547"/>
        <v>2.8396104111223321E-2</v>
      </c>
      <c r="V648">
        <f t="shared" si="492"/>
        <v>-1.5423964051518955</v>
      </c>
      <c r="X648">
        <f t="shared" si="548"/>
        <v>-105.89216173612024</v>
      </c>
      <c r="Y648">
        <f t="shared" si="549"/>
        <v>-225.23658320141115</v>
      </c>
      <c r="Z648">
        <f t="shared" si="510"/>
        <v>-45.23658320141115</v>
      </c>
      <c r="AC648">
        <v>1</v>
      </c>
      <c r="AD648">
        <f t="shared" si="550"/>
        <v>1413.9428871707998</v>
      </c>
      <c r="AE648">
        <f t="shared" si="551"/>
        <v>-7.6758323014464169</v>
      </c>
      <c r="AF648">
        <f t="shared" si="552"/>
        <v>0.21805166265120002</v>
      </c>
      <c r="AG648">
        <f t="shared" si="553"/>
        <v>5.0984809893625336</v>
      </c>
      <c r="AH648">
        <f t="shared" si="554"/>
        <v>-184.06227486859544</v>
      </c>
      <c r="AJ648">
        <f t="shared" si="497"/>
        <v>26400</v>
      </c>
      <c r="AK648">
        <f t="shared" si="555"/>
        <v>917228.43788083212</v>
      </c>
      <c r="AL648">
        <v>23</v>
      </c>
      <c r="AM648">
        <f t="shared" si="556"/>
        <v>1229.05136325888</v>
      </c>
      <c r="AN648">
        <f t="shared" si="557"/>
        <v>746.43032127401659</v>
      </c>
      <c r="AO648">
        <f t="shared" si="558"/>
        <v>-7.5115677722518619</v>
      </c>
      <c r="AQ648">
        <f t="shared" si="559"/>
        <v>4.8225308409407272E-5</v>
      </c>
      <c r="AR648">
        <f t="shared" si="560"/>
        <v>-0.69444444109546466</v>
      </c>
      <c r="AT648">
        <f t="shared" si="561"/>
        <v>-127.82077772206341</v>
      </c>
      <c r="AU648">
        <f t="shared" si="562"/>
        <v>-3.5494882410657915</v>
      </c>
      <c r="AV648">
        <f t="shared" si="511"/>
        <v>-3.1138305295292361</v>
      </c>
      <c r="AW648">
        <f t="shared" si="512"/>
        <v>747.86284795679455</v>
      </c>
      <c r="AX648">
        <f t="shared" si="513"/>
        <v>-795.82106750616185</v>
      </c>
      <c r="AY648">
        <f t="shared" si="521"/>
        <v>-0.81645555702809025</v>
      </c>
      <c r="BA648">
        <f t="shared" si="502"/>
        <v>0.11708896672398854</v>
      </c>
      <c r="BB648">
        <f t="shared" si="514"/>
        <v>-18.629680530088546</v>
      </c>
      <c r="BC648">
        <f t="shared" si="515"/>
        <v>-2.2973749725011459</v>
      </c>
      <c r="BD648">
        <f t="shared" si="503"/>
        <v>-311.62989003370831</v>
      </c>
      <c r="BF648">
        <f t="shared" si="504"/>
        <v>-112.3627259311658</v>
      </c>
      <c r="BG648">
        <f t="shared" si="505"/>
        <v>-270.05518167367194</v>
      </c>
      <c r="BH648">
        <f t="shared" si="516"/>
        <v>-90.055181673671939</v>
      </c>
      <c r="BI648">
        <f t="shared" si="517"/>
        <v>-90.055181673671939</v>
      </c>
      <c r="BJ648">
        <f t="shared" si="506"/>
        <v>0</v>
      </c>
      <c r="BK648">
        <f t="shared" si="518"/>
        <v>0</v>
      </c>
      <c r="BM648">
        <f t="shared" si="519"/>
        <v>-93.733045401077248</v>
      </c>
      <c r="BN648">
        <f t="shared" si="507"/>
        <v>-138.42529163996366</v>
      </c>
      <c r="BQ648" s="56">
        <f t="shared" si="520"/>
        <v>-1.7277197298034097</v>
      </c>
    </row>
    <row r="649" spans="1:69" x14ac:dyDescent="0.2">
      <c r="A649">
        <f t="shared" si="563"/>
        <v>7300000</v>
      </c>
      <c r="B649">
        <f t="shared" si="508"/>
        <v>7300</v>
      </c>
      <c r="C649">
        <f t="shared" si="539"/>
        <v>1.3446924104051321</v>
      </c>
      <c r="D649">
        <f t="shared" si="540"/>
        <v>0.73226131919058801</v>
      </c>
      <c r="F649">
        <f t="shared" si="541"/>
        <v>9.9841212328839532E-7</v>
      </c>
      <c r="G649">
        <f t="shared" si="542"/>
        <v>2.0391717872621351E-4</v>
      </c>
      <c r="H649">
        <f t="shared" ref="H649:H676" si="564">IF(G649&gt;0,G649-Pi,G649)</f>
        <v>-3.141388732821274</v>
      </c>
      <c r="J649">
        <f t="shared" ref="J649:J676" si="565">Vin/Vramp</f>
        <v>15</v>
      </c>
      <c r="M649">
        <f t="shared" si="543"/>
        <v>1.7133508600372695E-4</v>
      </c>
      <c r="N649">
        <f t="shared" ref="N649:N676" si="566">-Pi/2</f>
        <v>-1.5707963250000001</v>
      </c>
      <c r="O649">
        <f t="shared" si="544"/>
        <v>1433.5813316028559</v>
      </c>
      <c r="P649">
        <f t="shared" ref="P649:P676" si="567">ATAN2(Fz1_u,A649)</f>
        <v>1.5700987730118972</v>
      </c>
      <c r="Q649">
        <f t="shared" si="545"/>
        <v>1246.1219223268315</v>
      </c>
      <c r="R649">
        <f t="shared" ref="R649:R676" si="568">ATAN2(Fz2_u,A649)</f>
        <v>1.5699938370148723</v>
      </c>
      <c r="S649">
        <f t="shared" si="546"/>
        <v>2.837665023206648E-2</v>
      </c>
      <c r="T649">
        <f t="shared" ref="T649:T676" si="569">-ATAN2(Fp1_u,A649)</f>
        <v>-1.5424158668736283</v>
      </c>
      <c r="U649">
        <f t="shared" si="547"/>
        <v>2.8007423629043317E-2</v>
      </c>
      <c r="V649">
        <f t="shared" ref="V649:V676" si="570">-ATAN2(Fp2_u,A649)</f>
        <v>-1.5427852402952591</v>
      </c>
      <c r="X649">
        <f t="shared" si="548"/>
        <v>-106.1982494743263</v>
      </c>
      <c r="Y649">
        <f t="shared" si="549"/>
        <v>-224.8877818195509</v>
      </c>
      <c r="Z649">
        <f t="shared" si="510"/>
        <v>-44.887781819550895</v>
      </c>
      <c r="AC649">
        <v>1</v>
      </c>
      <c r="AD649">
        <f t="shared" si="550"/>
        <v>1433.5809828259501</v>
      </c>
      <c r="AE649">
        <f t="shared" si="551"/>
        <v>-7.8905305429027699</v>
      </c>
      <c r="AF649">
        <f t="shared" si="552"/>
        <v>0.22108015796579999</v>
      </c>
      <c r="AG649">
        <f t="shared" si="553"/>
        <v>4.9598621414056563</v>
      </c>
      <c r="AH649">
        <f t="shared" si="554"/>
        <v>-181.54475772338333</v>
      </c>
      <c r="AJ649">
        <f t="shared" ref="AJ649:AJ676" si="571">_Rfb1</f>
        <v>26400</v>
      </c>
      <c r="AK649">
        <f t="shared" si="555"/>
        <v>929967.72174028796</v>
      </c>
      <c r="AL649">
        <v>24</v>
      </c>
      <c r="AM649">
        <f t="shared" si="556"/>
        <v>1246.12152108192</v>
      </c>
      <c r="AN649">
        <f t="shared" si="557"/>
        <v>746.42090868116873</v>
      </c>
      <c r="AO649">
        <f t="shared" si="558"/>
        <v>-6.8098480349526742</v>
      </c>
      <c r="AQ649">
        <f t="shared" si="559"/>
        <v>4.691311668740328E-5</v>
      </c>
      <c r="AR649">
        <f t="shared" si="560"/>
        <v>-0.6849315036360879</v>
      </c>
      <c r="AT649">
        <f t="shared" si="561"/>
        <v>-124.34549120213484</v>
      </c>
      <c r="AU649">
        <f t="shared" si="562"/>
        <v>-3.4056826647437464</v>
      </c>
      <c r="AV649">
        <f t="shared" si="511"/>
        <v>-3.114210627722577</v>
      </c>
      <c r="AW649">
        <f t="shared" si="512"/>
        <v>748.29266617144958</v>
      </c>
      <c r="AX649">
        <f t="shared" si="513"/>
        <v>-784.31623239146927</v>
      </c>
      <c r="AY649">
        <f t="shared" si="521"/>
        <v>-0.80889857138882171</v>
      </c>
      <c r="BA649">
        <f t="shared" ref="BA649:BA676" si="572">SQRT(AT649^2+AU649^2)/SQRT(AW649^2+AX649^2)</f>
        <v>0.11475103055090168</v>
      </c>
      <c r="BB649">
        <f t="shared" si="514"/>
        <v>-18.804868109616169</v>
      </c>
      <c r="BC649">
        <f t="shared" si="515"/>
        <v>-2.3053120563337552</v>
      </c>
      <c r="BD649">
        <f t="shared" ref="BD649:BD678" si="573">BC649*180/Pi-180</f>
        <v>-312.08465143947797</v>
      </c>
      <c r="BF649">
        <f t="shared" ref="BF649:BF676" si="574">20*LOG(BA649*J649*F649*C649)</f>
        <v>-112.72438693855689</v>
      </c>
      <c r="BG649">
        <f t="shared" ref="BG649:BG676" si="575">(180/Pi)*(D649+H649+BC649)</f>
        <v>-270.1174847075095</v>
      </c>
      <c r="BH649">
        <f t="shared" si="516"/>
        <v>-90.117484707509504</v>
      </c>
      <c r="BI649">
        <f t="shared" si="517"/>
        <v>-90.117484707509504</v>
      </c>
      <c r="BJ649">
        <f t="shared" ref="BJ649:BJ676" si="576">SUM((BF650&lt;0)*(BF649&gt;0))*A649</f>
        <v>0</v>
      </c>
      <c r="BK649">
        <f t="shared" si="518"/>
        <v>0</v>
      </c>
      <c r="BM649">
        <f t="shared" si="519"/>
        <v>-93.91951882894071</v>
      </c>
      <c r="BN649">
        <f t="shared" ref="BN649:BN676" si="577">(H649+D649)*180/Pi</f>
        <v>-138.03283326803157</v>
      </c>
      <c r="BQ649" s="56">
        <f t="shared" si="520"/>
        <v>-1.902907309331032</v>
      </c>
    </row>
    <row r="650" spans="1:69" x14ac:dyDescent="0.2">
      <c r="A650">
        <f t="shared" si="563"/>
        <v>7400000</v>
      </c>
      <c r="B650">
        <f t="shared" ref="B650:B676" si="578">A650/1000</f>
        <v>7400</v>
      </c>
      <c r="C650">
        <f t="shared" si="539"/>
        <v>1.3529566663582924</v>
      </c>
      <c r="D650">
        <f t="shared" si="540"/>
        <v>0.73903044234165582</v>
      </c>
      <c r="F650">
        <f t="shared" si="541"/>
        <v>9.7161031141212321E-7</v>
      </c>
      <c r="G650">
        <f t="shared" si="542"/>
        <v>2.0116153585616946E-4</v>
      </c>
      <c r="H650">
        <f t="shared" si="564"/>
        <v>-3.1413914884641438</v>
      </c>
      <c r="J650">
        <f t="shared" si="565"/>
        <v>15</v>
      </c>
      <c r="M650">
        <f t="shared" si="543"/>
        <v>1.690197470036766E-4</v>
      </c>
      <c r="N650">
        <f t="shared" si="566"/>
        <v>-1.5707963250000001</v>
      </c>
      <c r="O650">
        <f t="shared" si="544"/>
        <v>1453.2194225448056</v>
      </c>
      <c r="P650">
        <f t="shared" si="567"/>
        <v>1.5701081994113741</v>
      </c>
      <c r="Q650">
        <f t="shared" si="545"/>
        <v>1263.1920747276449</v>
      </c>
      <c r="R650">
        <f t="shared" si="568"/>
        <v>1.5700046814667972</v>
      </c>
      <c r="S650">
        <f t="shared" si="546"/>
        <v>2.7993484541472952E-2</v>
      </c>
      <c r="T650">
        <f t="shared" si="569"/>
        <v>-1.5427991848503442</v>
      </c>
      <c r="U650">
        <f t="shared" si="547"/>
        <v>2.7629235829785367E-2</v>
      </c>
      <c r="V650">
        <f t="shared" si="570"/>
        <v>-1.5431635745138685</v>
      </c>
      <c r="X650">
        <f t="shared" si="548"/>
        <v>-106.49937741756528</v>
      </c>
      <c r="Y650">
        <f t="shared" si="549"/>
        <v>-224.54257554031875</v>
      </c>
      <c r="Z650">
        <f t="shared" ref="Z650:Z676" si="579">Y650+180</f>
        <v>-44.542575540318751</v>
      </c>
      <c r="AC650">
        <v>1</v>
      </c>
      <c r="AD650">
        <f t="shared" si="550"/>
        <v>1453.2190784811</v>
      </c>
      <c r="AE650">
        <f t="shared" si="551"/>
        <v>-8.1081901394136917</v>
      </c>
      <c r="AF650">
        <f t="shared" si="552"/>
        <v>0.2241086532804</v>
      </c>
      <c r="AG650">
        <f t="shared" si="553"/>
        <v>4.8268191979222141</v>
      </c>
      <c r="AH650">
        <f t="shared" si="554"/>
        <v>-179.09512746528054</v>
      </c>
      <c r="AJ650">
        <f t="shared" si="571"/>
        <v>26400</v>
      </c>
      <c r="AK650">
        <f t="shared" si="555"/>
        <v>942707.00559974415</v>
      </c>
      <c r="AL650">
        <v>25</v>
      </c>
      <c r="AM650">
        <f t="shared" si="556"/>
        <v>1263.1916789049601</v>
      </c>
      <c r="AN650">
        <f t="shared" si="557"/>
        <v>746.41101528625916</v>
      </c>
      <c r="AO650">
        <f t="shared" si="558"/>
        <v>-6.1271181144519282</v>
      </c>
      <c r="AQ650">
        <f t="shared" si="559"/>
        <v>4.5653761661551488E-5</v>
      </c>
      <c r="AR650">
        <f t="shared" si="560"/>
        <v>-0.67567567259096206</v>
      </c>
      <c r="AT650">
        <f t="shared" si="561"/>
        <v>-121.01000034541427</v>
      </c>
      <c r="AU650">
        <f t="shared" si="562"/>
        <v>-3.2695406742951052</v>
      </c>
      <c r="AV650">
        <f t="shared" ref="AV650:AV676" si="580">ATAN2(AT650,AU650)</f>
        <v>-3.1145804611248229</v>
      </c>
      <c r="AW650">
        <f t="shared" ref="AW650:AW676" si="581">AG650-AH650*AO650/_Rfb2+AG650*AN650/_Rfb2+AN650-AO650*AR650+AQ650*AN650</f>
        <v>748.69787506326179</v>
      </c>
      <c r="AX650">
        <f t="shared" ref="AX650:AX676" si="582">AH650+AH650*AN650/_Rfb2+AG650*AO650/_Rfb2+AO650+AO650*AQ650+AN650*AR650</f>
        <v>-773.12188409827149</v>
      </c>
      <c r="AY650">
        <f t="shared" si="521"/>
        <v>-0.80144599835895358</v>
      </c>
      <c r="BA650">
        <f t="shared" si="572"/>
        <v>0.11248007027179338</v>
      </c>
      <c r="BB650">
        <f t="shared" ref="BB650:BB676" si="583">20*LOG(BA650)</f>
        <v>-18.978488419983858</v>
      </c>
      <c r="BC650">
        <f t="shared" ref="BC650:BC676" si="584">AV650-AY650</f>
        <v>-2.3131344627658694</v>
      </c>
      <c r="BD650">
        <f t="shared" si="573"/>
        <v>-312.53284231418627</v>
      </c>
      <c r="BF650">
        <f t="shared" si="574"/>
        <v>-113.08114319756855</v>
      </c>
      <c r="BG650">
        <f t="shared" si="575"/>
        <v>-270.17799128092065</v>
      </c>
      <c r="BH650">
        <f t="shared" ref="BH650:BH676" si="585">IF(BG650&gt;180,BG650-180,BG650+180)</f>
        <v>-90.177991280920651</v>
      </c>
      <c r="BI650">
        <f t="shared" ref="BI650:BI676" si="586">IF(BH650&gt;180,BH650-360,BH650)</f>
        <v>-90.177991280920651</v>
      </c>
      <c r="BJ650">
        <f t="shared" si="576"/>
        <v>0</v>
      </c>
      <c r="BK650">
        <f t="shared" ref="BK650:BK676" si="587">IF(BJ650&gt;0,BI650,0)</f>
        <v>0</v>
      </c>
      <c r="BM650">
        <f t="shared" ref="BM650:BM676" si="588">20*LOG(J650*F650*C650)</f>
        <v>-94.102654777584704</v>
      </c>
      <c r="BN650">
        <f t="shared" si="577"/>
        <v>-137.64514896673438</v>
      </c>
      <c r="BQ650" s="56">
        <f t="shared" ref="BQ650:BQ676" si="589">20*LOG(BA650*7)</f>
        <v>-2.0765276196987212</v>
      </c>
    </row>
    <row r="651" spans="1:69" x14ac:dyDescent="0.2">
      <c r="A651">
        <f t="shared" si="563"/>
        <v>7500000</v>
      </c>
      <c r="B651">
        <f t="shared" si="578"/>
        <v>7500</v>
      </c>
      <c r="C651">
        <f t="shared" si="539"/>
        <v>1.3612821618103159</v>
      </c>
      <c r="D651">
        <f t="shared" si="540"/>
        <v>0.74571706991798903</v>
      </c>
      <c r="F651">
        <f t="shared" si="541"/>
        <v>9.4587340997916873E-7</v>
      </c>
      <c r="G651">
        <f t="shared" si="542"/>
        <v>1.9847937700454108E-4</v>
      </c>
      <c r="H651">
        <f t="shared" si="564"/>
        <v>-3.1413941706229958</v>
      </c>
      <c r="J651">
        <f t="shared" si="565"/>
        <v>15</v>
      </c>
      <c r="M651">
        <f t="shared" si="543"/>
        <v>1.6676615037696091E-4</v>
      </c>
      <c r="N651">
        <f t="shared" si="566"/>
        <v>-1.5707963250000001</v>
      </c>
      <c r="O651">
        <f t="shared" si="544"/>
        <v>1472.8575136124405</v>
      </c>
      <c r="P651">
        <f t="shared" si="567"/>
        <v>1.5701173744403156</v>
      </c>
      <c r="Q651">
        <f t="shared" si="545"/>
        <v>1280.2622272730507</v>
      </c>
      <c r="R651">
        <f t="shared" si="568"/>
        <v>1.5700152367335163</v>
      </c>
      <c r="S651">
        <f t="shared" si="546"/>
        <v>2.7620524750656926E-2</v>
      </c>
      <c r="T651">
        <f t="shared" si="569"/>
        <v>-1.5431722889187609</v>
      </c>
      <c r="U651">
        <f t="shared" si="547"/>
        <v>2.7261121642961253E-2</v>
      </c>
      <c r="V651">
        <f t="shared" si="570"/>
        <v>-1.543531827419915</v>
      </c>
      <c r="X651">
        <f t="shared" si="548"/>
        <v>-106.79568707913856</v>
      </c>
      <c r="Y651">
        <f t="shared" si="549"/>
        <v>-224.20095984009035</v>
      </c>
      <c r="Z651">
        <f t="shared" si="579"/>
        <v>-44.200959840090349</v>
      </c>
      <c r="AC651">
        <v>1</v>
      </c>
      <c r="AD651">
        <f t="shared" si="550"/>
        <v>1472.85717413625</v>
      </c>
      <c r="AE651">
        <f t="shared" si="551"/>
        <v>-8.3288110909791833</v>
      </c>
      <c r="AF651">
        <f t="shared" si="552"/>
        <v>0.22713714859499998</v>
      </c>
      <c r="AG651">
        <f t="shared" si="553"/>
        <v>4.6990571398865155</v>
      </c>
      <c r="AH651">
        <f t="shared" si="554"/>
        <v>-176.71067666434237</v>
      </c>
      <c r="AJ651">
        <f t="shared" si="571"/>
        <v>26400</v>
      </c>
      <c r="AK651">
        <f t="shared" si="555"/>
        <v>955446.28945920011</v>
      </c>
      <c r="AL651">
        <v>26</v>
      </c>
      <c r="AM651">
        <f t="shared" si="556"/>
        <v>1280.2618367280002</v>
      </c>
      <c r="AN651">
        <f t="shared" si="557"/>
        <v>746.40068939653702</v>
      </c>
      <c r="AO651">
        <f t="shared" si="558"/>
        <v>-5.4626185636867248</v>
      </c>
      <c r="AQ651">
        <f t="shared" si="559"/>
        <v>4.4444444246913578E-5</v>
      </c>
      <c r="AR651">
        <f t="shared" si="560"/>
        <v>-0.66666666370370375</v>
      </c>
      <c r="AT651">
        <f t="shared" si="561"/>
        <v>-117.80690840565799</v>
      </c>
      <c r="AU651">
        <f t="shared" si="562"/>
        <v>-3.1405585538180545</v>
      </c>
      <c r="AV651">
        <f t="shared" si="580"/>
        <v>-3.1149404399028247</v>
      </c>
      <c r="AW651">
        <f t="shared" si="581"/>
        <v>749.07997199854583</v>
      </c>
      <c r="AX651">
        <f t="shared" si="582"/>
        <v>-762.22564542393275</v>
      </c>
      <c r="AY651">
        <f t="shared" ref="AY651:AY676" si="590">ATAN2(AW651,AX651)</f>
        <v>-0.79409616713608389</v>
      </c>
      <c r="BA651">
        <f t="shared" si="572"/>
        <v>0.11027353540931469</v>
      </c>
      <c r="BB651">
        <f t="shared" si="583"/>
        <v>-19.150574031295207</v>
      </c>
      <c r="BC651">
        <f t="shared" si="584"/>
        <v>-2.3208442727667409</v>
      </c>
      <c r="BD651">
        <f t="shared" si="573"/>
        <v>-312.97458188858866</v>
      </c>
      <c r="BF651">
        <f t="shared" si="574"/>
        <v>-113.43312544017003</v>
      </c>
      <c r="BG651">
        <f t="shared" si="575"/>
        <v>-270.23676899196801</v>
      </c>
      <c r="BH651">
        <f t="shared" si="585"/>
        <v>-90.236768991968006</v>
      </c>
      <c r="BI651">
        <f t="shared" si="586"/>
        <v>-90.236768991968006</v>
      </c>
      <c r="BJ651">
        <f t="shared" si="576"/>
        <v>0</v>
      </c>
      <c r="BK651">
        <f t="shared" si="587"/>
        <v>0</v>
      </c>
      <c r="BM651">
        <f t="shared" si="588"/>
        <v>-94.282551408874809</v>
      </c>
      <c r="BN651">
        <f t="shared" si="577"/>
        <v>-137.26218710337929</v>
      </c>
      <c r="BQ651" s="56">
        <f t="shared" si="589"/>
        <v>-2.2486132310100735</v>
      </c>
    </row>
    <row r="652" spans="1:69" x14ac:dyDescent="0.2">
      <c r="A652">
        <f t="shared" si="563"/>
        <v>7600000</v>
      </c>
      <c r="B652">
        <f t="shared" si="578"/>
        <v>7600</v>
      </c>
      <c r="C652">
        <f t="shared" si="539"/>
        <v>1.3696677800328205</v>
      </c>
      <c r="D652">
        <f t="shared" si="540"/>
        <v>0.75232211374811675</v>
      </c>
      <c r="F652">
        <f t="shared" si="541"/>
        <v>9.2114574138395757E-7</v>
      </c>
      <c r="G652">
        <f t="shared" si="542"/>
        <v>1.958678014756307E-4</v>
      </c>
      <c r="H652">
        <f t="shared" si="564"/>
        <v>-3.1413967821985245</v>
      </c>
      <c r="J652">
        <f t="shared" si="565"/>
        <v>15</v>
      </c>
      <c r="M652">
        <f t="shared" si="543"/>
        <v>1.6457185892463248E-4</v>
      </c>
      <c r="N652">
        <f t="shared" si="566"/>
        <v>-1.5707963250000001</v>
      </c>
      <c r="O652">
        <f t="shared" si="544"/>
        <v>1492.4956048007996</v>
      </c>
      <c r="P652">
        <f t="shared" si="567"/>
        <v>1.5701263080212371</v>
      </c>
      <c r="Q652">
        <f t="shared" si="545"/>
        <v>1297.3323799573413</v>
      </c>
      <c r="R652">
        <f t="shared" si="568"/>
        <v>1.570025514230226</v>
      </c>
      <c r="S652">
        <f t="shared" si="546"/>
        <v>2.7257368606090012E-2</v>
      </c>
      <c r="T652">
        <f t="shared" si="569"/>
        <v>-1.5435355818519416</v>
      </c>
      <c r="U652">
        <f t="shared" si="547"/>
        <v>2.6902684013398247E-2</v>
      </c>
      <c r="V652">
        <f t="shared" si="570"/>
        <v>-1.5438903965681099</v>
      </c>
      <c r="X652">
        <f t="shared" si="548"/>
        <v>-107.08731443053901</v>
      </c>
      <c r="Y652">
        <f t="shared" si="549"/>
        <v>-223.86292727397972</v>
      </c>
      <c r="Z652">
        <f t="shared" si="579"/>
        <v>-43.862927273979722</v>
      </c>
      <c r="AC652">
        <v>1</v>
      </c>
      <c r="AD652">
        <f t="shared" si="550"/>
        <v>1492.4952697914</v>
      </c>
      <c r="AE652">
        <f t="shared" si="551"/>
        <v>-8.5523933975992463</v>
      </c>
      <c r="AF652">
        <f t="shared" si="552"/>
        <v>0.23016564390960001</v>
      </c>
      <c r="AG652">
        <f t="shared" si="553"/>
        <v>4.5763002003674034</v>
      </c>
      <c r="AH652">
        <f t="shared" si="554"/>
        <v>-174.38883986881655</v>
      </c>
      <c r="AJ652">
        <f t="shared" si="571"/>
        <v>26400</v>
      </c>
      <c r="AK652">
        <f t="shared" si="555"/>
        <v>968185.57331865595</v>
      </c>
      <c r="AL652">
        <v>27</v>
      </c>
      <c r="AM652">
        <f t="shared" si="556"/>
        <v>1297.33199455104</v>
      </c>
      <c r="AN652">
        <f t="shared" si="557"/>
        <v>746.38997526572734</v>
      </c>
      <c r="AO652">
        <f t="shared" si="558"/>
        <v>-4.8156298419105799</v>
      </c>
      <c r="AQ652">
        <f t="shared" si="559"/>
        <v>4.3282548289116396E-5</v>
      </c>
      <c r="AR652">
        <f t="shared" si="560"/>
        <v>-0.65789473399456921</v>
      </c>
      <c r="AT652">
        <f t="shared" si="561"/>
        <v>-114.72930134318217</v>
      </c>
      <c r="AU652">
        <f t="shared" si="562"/>
        <v>-3.0182717963827117</v>
      </c>
      <c r="AV652">
        <f t="shared" si="580"/>
        <v>-3.1152909526630768</v>
      </c>
      <c r="AW652">
        <f t="shared" si="581"/>
        <v>749.44034891987678</v>
      </c>
      <c r="AX652">
        <f t="shared" si="582"/>
        <v>-751.61578715468909</v>
      </c>
      <c r="AY652">
        <f t="shared" si="590"/>
        <v>-0.78684743412053715</v>
      </c>
      <c r="BA652">
        <f t="shared" si="572"/>
        <v>0.10812900130533928</v>
      </c>
      <c r="BB652">
        <f t="shared" si="583"/>
        <v>-19.321156163920381</v>
      </c>
      <c r="BC652">
        <f t="shared" si="584"/>
        <v>-2.3284435185425396</v>
      </c>
      <c r="BD652">
        <f t="shared" si="573"/>
        <v>-313.40998659952209</v>
      </c>
      <c r="BF652">
        <f t="shared" si="574"/>
        <v>-113.7804592189532</v>
      </c>
      <c r="BG652">
        <f t="shared" si="575"/>
        <v>-270.29388219975954</v>
      </c>
      <c r="BH652">
        <f t="shared" si="585"/>
        <v>-90.293882199759537</v>
      </c>
      <c r="BI652">
        <f t="shared" si="586"/>
        <v>-90.293882199759537</v>
      </c>
      <c r="BJ652">
        <f t="shared" si="576"/>
        <v>0</v>
      </c>
      <c r="BK652">
        <f t="shared" si="587"/>
        <v>0</v>
      </c>
      <c r="BM652">
        <f t="shared" si="588"/>
        <v>-94.459303055032819</v>
      </c>
      <c r="BN652">
        <f t="shared" si="577"/>
        <v>-136.88389560023745</v>
      </c>
      <c r="BQ652" s="56">
        <f t="shared" si="589"/>
        <v>-2.4191953636352439</v>
      </c>
    </row>
    <row r="653" spans="1:69" x14ac:dyDescent="0.2">
      <c r="A653">
        <f t="shared" si="563"/>
        <v>7700000</v>
      </c>
      <c r="B653">
        <f t="shared" si="578"/>
        <v>7700</v>
      </c>
      <c r="C653">
        <f t="shared" si="539"/>
        <v>1.3781124235107047</v>
      </c>
      <c r="D653">
        <f t="shared" si="540"/>
        <v>0.75884649202337484</v>
      </c>
      <c r="F653">
        <f t="shared" si="541"/>
        <v>8.9737521982189521E-7</v>
      </c>
      <c r="G653">
        <f t="shared" si="542"/>
        <v>1.9332405925991662E-4</v>
      </c>
      <c r="H653">
        <f t="shared" si="564"/>
        <v>-3.1413993259407405</v>
      </c>
      <c r="J653">
        <f t="shared" si="565"/>
        <v>15</v>
      </c>
      <c r="M653">
        <f t="shared" si="543"/>
        <v>1.6243456205548138E-4</v>
      </c>
      <c r="N653">
        <f t="shared" si="566"/>
        <v>-1.5707963250000001</v>
      </c>
      <c r="O653">
        <f t="shared" si="544"/>
        <v>1512.1336961051791</v>
      </c>
      <c r="P653">
        <f t="shared" si="567"/>
        <v>1.5701350095611983</v>
      </c>
      <c r="Q653">
        <f t="shared" si="545"/>
        <v>1314.4025327751062</v>
      </c>
      <c r="R653">
        <f t="shared" si="568"/>
        <v>1.5700355247791256</v>
      </c>
      <c r="S653">
        <f t="shared" si="546"/>
        <v>2.6903634711674076E-2</v>
      </c>
      <c r="T653">
        <f t="shared" si="569"/>
        <v>-1.5438894455255991</v>
      </c>
      <c r="U653">
        <f t="shared" si="547"/>
        <v>2.655354647480386E-2</v>
      </c>
      <c r="V653">
        <f t="shared" si="570"/>
        <v>-1.5442396588858998</v>
      </c>
      <c r="X653">
        <f t="shared" si="548"/>
        <v>-107.37439017910292</v>
      </c>
      <c r="Y653">
        <f t="shared" si="549"/>
        <v>-223.52846770822984</v>
      </c>
      <c r="Z653">
        <f t="shared" si="579"/>
        <v>-43.52846770822984</v>
      </c>
      <c r="AC653">
        <v>1</v>
      </c>
      <c r="AD653">
        <f t="shared" si="550"/>
        <v>1512.13336544655</v>
      </c>
      <c r="AE653">
        <f t="shared" si="551"/>
        <v>-8.7789370592738809</v>
      </c>
      <c r="AF653">
        <f t="shared" si="552"/>
        <v>0.23319413922419999</v>
      </c>
      <c r="AG653">
        <f t="shared" si="553"/>
        <v>4.4582903767145039</v>
      </c>
      <c r="AH653">
        <f t="shared" si="554"/>
        <v>-172.1271844253005</v>
      </c>
      <c r="AJ653">
        <f t="shared" si="571"/>
        <v>26400</v>
      </c>
      <c r="AK653">
        <f t="shared" si="555"/>
        <v>980924.85717811214</v>
      </c>
      <c r="AL653">
        <v>28</v>
      </c>
      <c r="AM653">
        <f t="shared" si="556"/>
        <v>1314.4021523740801</v>
      </c>
      <c r="AN653">
        <f t="shared" si="557"/>
        <v>746.3789134540142</v>
      </c>
      <c r="AO653">
        <f t="shared" si="558"/>
        <v>-4.1854697311252558</v>
      </c>
      <c r="AQ653">
        <f t="shared" si="559"/>
        <v>4.2165626403416991E-5</v>
      </c>
      <c r="AR653">
        <f t="shared" si="560"/>
        <v>-0.64935064661262165</v>
      </c>
      <c r="AT653">
        <f t="shared" si="561"/>
        <v>-111.77071051957243</v>
      </c>
      <c r="AU653">
        <f t="shared" si="562"/>
        <v>-2.9022515894587406</v>
      </c>
      <c r="AV653">
        <f t="shared" si="580"/>
        <v>-3.1156323678496505</v>
      </c>
      <c r="AW653">
        <f t="shared" si="581"/>
        <v>749.78030089318929</v>
      </c>
      <c r="AX653">
        <f t="shared" si="582"/>
        <v>-741.28118628794311</v>
      </c>
      <c r="AY653">
        <f t="shared" si="590"/>
        <v>-0.77969818212014508</v>
      </c>
      <c r="BA653">
        <f t="shared" si="572"/>
        <v>0.10604416124909925</v>
      </c>
      <c r="BB653">
        <f t="shared" si="583"/>
        <v>-19.490264771539522</v>
      </c>
      <c r="BC653">
        <f t="shared" si="584"/>
        <v>-2.3359341857295055</v>
      </c>
      <c r="BD653">
        <f t="shared" si="573"/>
        <v>-313.83917021556283</v>
      </c>
      <c r="BF653">
        <f t="shared" si="574"/>
        <v>-114.12326517896921</v>
      </c>
      <c r="BG653">
        <f t="shared" si="575"/>
        <v>-270.34939222194726</v>
      </c>
      <c r="BH653">
        <f t="shared" si="585"/>
        <v>-90.349392221947255</v>
      </c>
      <c r="BI653">
        <f t="shared" si="586"/>
        <v>-90.349392221947255</v>
      </c>
      <c r="BJ653">
        <f t="shared" si="576"/>
        <v>0</v>
      </c>
      <c r="BK653">
        <f t="shared" si="587"/>
        <v>0</v>
      </c>
      <c r="BM653">
        <f t="shared" si="588"/>
        <v>-94.633000407429677</v>
      </c>
      <c r="BN653">
        <f t="shared" si="577"/>
        <v>-136.51022200638451</v>
      </c>
      <c r="BQ653" s="56">
        <f t="shared" si="589"/>
        <v>-2.5883039712543834</v>
      </c>
    </row>
    <row r="654" spans="1:69" x14ac:dyDescent="0.2">
      <c r="A654">
        <f t="shared" si="563"/>
        <v>7800000</v>
      </c>
      <c r="B654">
        <f t="shared" si="578"/>
        <v>7800</v>
      </c>
      <c r="C654">
        <f t="shared" si="539"/>
        <v>1.3866150138327888</v>
      </c>
      <c r="D654">
        <f t="shared" si="540"/>
        <v>0.76529112811842703</v>
      </c>
      <c r="F654">
        <f t="shared" si="541"/>
        <v>8.7451307678327471E-7</v>
      </c>
      <c r="G654">
        <f t="shared" si="542"/>
        <v>1.90845541374631E-4</v>
      </c>
      <c r="H654">
        <f t="shared" si="564"/>
        <v>-3.1414018044586256</v>
      </c>
      <c r="J654">
        <f t="shared" si="565"/>
        <v>15</v>
      </c>
      <c r="M654">
        <f t="shared" si="543"/>
        <v>1.6035206767015469E-4</v>
      </c>
      <c r="N654">
        <f t="shared" si="566"/>
        <v>-1.5707963250000001</v>
      </c>
      <c r="O654">
        <f t="shared" si="544"/>
        <v>1531.7717875211167</v>
      </c>
      <c r="P654">
        <f t="shared" si="567"/>
        <v>1.5701434879848468</v>
      </c>
      <c r="Q654">
        <f t="shared" si="545"/>
        <v>1331.4726857212115</v>
      </c>
      <c r="R654">
        <f t="shared" si="568"/>
        <v>1.5700452786474308</v>
      </c>
      <c r="S654">
        <f t="shared" si="546"/>
        <v>2.6558961194654365E-2</v>
      </c>
      <c r="T654">
        <f t="shared" si="569"/>
        <v>-1.5442342422557149</v>
      </c>
      <c r="U654">
        <f t="shared" si="547"/>
        <v>2.6213351832781177E-2</v>
      </c>
      <c r="V654">
        <f t="shared" si="570"/>
        <v>-1.5445799719938478</v>
      </c>
      <c r="X654">
        <f t="shared" si="548"/>
        <v>-107.65704002837994</v>
      </c>
      <c r="Y654">
        <f t="shared" si="549"/>
        <v>-223.19756853656597</v>
      </c>
      <c r="Z654">
        <f t="shared" si="579"/>
        <v>-43.197568536565967</v>
      </c>
      <c r="AC654">
        <v>1</v>
      </c>
      <c r="AD654">
        <f t="shared" si="550"/>
        <v>1531.7714611017</v>
      </c>
      <c r="AE654">
        <f t="shared" si="551"/>
        <v>-9.0084420760030852</v>
      </c>
      <c r="AF654">
        <f t="shared" si="552"/>
        <v>0.23622263453879999</v>
      </c>
      <c r="AG654">
        <f t="shared" si="553"/>
        <v>4.3447860751491847</v>
      </c>
      <c r="AH654">
        <f t="shared" si="554"/>
        <v>-169.92340200156895</v>
      </c>
      <c r="AJ654">
        <f t="shared" si="571"/>
        <v>26400</v>
      </c>
      <c r="AK654">
        <f t="shared" si="555"/>
        <v>993664.1410375681</v>
      </c>
      <c r="AL654">
        <v>29</v>
      </c>
      <c r="AM654">
        <f t="shared" si="556"/>
        <v>1331.4723101971201</v>
      </c>
      <c r="AN654">
        <f t="shared" si="557"/>
        <v>746.36754115300016</v>
      </c>
      <c r="AO654">
        <f t="shared" si="558"/>
        <v>-3.5714909503893324</v>
      </c>
      <c r="AQ654">
        <f t="shared" si="559"/>
        <v>4.109138707638319E-5</v>
      </c>
      <c r="AR654">
        <f t="shared" si="560"/>
        <v>-0.64102563839157778</v>
      </c>
      <c r="AT654">
        <f t="shared" si="561"/>
        <v>-108.92507871243807</v>
      </c>
      <c r="AU654">
        <f t="shared" si="562"/>
        <v>-2.7921016557823259</v>
      </c>
      <c r="AV654">
        <f t="shared" si="580"/>
        <v>-3.1159650350347792</v>
      </c>
      <c r="AW654">
        <f t="shared" si="581"/>
        <v>750.10103386872413</v>
      </c>
      <c r="AX654">
        <f t="shared" si="582"/>
        <v>-731.2112874395873</v>
      </c>
      <c r="AY654">
        <f t="shared" si="590"/>
        <v>-0.77264681964473225</v>
      </c>
      <c r="BA654">
        <f t="shared" si="572"/>
        <v>0.10401681920820166</v>
      </c>
      <c r="BB654">
        <f t="shared" si="583"/>
        <v>-19.657928618116102</v>
      </c>
      <c r="BC654">
        <f t="shared" si="584"/>
        <v>-2.3433182153900471</v>
      </c>
      <c r="BD654">
        <f t="shared" si="573"/>
        <v>-314.26224395139468</v>
      </c>
      <c r="BF654">
        <f t="shared" si="574"/>
        <v>-114.4616593118952</v>
      </c>
      <c r="BG654">
        <f t="shared" si="575"/>
        <v>-270.40335751722751</v>
      </c>
      <c r="BH654">
        <f t="shared" si="585"/>
        <v>-90.403357517227505</v>
      </c>
      <c r="BI654">
        <f t="shared" si="586"/>
        <v>-90.403357517227505</v>
      </c>
      <c r="BJ654">
        <f t="shared" si="576"/>
        <v>0</v>
      </c>
      <c r="BK654">
        <f t="shared" si="587"/>
        <v>0</v>
      </c>
      <c r="BM654">
        <f t="shared" si="588"/>
        <v>-94.803730693779102</v>
      </c>
      <c r="BN654">
        <f t="shared" si="577"/>
        <v>-136.14111356583282</v>
      </c>
      <c r="BQ654" s="56">
        <f t="shared" si="589"/>
        <v>-2.7559678178309661</v>
      </c>
    </row>
    <row r="655" spans="1:69" x14ac:dyDescent="0.2">
      <c r="A655">
        <f t="shared" si="563"/>
        <v>7900000</v>
      </c>
      <c r="B655">
        <f t="shared" si="578"/>
        <v>7900</v>
      </c>
      <c r="C655">
        <f t="shared" si="539"/>
        <v>1.3951744915658066</v>
      </c>
      <c r="D655">
        <f t="shared" si="540"/>
        <v>0.77165694947393215</v>
      </c>
      <c r="F655">
        <f t="shared" si="541"/>
        <v>8.5251361071491499E-7</v>
      </c>
      <c r="G655">
        <f t="shared" si="542"/>
        <v>1.884297709379696E-4</v>
      </c>
      <c r="H655">
        <f t="shared" si="564"/>
        <v>-3.1414042202290622</v>
      </c>
      <c r="J655">
        <f t="shared" si="565"/>
        <v>15</v>
      </c>
      <c r="M655">
        <f t="shared" si="543"/>
        <v>1.5832229466167174E-4</v>
      </c>
      <c r="N655">
        <f t="shared" si="566"/>
        <v>-1.5707963250000001</v>
      </c>
      <c r="O655">
        <f t="shared" si="544"/>
        <v>1551.4098790443763</v>
      </c>
      <c r="P655">
        <f t="shared" si="567"/>
        <v>1.570151751764949</v>
      </c>
      <c r="Q655">
        <f t="shared" si="545"/>
        <v>1348.5428387907834</v>
      </c>
      <c r="R655">
        <f t="shared" si="568"/>
        <v>1.5700547855824989</v>
      </c>
      <c r="S655">
        <f t="shared" si="546"/>
        <v>2.6223004472601501E-2</v>
      </c>
      <c r="T655">
        <f t="shared" si="569"/>
        <v>-1.5445703160347382</v>
      </c>
      <c r="U655">
        <f t="shared" si="547"/>
        <v>2.5881760947623945E-2</v>
      </c>
      <c r="V655">
        <f t="shared" si="570"/>
        <v>-1.5449116754258965</v>
      </c>
      <c r="X655">
        <f t="shared" si="548"/>
        <v>-107.93538492252196</v>
      </c>
      <c r="Y655">
        <f t="shared" si="549"/>
        <v>-222.87021488170882</v>
      </c>
      <c r="Z655">
        <f t="shared" si="579"/>
        <v>-42.870214881708819</v>
      </c>
      <c r="AC655">
        <v>1</v>
      </c>
      <c r="AD655">
        <f t="shared" si="550"/>
        <v>1551.40955675685</v>
      </c>
      <c r="AE655">
        <f t="shared" si="551"/>
        <v>-9.240908447786861</v>
      </c>
      <c r="AF655">
        <f t="shared" si="552"/>
        <v>0.23925112985339997</v>
      </c>
      <c r="AG655">
        <f t="shared" si="553"/>
        <v>4.235560874465973</v>
      </c>
      <c r="AH655">
        <f t="shared" si="554"/>
        <v>-167.77530075015309</v>
      </c>
      <c r="AJ655">
        <f t="shared" si="571"/>
        <v>26400</v>
      </c>
      <c r="AK655">
        <f t="shared" si="555"/>
        <v>1006403.4248970239</v>
      </c>
      <c r="AL655">
        <v>30</v>
      </c>
      <c r="AM655">
        <f t="shared" si="556"/>
        <v>1348.5424680201602</v>
      </c>
      <c r="AN655">
        <f t="shared" si="557"/>
        <v>746.3558924793864</v>
      </c>
      <c r="AO655">
        <f t="shared" si="558"/>
        <v>-2.9730789505684854</v>
      </c>
      <c r="AQ655">
        <f t="shared" si="559"/>
        <v>4.0057682903149807E-5</v>
      </c>
      <c r="AR655">
        <f t="shared" si="560"/>
        <v>-0.63291138986976692</v>
      </c>
      <c r="AT655">
        <f t="shared" si="561"/>
        <v>-106.18672911684311</v>
      </c>
      <c r="AU655">
        <f t="shared" si="562"/>
        <v>-2.6874554097326944</v>
      </c>
      <c r="AV655">
        <f t="shared" si="580"/>
        <v>-3.1162892861115847</v>
      </c>
      <c r="AW655">
        <f t="shared" si="581"/>
        <v>750.40367173668392</v>
      </c>
      <c r="AX655">
        <f t="shared" si="582"/>
        <v>-721.39606715715524</v>
      </c>
      <c r="AY655">
        <f t="shared" si="590"/>
        <v>-0.76569178027800266</v>
      </c>
      <c r="BA655">
        <f t="shared" si="572"/>
        <v>0.102044883108366</v>
      </c>
      <c r="BB655">
        <f t="shared" si="583"/>
        <v>-19.82417534928955</v>
      </c>
      <c r="BC655">
        <f t="shared" si="584"/>
        <v>-2.3505975058335822</v>
      </c>
      <c r="BD655">
        <f t="shared" si="573"/>
        <v>-314.67931657213569</v>
      </c>
      <c r="BF655">
        <f t="shared" si="574"/>
        <v>-114.79575319389178</v>
      </c>
      <c r="BG655">
        <f t="shared" si="575"/>
        <v>-270.45583385419752</v>
      </c>
      <c r="BH655">
        <f t="shared" si="585"/>
        <v>-90.455833854197522</v>
      </c>
      <c r="BI655">
        <f t="shared" si="586"/>
        <v>-90.455833854197522</v>
      </c>
      <c r="BJ655">
        <f t="shared" si="576"/>
        <v>0</v>
      </c>
      <c r="BK655">
        <f t="shared" si="587"/>
        <v>0</v>
      </c>
      <c r="BM655">
        <f t="shared" si="588"/>
        <v>-94.971577844602223</v>
      </c>
      <c r="BN655">
        <f t="shared" si="577"/>
        <v>-135.77651728206183</v>
      </c>
      <c r="BQ655" s="56">
        <f t="shared" si="589"/>
        <v>-2.9222145490044142</v>
      </c>
    </row>
    <row r="656" spans="1:69" x14ac:dyDescent="0.2">
      <c r="A656">
        <f t="shared" si="563"/>
        <v>8000000</v>
      </c>
      <c r="B656">
        <f t="shared" si="578"/>
        <v>8000</v>
      </c>
      <c r="C656">
        <f t="shared" si="539"/>
        <v>1.4037898161130653</v>
      </c>
      <c r="D656">
        <f t="shared" si="540"/>
        <v>0.77794488653953187</v>
      </c>
      <c r="F656">
        <f t="shared" si="541"/>
        <v>8.3133395844806415E-7</v>
      </c>
      <c r="G656">
        <f t="shared" si="542"/>
        <v>1.8607439491273952E-4</v>
      </c>
      <c r="H656">
        <f t="shared" si="564"/>
        <v>-3.1414065756050875</v>
      </c>
      <c r="J656">
        <f t="shared" si="565"/>
        <v>15</v>
      </c>
      <c r="M656">
        <f t="shared" si="543"/>
        <v>1.5634326597840085E-4</v>
      </c>
      <c r="N656">
        <f t="shared" si="566"/>
        <v>-1.5707963250000001</v>
      </c>
      <c r="O656">
        <f t="shared" si="544"/>
        <v>1571.047970670933</v>
      </c>
      <c r="P656">
        <f t="shared" si="567"/>
        <v>1.5701598089506332</v>
      </c>
      <c r="Q656">
        <f t="shared" si="545"/>
        <v>1365.6129919791917</v>
      </c>
      <c r="R656">
        <f t="shared" si="568"/>
        <v>1.5700640548443192</v>
      </c>
      <c r="S656">
        <f t="shared" si="546"/>
        <v>2.58954381126438E-2</v>
      </c>
      <c r="T656">
        <f t="shared" si="569"/>
        <v>-1.5448979936752194</v>
      </c>
      <c r="U656">
        <f t="shared" si="547"/>
        <v>2.5558451608184696E-2</v>
      </c>
      <c r="V656">
        <f t="shared" si="570"/>
        <v>-1.5452350917582562</v>
      </c>
      <c r="X656">
        <f t="shared" si="548"/>
        <v>-108.20954127587667</v>
      </c>
      <c r="Y656">
        <f t="shared" si="549"/>
        <v>-222.54638978313568</v>
      </c>
      <c r="Z656">
        <f t="shared" si="579"/>
        <v>-42.54638978313568</v>
      </c>
      <c r="AC656">
        <v>1</v>
      </c>
      <c r="AD656">
        <f t="shared" si="550"/>
        <v>1571.0476524120002</v>
      </c>
      <c r="AE656">
        <f t="shared" si="551"/>
        <v>-9.4763361746252066</v>
      </c>
      <c r="AF656">
        <f t="shared" si="552"/>
        <v>0.242279625168</v>
      </c>
      <c r="AG656">
        <f t="shared" si="553"/>
        <v>4.1304023970330386</v>
      </c>
      <c r="AH656">
        <f t="shared" si="554"/>
        <v>-165.68079805690834</v>
      </c>
      <c r="AJ656">
        <f t="shared" si="571"/>
        <v>26400</v>
      </c>
      <c r="AK656">
        <f t="shared" si="555"/>
        <v>1019142.7087564801</v>
      </c>
      <c r="AL656">
        <v>31</v>
      </c>
      <c r="AM656">
        <f t="shared" si="556"/>
        <v>1365.6126258432002</v>
      </c>
      <c r="AN656">
        <f t="shared" si="557"/>
        <v>746.34399874067606</v>
      </c>
      <c r="AO656">
        <f t="shared" si="558"/>
        <v>-2.3896498738242755</v>
      </c>
      <c r="AQ656">
        <f t="shared" si="559"/>
        <v>3.9062499847412111E-5</v>
      </c>
      <c r="AR656">
        <f t="shared" si="560"/>
        <v>-0.62499999755859381</v>
      </c>
      <c r="AT656">
        <f t="shared" si="561"/>
        <v>-103.55033703723059</v>
      </c>
      <c r="AU656">
        <f t="shared" si="562"/>
        <v>-2.5879733942104766</v>
      </c>
      <c r="AV656">
        <f t="shared" si="580"/>
        <v>-3.1166054363974975</v>
      </c>
      <c r="AW656">
        <f t="shared" si="581"/>
        <v>750.68926274926366</v>
      </c>
      <c r="AX656">
        <f t="shared" si="582"/>
        <v>-711.82600088716561</v>
      </c>
      <c r="AY656">
        <f t="shared" si="590"/>
        <v>-0.7588315221160512</v>
      </c>
      <c r="BA656">
        <f t="shared" si="572"/>
        <v>0.10012635861323245</v>
      </c>
      <c r="BB656">
        <f t="shared" si="583"/>
        <v>-19.989031558633165</v>
      </c>
      <c r="BC656">
        <f t="shared" si="584"/>
        <v>-2.3577739142814464</v>
      </c>
      <c r="BD656">
        <f t="shared" si="573"/>
        <v>-315.0904944887302</v>
      </c>
      <c r="BF656">
        <f t="shared" si="574"/>
        <v>-115.12565420839039</v>
      </c>
      <c r="BG656">
        <f t="shared" si="575"/>
        <v>-270.50687446778318</v>
      </c>
      <c r="BH656">
        <f t="shared" si="585"/>
        <v>-90.506874467783177</v>
      </c>
      <c r="BI656">
        <f t="shared" si="586"/>
        <v>-90.506874467783177</v>
      </c>
      <c r="BJ656">
        <f t="shared" si="576"/>
        <v>0</v>
      </c>
      <c r="BK656">
        <f t="shared" si="587"/>
        <v>0</v>
      </c>
      <c r="BM656">
        <f t="shared" si="588"/>
        <v>-95.136622649757214</v>
      </c>
      <c r="BN656">
        <f t="shared" si="577"/>
        <v>-135.41637997905298</v>
      </c>
      <c r="BQ656" s="56">
        <f t="shared" si="589"/>
        <v>-3.0870707583480304</v>
      </c>
    </row>
    <row r="657" spans="1:69" x14ac:dyDescent="0.2">
      <c r="A657">
        <f t="shared" si="563"/>
        <v>8100000</v>
      </c>
      <c r="B657">
        <f t="shared" si="578"/>
        <v>8100</v>
      </c>
      <c r="C657">
        <f t="shared" si="539"/>
        <v>1.41245996555904</v>
      </c>
      <c r="D657">
        <f t="shared" si="540"/>
        <v>0.78415587177529644</v>
      </c>
      <c r="F657">
        <f t="shared" si="541"/>
        <v>8.1093388625623979E-7</v>
      </c>
      <c r="G657">
        <f t="shared" si="542"/>
        <v>1.837771764615921E-4</v>
      </c>
      <c r="H657">
        <f t="shared" si="564"/>
        <v>-3.1414088728235385</v>
      </c>
      <c r="J657">
        <f t="shared" si="565"/>
        <v>15</v>
      </c>
      <c r="M657">
        <f t="shared" si="543"/>
        <v>1.5441310220088973E-4</v>
      </c>
      <c r="N657">
        <f t="shared" si="566"/>
        <v>-1.5707963250000001</v>
      </c>
      <c r="O657">
        <f t="shared" si="544"/>
        <v>1590.686062396961</v>
      </c>
      <c r="P657">
        <f t="shared" si="567"/>
        <v>1.5701676671935407</v>
      </c>
      <c r="Q657">
        <f t="shared" si="545"/>
        <v>1382.6831452820354</v>
      </c>
      <c r="R657">
        <f t="shared" si="568"/>
        <v>1.5700730952355986</v>
      </c>
      <c r="S657">
        <f t="shared" si="546"/>
        <v>2.5575951774999512E-2</v>
      </c>
      <c r="T657">
        <f t="shared" si="569"/>
        <v>-1.5452175858688653</v>
      </c>
      <c r="U657">
        <f t="shared" si="547"/>
        <v>2.5243117488966335E-2</v>
      </c>
      <c r="V657">
        <f t="shared" si="570"/>
        <v>-1.5455505276548009</v>
      </c>
      <c r="X657">
        <f t="shared" si="548"/>
        <v>-108.47962118886926</v>
      </c>
      <c r="Y657">
        <f t="shared" si="549"/>
        <v>-222.22607437208589</v>
      </c>
      <c r="Z657">
        <f t="shared" si="579"/>
        <v>-42.22607437208589</v>
      </c>
      <c r="AC657">
        <v>1</v>
      </c>
      <c r="AD657">
        <f t="shared" si="550"/>
        <v>1590.6857480671499</v>
      </c>
      <c r="AE657">
        <f t="shared" si="551"/>
        <v>-9.7147252565181201</v>
      </c>
      <c r="AF657">
        <f t="shared" si="552"/>
        <v>0.24530812048259998</v>
      </c>
      <c r="AG657">
        <f t="shared" si="553"/>
        <v>4.0291112765814718</v>
      </c>
      <c r="AH657">
        <f t="shared" si="554"/>
        <v>-163.63791382428084</v>
      </c>
      <c r="AJ657">
        <f t="shared" si="571"/>
        <v>26400</v>
      </c>
      <c r="AK657">
        <f t="shared" si="555"/>
        <v>1031881.9926159361</v>
      </c>
      <c r="AL657">
        <v>32</v>
      </c>
      <c r="AM657">
        <f t="shared" si="556"/>
        <v>1382.6827836662401</v>
      </c>
      <c r="AN657">
        <f t="shared" si="557"/>
        <v>746.33188867582612</v>
      </c>
      <c r="AO657">
        <f t="shared" si="558"/>
        <v>-1.8206486636787567</v>
      </c>
      <c r="AQ657">
        <f t="shared" si="559"/>
        <v>3.8103947423777063E-5</v>
      </c>
      <c r="AR657">
        <f t="shared" si="560"/>
        <v>-0.6172839482651884</v>
      </c>
      <c r="AT657">
        <f t="shared" si="561"/>
        <v>-101.01090400628648</v>
      </c>
      <c r="AU657">
        <f t="shared" si="562"/>
        <v>-2.4933409672729017</v>
      </c>
      <c r="AV657">
        <f t="shared" si="580"/>
        <v>-3.1169137856560702</v>
      </c>
      <c r="AW657">
        <f t="shared" si="581"/>
        <v>750.958785372688</v>
      </c>
      <c r="AX657">
        <f t="shared" si="582"/>
        <v>-702.49203236958283</v>
      </c>
      <c r="AY657">
        <f t="shared" si="590"/>
        <v>-0.75206452726306139</v>
      </c>
      <c r="BA657">
        <f t="shared" si="572"/>
        <v>9.8259343360474635E-2</v>
      </c>
      <c r="BB657">
        <f t="shared" si="583"/>
        <v>-20.152522849184805</v>
      </c>
      <c r="BC657">
        <f t="shared" si="584"/>
        <v>-2.3648492583930087</v>
      </c>
      <c r="BD657">
        <f t="shared" si="573"/>
        <v>-315.49588184538868</v>
      </c>
      <c r="BF657">
        <f t="shared" si="574"/>
        <v>-115.45146575494263</v>
      </c>
      <c r="BG657">
        <f t="shared" si="575"/>
        <v>-270.55653020432965</v>
      </c>
      <c r="BH657">
        <f t="shared" si="585"/>
        <v>-90.556530204329647</v>
      </c>
      <c r="BI657">
        <f t="shared" si="586"/>
        <v>-90.556530204329647</v>
      </c>
      <c r="BJ657">
        <f t="shared" si="576"/>
        <v>0</v>
      </c>
      <c r="BK657">
        <f t="shared" si="587"/>
        <v>0</v>
      </c>
      <c r="BM657">
        <f t="shared" si="588"/>
        <v>-95.298942905757826</v>
      </c>
      <c r="BN657">
        <f t="shared" si="577"/>
        <v>-135.06064835894097</v>
      </c>
      <c r="BQ657" s="56">
        <f t="shared" si="589"/>
        <v>-3.2505620488996696</v>
      </c>
    </row>
    <row r="658" spans="1:69" x14ac:dyDescent="0.2">
      <c r="A658">
        <f t="shared" si="563"/>
        <v>8200000</v>
      </c>
      <c r="B658">
        <f t="shared" si="578"/>
        <v>8200</v>
      </c>
      <c r="C658">
        <f t="shared" si="539"/>
        <v>1.4211839365011063</v>
      </c>
      <c r="D658">
        <f t="shared" si="540"/>
        <v>0.79029083870972883</v>
      </c>
      <c r="F658">
        <f t="shared" si="541"/>
        <v>7.9127559863972391E-7</v>
      </c>
      <c r="G658">
        <f t="shared" si="542"/>
        <v>1.8153598786163261E-4</v>
      </c>
      <c r="H658">
        <f t="shared" si="564"/>
        <v>-3.1414111140121386</v>
      </c>
      <c r="J658">
        <f t="shared" si="565"/>
        <v>15</v>
      </c>
      <c r="M658">
        <f t="shared" si="543"/>
        <v>1.5253001558868375E-4</v>
      </c>
      <c r="N658">
        <f t="shared" si="566"/>
        <v>-1.5707963250000001</v>
      </c>
      <c r="O658">
        <f t="shared" si="544"/>
        <v>1610.3241542188216</v>
      </c>
      <c r="P658">
        <f t="shared" si="567"/>
        <v>1.5701753337720619</v>
      </c>
      <c r="Q658">
        <f t="shared" si="545"/>
        <v>1399.753298695128</v>
      </c>
      <c r="R658">
        <f t="shared" si="568"/>
        <v>1.5700819151296437</v>
      </c>
      <c r="S658">
        <f t="shared" si="546"/>
        <v>2.52642502336318E-2</v>
      </c>
      <c r="T658">
        <f t="shared" si="569"/>
        <v>-1.5455293881682217</v>
      </c>
      <c r="U658">
        <f t="shared" si="547"/>
        <v>2.4935467183351288E-2</v>
      </c>
      <c r="V658">
        <f t="shared" si="570"/>
        <v>-1.5458582748360874</v>
      </c>
      <c r="X658">
        <f t="shared" si="548"/>
        <v>-108.74573265116182</v>
      </c>
      <c r="Y658">
        <f t="shared" si="549"/>
        <v>-221.90924803471972</v>
      </c>
      <c r="Z658">
        <f t="shared" si="579"/>
        <v>-41.909248034719724</v>
      </c>
      <c r="AC658">
        <v>1</v>
      </c>
      <c r="AD658">
        <f t="shared" si="550"/>
        <v>1610.3238437223001</v>
      </c>
      <c r="AE658">
        <f t="shared" si="551"/>
        <v>-9.9560756934656069</v>
      </c>
      <c r="AF658">
        <f t="shared" si="552"/>
        <v>0.24833661579719998</v>
      </c>
      <c r="AG658">
        <f t="shared" si="553"/>
        <v>3.9315002134171131</v>
      </c>
      <c r="AH658">
        <f t="shared" si="554"/>
        <v>-161.64476424386214</v>
      </c>
      <c r="AJ658">
        <f t="shared" si="571"/>
        <v>26400</v>
      </c>
      <c r="AK658">
        <f t="shared" si="555"/>
        <v>1044621.2764753922</v>
      </c>
      <c r="AL658">
        <v>33</v>
      </c>
      <c r="AM658">
        <f t="shared" si="556"/>
        <v>1399.7529414892801</v>
      </c>
      <c r="AN658">
        <f t="shared" si="557"/>
        <v>746.31958867343963</v>
      </c>
      <c r="AO658">
        <f t="shared" si="558"/>
        <v>-1.2655473128648964</v>
      </c>
      <c r="AQ658">
        <f t="shared" si="559"/>
        <v>3.7180249713041904E-5</v>
      </c>
      <c r="AR658">
        <f t="shared" si="560"/>
        <v>-0.60975609529388719</v>
      </c>
      <c r="AT658">
        <f t="shared" si="561"/>
        <v>-98.563734095878658</v>
      </c>
      <c r="AU658">
        <f t="shared" si="562"/>
        <v>-2.4032662114796954</v>
      </c>
      <c r="AV658">
        <f t="shared" si="580"/>
        <v>-3.1172146190441379</v>
      </c>
      <c r="AW658">
        <f t="shared" si="581"/>
        <v>751.21315362582686</v>
      </c>
      <c r="AX658">
        <f t="shared" si="582"/>
        <v>-693.38554525421432</v>
      </c>
      <c r="AY658">
        <f t="shared" si="590"/>
        <v>-0.74538930137593662</v>
      </c>
      <c r="BA658">
        <f t="shared" si="572"/>
        <v>9.6442021614798187E-2</v>
      </c>
      <c r="BB658">
        <f t="shared" si="583"/>
        <v>-20.314673890622235</v>
      </c>
      <c r="BC658">
        <f t="shared" si="584"/>
        <v>-2.3718253176682014</v>
      </c>
      <c r="BD658">
        <f t="shared" si="573"/>
        <v>-315.89558059994704</v>
      </c>
      <c r="BF658">
        <f t="shared" si="574"/>
        <v>-115.77328744516514</v>
      </c>
      <c r="BG658">
        <f t="shared" si="575"/>
        <v>-270.60484965633907</v>
      </c>
      <c r="BH658">
        <f t="shared" si="585"/>
        <v>-90.60484965633907</v>
      </c>
      <c r="BI658">
        <f t="shared" si="586"/>
        <v>-90.60484965633907</v>
      </c>
      <c r="BJ658">
        <f t="shared" si="576"/>
        <v>0</v>
      </c>
      <c r="BK658">
        <f t="shared" si="587"/>
        <v>0</v>
      </c>
      <c r="BM658">
        <f t="shared" si="588"/>
        <v>-95.458613554542922</v>
      </c>
      <c r="BN658">
        <f t="shared" si="577"/>
        <v>-134.70926905639206</v>
      </c>
      <c r="BQ658" s="56">
        <f t="shared" si="589"/>
        <v>-3.4127130903370966</v>
      </c>
    </row>
    <row r="659" spans="1:69" x14ac:dyDescent="0.2">
      <c r="A659">
        <f t="shared" si="563"/>
        <v>8300000</v>
      </c>
      <c r="B659">
        <f t="shared" si="578"/>
        <v>8300</v>
      </c>
      <c r="C659">
        <f t="shared" si="539"/>
        <v>1.4299607438695514</v>
      </c>
      <c r="D659">
        <f t="shared" si="540"/>
        <v>0.79635072105241289</v>
      </c>
      <c r="F659">
        <f t="shared" si="541"/>
        <v>7.7232356313852983E-7</v>
      </c>
      <c r="G659">
        <f t="shared" si="542"/>
        <v>1.7934880393122903E-4</v>
      </c>
      <c r="H659">
        <f t="shared" si="564"/>
        <v>-3.141413301196069</v>
      </c>
      <c r="J659">
        <f t="shared" si="565"/>
        <v>15</v>
      </c>
      <c r="M659">
        <f t="shared" si="543"/>
        <v>1.5069230455749477E-4</v>
      </c>
      <c r="N659">
        <f t="shared" si="566"/>
        <v>-1.5707963250000001</v>
      </c>
      <c r="O659">
        <f t="shared" si="544"/>
        <v>1629.9622461330505</v>
      </c>
      <c r="P659">
        <f t="shared" si="567"/>
        <v>1.5701828156138218</v>
      </c>
      <c r="Q659">
        <f t="shared" si="545"/>
        <v>1416.823452214484</v>
      </c>
      <c r="R659">
        <f t="shared" si="568"/>
        <v>1.5700905224962287</v>
      </c>
      <c r="S659">
        <f t="shared" si="546"/>
        <v>2.4960052467539341E-2</v>
      </c>
      <c r="T659">
        <f t="shared" si="569"/>
        <v>-1.5458336818974991</v>
      </c>
      <c r="U659">
        <f t="shared" si="547"/>
        <v>2.4635223306563439E-2</v>
      </c>
      <c r="V659">
        <f t="shared" si="570"/>
        <v>-1.5461586109784269</v>
      </c>
      <c r="X659">
        <f t="shared" si="548"/>
        <v>-109.00797973299687</v>
      </c>
      <c r="Y659">
        <f t="shared" si="549"/>
        <v>-221.59588856426552</v>
      </c>
      <c r="Z659">
        <f t="shared" si="579"/>
        <v>-41.595888564265522</v>
      </c>
      <c r="AC659">
        <v>1</v>
      </c>
      <c r="AD659">
        <f t="shared" si="550"/>
        <v>1629.9619393774501</v>
      </c>
      <c r="AE659">
        <f t="shared" si="551"/>
        <v>-10.200387485467662</v>
      </c>
      <c r="AF659">
        <f t="shared" si="552"/>
        <v>0.25136511111179999</v>
      </c>
      <c r="AG659">
        <f t="shared" si="553"/>
        <v>3.8373931086959061</v>
      </c>
      <c r="AH659">
        <f t="shared" si="554"/>
        <v>-159.699556017172</v>
      </c>
      <c r="AJ659">
        <f t="shared" si="571"/>
        <v>26400</v>
      </c>
      <c r="AK659">
        <f t="shared" si="555"/>
        <v>1057360.560334848</v>
      </c>
      <c r="AL659">
        <v>34</v>
      </c>
      <c r="AM659">
        <f t="shared" si="556"/>
        <v>1416.8230993123202</v>
      </c>
      <c r="AN659">
        <f t="shared" si="557"/>
        <v>746.3071229697905</v>
      </c>
      <c r="AO659">
        <f t="shared" si="558"/>
        <v>-0.72384323739844092</v>
      </c>
      <c r="AQ659">
        <f t="shared" si="559"/>
        <v>3.6289737130607717E-5</v>
      </c>
      <c r="AR659">
        <f t="shared" si="560"/>
        <v>-0.60240963636808809</v>
      </c>
      <c r="AT659">
        <f t="shared" si="561"/>
        <v>-96.204412210462507</v>
      </c>
      <c r="AU659">
        <f t="shared" si="562"/>
        <v>-2.3174780421186463</v>
      </c>
      <c r="AV659">
        <f t="shared" si="580"/>
        <v>-3.1175082079906158</v>
      </c>
      <c r="AW659">
        <f t="shared" si="581"/>
        <v>751.4532219557542</v>
      </c>
      <c r="AX659">
        <f t="shared" si="582"/>
        <v>-684.49833675340892</v>
      </c>
      <c r="AY659">
        <f t="shared" si="590"/>
        <v>-0.73880437325065829</v>
      </c>
      <c r="BA659">
        <f t="shared" si="572"/>
        <v>9.467265930227077E-2</v>
      </c>
      <c r="BB659">
        <f t="shared" si="583"/>
        <v>-20.475508472423513</v>
      </c>
      <c r="BC659">
        <f t="shared" si="584"/>
        <v>-2.3787038347399574</v>
      </c>
      <c r="BD659">
        <f t="shared" si="573"/>
        <v>-316.28969059791768</v>
      </c>
      <c r="BF659">
        <f t="shared" si="574"/>
        <v>-116.09121528672566</v>
      </c>
      <c r="BG659">
        <f t="shared" si="575"/>
        <v>-270.65187928773969</v>
      </c>
      <c r="BH659">
        <f t="shared" si="585"/>
        <v>-90.651879287739689</v>
      </c>
      <c r="BI659">
        <f t="shared" si="586"/>
        <v>-90.651879287739689</v>
      </c>
      <c r="BJ659">
        <f t="shared" si="576"/>
        <v>0</v>
      </c>
      <c r="BK659">
        <f t="shared" si="587"/>
        <v>0</v>
      </c>
      <c r="BM659">
        <f t="shared" si="588"/>
        <v>-95.615706814302129</v>
      </c>
      <c r="BN659">
        <f t="shared" si="577"/>
        <v>-134.36218868982206</v>
      </c>
      <c r="BQ659" s="56">
        <f t="shared" si="589"/>
        <v>-3.5735476721383734</v>
      </c>
    </row>
    <row r="660" spans="1:69" x14ac:dyDescent="0.2">
      <c r="A660">
        <f t="shared" si="563"/>
        <v>8400000</v>
      </c>
      <c r="B660">
        <f t="shared" si="578"/>
        <v>8400</v>
      </c>
      <c r="C660">
        <f t="shared" si="539"/>
        <v>1.438789420736956</v>
      </c>
      <c r="D660">
        <f t="shared" si="540"/>
        <v>0.80233645185937374</v>
      </c>
      <c r="F660">
        <f t="shared" si="541"/>
        <v>7.5404434965652078E-7</v>
      </c>
      <c r="G660">
        <f t="shared" si="542"/>
        <v>1.7721369592633751E-4</v>
      </c>
      <c r="H660">
        <f t="shared" si="564"/>
        <v>-3.141415436304074</v>
      </c>
      <c r="J660">
        <f t="shared" si="565"/>
        <v>15</v>
      </c>
      <c r="M660">
        <f t="shared" si="543"/>
        <v>1.4889834855085795E-4</v>
      </c>
      <c r="N660">
        <f t="shared" si="566"/>
        <v>-1.5707963250000001</v>
      </c>
      <c r="O660">
        <f t="shared" si="544"/>
        <v>1649.6003381363489</v>
      </c>
      <c r="P660">
        <f t="shared" si="567"/>
        <v>1.5701901193165582</v>
      </c>
      <c r="Q660">
        <f t="shared" si="545"/>
        <v>1433.8936058363088</v>
      </c>
      <c r="R660">
        <f t="shared" si="568"/>
        <v>1.5700989249256148</v>
      </c>
      <c r="S660">
        <f t="shared" si="546"/>
        <v>2.466309081681101E-2</v>
      </c>
      <c r="T660">
        <f t="shared" si="569"/>
        <v>-1.5461307349984346</v>
      </c>
      <c r="U660">
        <f t="shared" si="547"/>
        <v>2.4342121662565958E-2</v>
      </c>
      <c r="V660">
        <f t="shared" si="570"/>
        <v>-1.5464518005488317</v>
      </c>
      <c r="X660">
        <f t="shared" si="548"/>
        <v>-109.2664627655553</v>
      </c>
      <c r="Y660">
        <f t="shared" si="549"/>
        <v>-221.28597230292183</v>
      </c>
      <c r="Z660">
        <f t="shared" si="579"/>
        <v>-41.285972302921834</v>
      </c>
      <c r="AC660">
        <v>1</v>
      </c>
      <c r="AD660">
        <f t="shared" si="550"/>
        <v>1649.6000350325999</v>
      </c>
      <c r="AE660">
        <f t="shared" si="551"/>
        <v>-10.44766063252429</v>
      </c>
      <c r="AF660">
        <f t="shared" si="552"/>
        <v>0.25439360642640002</v>
      </c>
      <c r="AG660">
        <f t="shared" si="553"/>
        <v>3.7466242702921284</v>
      </c>
      <c r="AH660">
        <f t="shared" si="554"/>
        <v>-157.80058098749913</v>
      </c>
      <c r="AJ660">
        <f t="shared" si="571"/>
        <v>26400</v>
      </c>
      <c r="AK660">
        <f t="shared" si="555"/>
        <v>1070099.844194304</v>
      </c>
      <c r="AL660">
        <v>35</v>
      </c>
      <c r="AM660">
        <f t="shared" si="556"/>
        <v>1433.8932571353603</v>
      </c>
      <c r="AN660">
        <f t="shared" si="557"/>
        <v>746.29451382873015</v>
      </c>
      <c r="AO660">
        <f t="shared" si="558"/>
        <v>-0.1950577664011206</v>
      </c>
      <c r="AQ660">
        <f t="shared" si="559"/>
        <v>3.5430838876733138E-5</v>
      </c>
      <c r="AR660">
        <f t="shared" si="560"/>
        <v>-0.59523809312911669</v>
      </c>
      <c r="AT660">
        <f t="shared" si="561"/>
        <v>-93.928784175624884</v>
      </c>
      <c r="AU660">
        <f t="shared" si="562"/>
        <v>-2.2357244932795779</v>
      </c>
      <c r="AV660">
        <f t="shared" si="580"/>
        <v>-3.117794811012613</v>
      </c>
      <c r="AW660">
        <f t="shared" si="581"/>
        <v>751.67978969516878</v>
      </c>
      <c r="AX660">
        <f t="shared" si="582"/>
        <v>-675.82259316291913</v>
      </c>
      <c r="AY660">
        <f t="shared" si="590"/>
        <v>-0.73230829444408096</v>
      </c>
      <c r="BA660">
        <f t="shared" si="572"/>
        <v>9.294959939387748E-2</v>
      </c>
      <c r="BB660">
        <f t="shared" si="583"/>
        <v>-20.635049553323817</v>
      </c>
      <c r="BC660">
        <f t="shared" si="584"/>
        <v>-2.3854865165685322</v>
      </c>
      <c r="BD660">
        <f t="shared" si="573"/>
        <v>-316.67830964091911</v>
      </c>
      <c r="BF660">
        <f t="shared" si="574"/>
        <v>-116.40534185623629</v>
      </c>
      <c r="BG660">
        <f t="shared" si="575"/>
        <v>-270.69766355048665</v>
      </c>
      <c r="BH660">
        <f t="shared" si="585"/>
        <v>-90.697663550486652</v>
      </c>
      <c r="BI660">
        <f t="shared" si="586"/>
        <v>-90.697663550486652</v>
      </c>
      <c r="BJ660">
        <f t="shared" si="576"/>
        <v>0</v>
      </c>
      <c r="BK660">
        <f t="shared" si="587"/>
        <v>0</v>
      </c>
      <c r="BM660">
        <f t="shared" si="588"/>
        <v>-95.770292302912466</v>
      </c>
      <c r="BN660">
        <f t="shared" si="577"/>
        <v>-134.01935390956749</v>
      </c>
      <c r="BQ660" s="56">
        <f t="shared" si="589"/>
        <v>-3.733088753038678</v>
      </c>
    </row>
    <row r="661" spans="1:69" x14ac:dyDescent="0.2">
      <c r="A661">
        <f t="shared" si="563"/>
        <v>8500000</v>
      </c>
      <c r="B661">
        <f t="shared" si="578"/>
        <v>8500</v>
      </c>
      <c r="C661">
        <f t="shared" si="539"/>
        <v>1.447669018117973</v>
      </c>
      <c r="D661">
        <f t="shared" si="540"/>
        <v>0.80824896274922275</v>
      </c>
      <c r="F661">
        <f t="shared" si="541"/>
        <v>7.3640648293905457E-7</v>
      </c>
      <c r="G661">
        <f t="shared" si="542"/>
        <v>1.7512882586767772E-4</v>
      </c>
      <c r="H661">
        <f t="shared" si="564"/>
        <v>-3.1414175211741324</v>
      </c>
      <c r="J661">
        <f t="shared" si="565"/>
        <v>15</v>
      </c>
      <c r="M661">
        <f t="shared" si="543"/>
        <v>1.4714660327378901E-4</v>
      </c>
      <c r="N661">
        <f t="shared" si="566"/>
        <v>-1.5707963250000001</v>
      </c>
      <c r="O661">
        <f t="shared" si="544"/>
        <v>1669.238430225573</v>
      </c>
      <c r="P661">
        <f t="shared" si="567"/>
        <v>1.570197251167528</v>
      </c>
      <c r="Q661">
        <f t="shared" si="545"/>
        <v>1450.9637595569857</v>
      </c>
      <c r="R661">
        <f t="shared" si="568"/>
        <v>1.5701071296508751</v>
      </c>
      <c r="S661">
        <f t="shared" si="546"/>
        <v>2.4373110198124541E-2</v>
      </c>
      <c r="T661">
        <f t="shared" si="569"/>
        <v>-1.5464208028165316</v>
      </c>
      <c r="U661">
        <f t="shared" si="547"/>
        <v>2.405591046964272E-2</v>
      </c>
      <c r="V661">
        <f t="shared" si="570"/>
        <v>-1.5467380955811041</v>
      </c>
      <c r="X661">
        <f t="shared" si="548"/>
        <v>-109.52127851109032</v>
      </c>
      <c r="Y661">
        <f t="shared" si="549"/>
        <v>-220.97947427421744</v>
      </c>
      <c r="Z661">
        <f t="shared" si="579"/>
        <v>-40.979474274217438</v>
      </c>
      <c r="AC661">
        <v>1</v>
      </c>
      <c r="AD661">
        <f t="shared" si="550"/>
        <v>1669.2381306877498</v>
      </c>
      <c r="AE661">
        <f t="shared" si="551"/>
        <v>-10.697895134635486</v>
      </c>
      <c r="AF661">
        <f t="shared" si="552"/>
        <v>0.257422101741</v>
      </c>
      <c r="AG661">
        <f t="shared" si="553"/>
        <v>3.6590376835735605</v>
      </c>
      <c r="AH661">
        <f t="shared" si="554"/>
        <v>-155.94621114910933</v>
      </c>
      <c r="AJ661">
        <f t="shared" si="571"/>
        <v>26400</v>
      </c>
      <c r="AK661">
        <f t="shared" si="555"/>
        <v>1082839.1280537602</v>
      </c>
      <c r="AL661">
        <v>36</v>
      </c>
      <c r="AM661">
        <f t="shared" si="556"/>
        <v>1450.9634149584003</v>
      </c>
      <c r="AN661">
        <f t="shared" si="557"/>
        <v>746.28178170528156</v>
      </c>
      <c r="AO661">
        <f t="shared" si="558"/>
        <v>0.32126526181468407</v>
      </c>
      <c r="AQ661">
        <f t="shared" si="559"/>
        <v>3.4602076004837107E-5</v>
      </c>
      <c r="AR661">
        <f t="shared" si="560"/>
        <v>-0.5882352920822308</v>
      </c>
      <c r="AT661">
        <f t="shared" si="561"/>
        <v>-91.732938454113537</v>
      </c>
      <c r="AU661">
        <f t="shared" si="562"/>
        <v>-2.1577711631876304</v>
      </c>
      <c r="AV661">
        <f t="shared" si="580"/>
        <v>-3.1180746744740255</v>
      </c>
      <c r="AW661">
        <f t="shared" si="581"/>
        <v>751.89360514176724</v>
      </c>
      <c r="AX661">
        <f t="shared" si="582"/>
        <v>-667.35086709843222</v>
      </c>
      <c r="AY661">
        <f t="shared" si="590"/>
        <v>-0.72589963892569209</v>
      </c>
      <c r="BA661">
        <f t="shared" si="572"/>
        <v>9.1271257609271531E-2</v>
      </c>
      <c r="BB661">
        <f t="shared" si="583"/>
        <v>-20.793319307353926</v>
      </c>
      <c r="BC661">
        <f t="shared" si="584"/>
        <v>-2.3921750355483336</v>
      </c>
      <c r="BD661">
        <f t="shared" si="573"/>
        <v>-317.0615335500928</v>
      </c>
      <c r="BF661">
        <f t="shared" si="574"/>
        <v>-116.71575646184814</v>
      </c>
      <c r="BG661">
        <f t="shared" si="575"/>
        <v>-270.74224499321502</v>
      </c>
      <c r="BH661">
        <f t="shared" si="585"/>
        <v>-90.742244993215024</v>
      </c>
      <c r="BI661">
        <f t="shared" si="586"/>
        <v>-90.742244993215024</v>
      </c>
      <c r="BJ661">
        <f t="shared" si="576"/>
        <v>0</v>
      </c>
      <c r="BK661">
        <f t="shared" si="587"/>
        <v>0</v>
      </c>
      <c r="BM661">
        <f t="shared" si="588"/>
        <v>-95.922437154494219</v>
      </c>
      <c r="BN661">
        <f t="shared" si="577"/>
        <v>-133.68071144312222</v>
      </c>
      <c r="BQ661" s="56">
        <f t="shared" si="589"/>
        <v>-3.8913585070687899</v>
      </c>
    </row>
    <row r="662" spans="1:69" x14ac:dyDescent="0.2">
      <c r="A662">
        <f t="shared" si="563"/>
        <v>8600000</v>
      </c>
      <c r="B662">
        <f t="shared" si="578"/>
        <v>8600</v>
      </c>
      <c r="C662">
        <f t="shared" si="539"/>
        <v>1.4565986047604775</v>
      </c>
      <c r="D662">
        <f t="shared" si="540"/>
        <v>0.81408918316816026</v>
      </c>
      <c r="F662">
        <f t="shared" si="541"/>
        <v>7.1938030698776575E-7</v>
      </c>
      <c r="G662">
        <f t="shared" si="542"/>
        <v>1.7309244126368828E-4</v>
      </c>
      <c r="H662">
        <f t="shared" si="564"/>
        <v>-3.1414195575587365</v>
      </c>
      <c r="J662">
        <f t="shared" si="565"/>
        <v>15</v>
      </c>
      <c r="M662">
        <f t="shared" si="543"/>
        <v>1.4543559625897754E-4</v>
      </c>
      <c r="N662">
        <f t="shared" si="566"/>
        <v>-1.5707963250000001</v>
      </c>
      <c r="O662">
        <f t="shared" si="544"/>
        <v>1688.8765223977255</v>
      </c>
      <c r="P662">
        <f t="shared" si="567"/>
        <v>1.5702042171615573</v>
      </c>
      <c r="Q662">
        <f t="shared" si="545"/>
        <v>1468.0339133730663</v>
      </c>
      <c r="R662">
        <f t="shared" si="568"/>
        <v>1.5701151435686607</v>
      </c>
      <c r="S662">
        <f t="shared" si="546"/>
        <v>2.4089867374862392E-2</v>
      </c>
      <c r="T662">
        <f t="shared" si="569"/>
        <v>-1.5467041288325236</v>
      </c>
      <c r="U662">
        <f t="shared" si="547"/>
        <v>2.3776349639897866E-2</v>
      </c>
      <c r="V662">
        <f t="shared" si="570"/>
        <v>-1.5470177363978563</v>
      </c>
      <c r="X662">
        <f t="shared" si="548"/>
        <v>-109.77252032353724</v>
      </c>
      <c r="Y662">
        <f t="shared" si="549"/>
        <v>-220.6763683064807</v>
      </c>
      <c r="Z662">
        <f t="shared" si="579"/>
        <v>-40.676368306480697</v>
      </c>
      <c r="AC662">
        <v>1</v>
      </c>
      <c r="AD662">
        <f t="shared" si="550"/>
        <v>1688.8762263429001</v>
      </c>
      <c r="AE662">
        <f t="shared" si="551"/>
        <v>-10.951090991801255</v>
      </c>
      <c r="AF662">
        <f t="shared" si="552"/>
        <v>0.26045059705559997</v>
      </c>
      <c r="AG662">
        <f t="shared" si="553"/>
        <v>3.5744863410918151</v>
      </c>
      <c r="AH662">
        <f t="shared" si="554"/>
        <v>-154.13489400324661</v>
      </c>
      <c r="AJ662">
        <f t="shared" si="571"/>
        <v>26400</v>
      </c>
      <c r="AK662">
        <f t="shared" si="555"/>
        <v>1095578.4119132161</v>
      </c>
      <c r="AL662">
        <v>37</v>
      </c>
      <c r="AM662">
        <f t="shared" si="556"/>
        <v>1468.0335727814402</v>
      </c>
      <c r="AN662">
        <f t="shared" si="557"/>
        <v>746.26894539454656</v>
      </c>
      <c r="AO662">
        <f t="shared" si="558"/>
        <v>0.82556080601206716</v>
      </c>
      <c r="AQ662">
        <f t="shared" si="559"/>
        <v>3.3802055050696138E-5</v>
      </c>
      <c r="AR662">
        <f t="shared" si="560"/>
        <v>-0.58139534687197358</v>
      </c>
      <c r="AT662">
        <f t="shared" si="561"/>
        <v>-89.613189339108374</v>
      </c>
      <c r="AU662">
        <f t="shared" si="562"/>
        <v>-2.0833998023405385</v>
      </c>
      <c r="AV662">
        <f t="shared" si="580"/>
        <v>-3.1183480332912739</v>
      </c>
      <c r="AW662">
        <f t="shared" si="581"/>
        <v>752.09536929542708</v>
      </c>
      <c r="AX662">
        <f t="shared" si="582"/>
        <v>-659.07605630932596</v>
      </c>
      <c r="AY662">
        <f t="shared" si="590"/>
        <v>-0.71957700275457892</v>
      </c>
      <c r="BA662">
        <f t="shared" si="572"/>
        <v>8.9636118414440302E-2</v>
      </c>
      <c r="BB662">
        <f t="shared" si="583"/>
        <v>-20.950339166721861</v>
      </c>
      <c r="BC662">
        <f t="shared" si="584"/>
        <v>-2.3987710305366949</v>
      </c>
      <c r="BD662">
        <f t="shared" si="573"/>
        <v>-317.43945622504725</v>
      </c>
      <c r="BF662">
        <f t="shared" si="574"/>
        <v>-117.02254529627525</v>
      </c>
      <c r="BG662">
        <f t="shared" si="575"/>
        <v>-270.78566436259922</v>
      </c>
      <c r="BH662">
        <f t="shared" si="585"/>
        <v>-90.785664362599221</v>
      </c>
      <c r="BI662">
        <f t="shared" si="586"/>
        <v>-90.785664362599221</v>
      </c>
      <c r="BJ662">
        <f t="shared" si="576"/>
        <v>0</v>
      </c>
      <c r="BK662">
        <f t="shared" si="587"/>
        <v>0</v>
      </c>
      <c r="BM662">
        <f t="shared" si="588"/>
        <v>-96.072206129553422</v>
      </c>
      <c r="BN662">
        <f t="shared" si="577"/>
        <v>-133.34620813755205</v>
      </c>
      <c r="BQ662" s="56">
        <f t="shared" si="589"/>
        <v>-4.0483783664367232</v>
      </c>
    </row>
    <row r="663" spans="1:69" x14ac:dyDescent="0.2">
      <c r="A663">
        <f t="shared" si="563"/>
        <v>8700000</v>
      </c>
      <c r="B663">
        <f t="shared" si="578"/>
        <v>8700</v>
      </c>
      <c r="C663">
        <f t="shared" si="539"/>
        <v>1.4655772669290175</v>
      </c>
      <c r="D663">
        <f t="shared" si="540"/>
        <v>0.81985803970192683</v>
      </c>
      <c r="F663">
        <f t="shared" si="541"/>
        <v>7.0293786032120441E-7</v>
      </c>
      <c r="G663">
        <f t="shared" si="542"/>
        <v>1.7110287019741867E-4</v>
      </c>
      <c r="H663">
        <f t="shared" si="564"/>
        <v>-3.1414215471298026</v>
      </c>
      <c r="J663">
        <f t="shared" si="565"/>
        <v>15</v>
      </c>
      <c r="M663">
        <f t="shared" si="543"/>
        <v>1.4376392273875941E-4</v>
      </c>
      <c r="N663">
        <f t="shared" si="566"/>
        <v>-1.5707963250000001</v>
      </c>
      <c r="O663">
        <f t="shared" si="544"/>
        <v>1708.5146146499471</v>
      </c>
      <c r="P663">
        <f t="shared" si="567"/>
        <v>1.5702110230178483</v>
      </c>
      <c r="Q663">
        <f t="shared" si="545"/>
        <v>1485.104067281261</v>
      </c>
      <c r="R663">
        <f t="shared" si="568"/>
        <v>1.570122973258536</v>
      </c>
      <c r="S663">
        <f t="shared" si="546"/>
        <v>2.3813130277460747E-2</v>
      </c>
      <c r="T663">
        <f t="shared" si="569"/>
        <v>-1.5469809453434598</v>
      </c>
      <c r="U663">
        <f t="shared" si="547"/>
        <v>2.3503210108345361E-2</v>
      </c>
      <c r="V663">
        <f t="shared" si="570"/>
        <v>-1.5472909522828009</v>
      </c>
      <c r="X663">
        <f t="shared" si="548"/>
        <v>-110.02027830024235</v>
      </c>
      <c r="Y663">
        <f t="shared" si="549"/>
        <v>-220.37662714801527</v>
      </c>
      <c r="Z663">
        <f t="shared" si="579"/>
        <v>-40.376627148015274</v>
      </c>
      <c r="AC663">
        <v>1</v>
      </c>
      <c r="AD663">
        <f t="shared" si="550"/>
        <v>1708.51432199805</v>
      </c>
      <c r="AE663">
        <f t="shared" si="551"/>
        <v>-11.207248204021592</v>
      </c>
      <c r="AF663">
        <f t="shared" si="552"/>
        <v>0.26347909237019995</v>
      </c>
      <c r="AG663">
        <f t="shared" si="553"/>
        <v>3.4928316258111591</v>
      </c>
      <c r="AH663">
        <f t="shared" si="554"/>
        <v>-152.36514823315227</v>
      </c>
      <c r="AJ663">
        <f t="shared" si="571"/>
        <v>26400</v>
      </c>
      <c r="AK663">
        <f t="shared" si="555"/>
        <v>1108317.6957726721</v>
      </c>
      <c r="AL663">
        <v>38</v>
      </c>
      <c r="AM663">
        <f t="shared" si="556"/>
        <v>1485.1037306044802</v>
      </c>
      <c r="AN663">
        <f t="shared" si="557"/>
        <v>746.25602216736274</v>
      </c>
      <c r="AO663">
        <f t="shared" si="558"/>
        <v>1.3182438384710942</v>
      </c>
      <c r="AQ663">
        <f t="shared" si="559"/>
        <v>3.3029462171259541E-5</v>
      </c>
      <c r="AR663">
        <f t="shared" si="560"/>
        <v>-0.57471264177991599</v>
      </c>
      <c r="AT663">
        <f t="shared" si="561"/>
        <v>-87.56606148991338</v>
      </c>
      <c r="AU663">
        <f t="shared" si="562"/>
        <v>-2.0124070298621555</v>
      </c>
      <c r="AV663">
        <f t="shared" si="580"/>
        <v>-3.118615111590441</v>
      </c>
      <c r="AW663">
        <f t="shared" si="581"/>
        <v>752.28573928529238</v>
      </c>
      <c r="AX663">
        <f t="shared" si="582"/>
        <v>-650.99138394379975</v>
      </c>
      <c r="AY663">
        <f t="shared" si="590"/>
        <v>-0.71333900377747217</v>
      </c>
      <c r="BA663">
        <f t="shared" si="572"/>
        <v>8.8042731289467213E-2</v>
      </c>
      <c r="BB663">
        <f t="shared" si="583"/>
        <v>-21.106129861777518</v>
      </c>
      <c r="BC663">
        <f t="shared" si="584"/>
        <v>-2.405276107812969</v>
      </c>
      <c r="BD663">
        <f t="shared" si="573"/>
        <v>-317.81216969881007</v>
      </c>
      <c r="BF663">
        <f t="shared" si="574"/>
        <v>-117.32579158091745</v>
      </c>
      <c r="BG663">
        <f t="shared" si="575"/>
        <v>-270.82796069800838</v>
      </c>
      <c r="BH663">
        <f t="shared" si="585"/>
        <v>-90.827960698008383</v>
      </c>
      <c r="BI663">
        <f t="shared" si="586"/>
        <v>-90.827960698008383</v>
      </c>
      <c r="BJ663">
        <f t="shared" si="576"/>
        <v>0</v>
      </c>
      <c r="BK663">
        <f t="shared" si="587"/>
        <v>0</v>
      </c>
      <c r="BM663">
        <f t="shared" si="588"/>
        <v>-96.219661719139935</v>
      </c>
      <c r="BN663">
        <f t="shared" si="577"/>
        <v>-133.01579099919834</v>
      </c>
      <c r="BQ663" s="56">
        <f t="shared" si="589"/>
        <v>-4.2041690614923777</v>
      </c>
    </row>
    <row r="664" spans="1:69" x14ac:dyDescent="0.2">
      <c r="A664">
        <f t="shared" si="563"/>
        <v>8800000</v>
      </c>
      <c r="B664">
        <f t="shared" si="578"/>
        <v>8800</v>
      </c>
      <c r="C664">
        <f t="shared" si="539"/>
        <v>1.4746041081814236</v>
      </c>
      <c r="D664">
        <f t="shared" si="540"/>
        <v>0.82555645543280898</v>
      </c>
      <c r="F664">
        <f t="shared" si="541"/>
        <v>6.8705276110100562E-7</v>
      </c>
      <c r="G664">
        <f t="shared" si="542"/>
        <v>1.691585167484069E-4</v>
      </c>
      <c r="H664">
        <f t="shared" si="564"/>
        <v>-3.141423491483252</v>
      </c>
      <c r="J664">
        <f t="shared" si="565"/>
        <v>15</v>
      </c>
      <c r="M664">
        <f t="shared" si="543"/>
        <v>1.4213024179854622E-4</v>
      </c>
      <c r="N664">
        <f t="shared" si="566"/>
        <v>-1.5707963250000001</v>
      </c>
      <c r="O664">
        <f t="shared" si="544"/>
        <v>1728.1527069795079</v>
      </c>
      <c r="P664">
        <f t="shared" si="567"/>
        <v>1.5702176741956397</v>
      </c>
      <c r="Q664">
        <f t="shared" si="545"/>
        <v>1502.1742212784293</v>
      </c>
      <c r="R664">
        <f t="shared" si="568"/>
        <v>1.5701306250009937</v>
      </c>
      <c r="S664">
        <f t="shared" si="546"/>
        <v>2.3542677370005094E-2</v>
      </c>
      <c r="T664">
        <f t="shared" si="569"/>
        <v>-1.547251474097417</v>
      </c>
      <c r="U664">
        <f t="shared" si="547"/>
        <v>2.3236273207652737E-2</v>
      </c>
      <c r="V664">
        <f t="shared" si="570"/>
        <v>-1.5475579621072626</v>
      </c>
      <c r="X664">
        <f t="shared" si="548"/>
        <v>-110.26463942540298</v>
      </c>
      <c r="Y664">
        <f t="shared" si="549"/>
        <v>-220.08022257453652</v>
      </c>
      <c r="Z664">
        <f t="shared" si="579"/>
        <v>-40.080222574536521</v>
      </c>
      <c r="AC664">
        <v>1</v>
      </c>
      <c r="AD664">
        <f t="shared" si="550"/>
        <v>1728.1524176532</v>
      </c>
      <c r="AE664">
        <f t="shared" si="551"/>
        <v>-11.466366771296498</v>
      </c>
      <c r="AF664">
        <f t="shared" si="552"/>
        <v>0.26650758768479998</v>
      </c>
      <c r="AG664">
        <f t="shared" si="553"/>
        <v>3.41394274304476</v>
      </c>
      <c r="AH664">
        <f t="shared" si="554"/>
        <v>-150.63555967283597</v>
      </c>
      <c r="AJ664">
        <f t="shared" si="571"/>
        <v>26400</v>
      </c>
      <c r="AK664">
        <f t="shared" si="555"/>
        <v>1121056.979632128</v>
      </c>
      <c r="AL664">
        <v>39</v>
      </c>
      <c r="AM664">
        <f t="shared" si="556"/>
        <v>1502.1738884275203</v>
      </c>
      <c r="AN664">
        <f t="shared" si="557"/>
        <v>746.24302789400099</v>
      </c>
      <c r="AO664">
        <f t="shared" si="558"/>
        <v>1.7997104787223037</v>
      </c>
      <c r="AQ664">
        <f t="shared" si="559"/>
        <v>3.2283057747020086E-5</v>
      </c>
      <c r="AR664">
        <f t="shared" si="560"/>
        <v>-0.56818181634755349</v>
      </c>
      <c r="AT664">
        <f t="shared" si="561"/>
        <v>-85.588275688931503</v>
      </c>
      <c r="AU664">
        <f t="shared" si="562"/>
        <v>-1.9446031651213935</v>
      </c>
      <c r="AV664">
        <f t="shared" si="580"/>
        <v>-3.1188761233196591</v>
      </c>
      <c r="AW664">
        <f t="shared" si="581"/>
        <v>752.46533151553228</v>
      </c>
      <c r="AX664">
        <f t="shared" si="582"/>
        <v>-643.09038015086549</v>
      </c>
      <c r="AY664">
        <f t="shared" si="590"/>
        <v>-0.707184281344303</v>
      </c>
      <c r="BA664">
        <f t="shared" si="572"/>
        <v>8.648970724477506E-2</v>
      </c>
      <c r="BB664">
        <f t="shared" si="583"/>
        <v>-21.260711458280547</v>
      </c>
      <c r="BC664">
        <f t="shared" si="584"/>
        <v>-2.4116918419753564</v>
      </c>
      <c r="BD664">
        <f t="shared" si="573"/>
        <v>-318.17976418921279</v>
      </c>
      <c r="BF664">
        <f t="shared" si="574"/>
        <v>-117.62557570169724</v>
      </c>
      <c r="BG664">
        <f t="shared" si="575"/>
        <v>-270.86917141999419</v>
      </c>
      <c r="BH664">
        <f t="shared" si="585"/>
        <v>-90.869171419994188</v>
      </c>
      <c r="BI664">
        <f t="shared" si="586"/>
        <v>-90.869171419994188</v>
      </c>
      <c r="BJ664">
        <f t="shared" si="576"/>
        <v>0</v>
      </c>
      <c r="BK664">
        <f t="shared" si="587"/>
        <v>0</v>
      </c>
      <c r="BM664">
        <f t="shared" si="588"/>
        <v>-96.36486424341669</v>
      </c>
      <c r="BN664">
        <f t="shared" si="577"/>
        <v>-132.6894072307814</v>
      </c>
      <c r="BQ664" s="56">
        <f t="shared" si="589"/>
        <v>-4.358750657995409</v>
      </c>
    </row>
    <row r="665" spans="1:69" x14ac:dyDescent="0.2">
      <c r="A665">
        <f t="shared" si="563"/>
        <v>8900000</v>
      </c>
      <c r="B665">
        <f t="shared" si="578"/>
        <v>8900</v>
      </c>
      <c r="C665">
        <f t="shared" si="539"/>
        <v>1.4836782491394083</v>
      </c>
      <c r="D665">
        <f t="shared" si="540"/>
        <v>0.83118534933983346</v>
      </c>
      <c r="F665">
        <f t="shared" si="541"/>
        <v>6.7170010124184464E-7</v>
      </c>
      <c r="G665">
        <f t="shared" si="542"/>
        <v>1.6725785672319665E-4</v>
      </c>
      <c r="H665">
        <f t="shared" si="564"/>
        <v>-3.1414253921432769</v>
      </c>
      <c r="J665">
        <f t="shared" si="565"/>
        <v>15</v>
      </c>
      <c r="M665">
        <f t="shared" si="543"/>
        <v>1.4053327278957378E-4</v>
      </c>
      <c r="N665">
        <f t="shared" si="566"/>
        <v>-1.5707963250000001</v>
      </c>
      <c r="O665">
        <f t="shared" si="544"/>
        <v>1747.7907993838012</v>
      </c>
      <c r="P665">
        <f t="shared" si="567"/>
        <v>1.5702241759088111</v>
      </c>
      <c r="Q665">
        <f t="shared" si="545"/>
        <v>1519.2443753615723</v>
      </c>
      <c r="R665">
        <f t="shared" si="568"/>
        <v>1.570138104794258</v>
      </c>
      <c r="S665">
        <f t="shared" si="546"/>
        <v>2.327829705944328E-2</v>
      </c>
      <c r="T665">
        <f t="shared" si="569"/>
        <v>-1.5475159268854779</v>
      </c>
      <c r="U665">
        <f t="shared" si="547"/>
        <v>2.2975330084956259E-2</v>
      </c>
      <c r="V665">
        <f t="shared" si="570"/>
        <v>-1.5478189749145097</v>
      </c>
      <c r="X665">
        <f t="shared" si="548"/>
        <v>-110.50568770576425</v>
      </c>
      <c r="Y665">
        <f t="shared" si="549"/>
        <v>-219.7871254893804</v>
      </c>
      <c r="Z665">
        <f t="shared" si="579"/>
        <v>-39.787125489380401</v>
      </c>
      <c r="AC665">
        <v>1</v>
      </c>
      <c r="AD665">
        <f t="shared" si="550"/>
        <v>1747.79051330835</v>
      </c>
      <c r="AE665">
        <f t="shared" si="551"/>
        <v>-11.728446693625976</v>
      </c>
      <c r="AF665">
        <f t="shared" si="552"/>
        <v>0.26953608299940002</v>
      </c>
      <c r="AG665">
        <f t="shared" si="553"/>
        <v>3.3376961967522214</v>
      </c>
      <c r="AH665">
        <f t="shared" si="554"/>
        <v>-148.94477754659644</v>
      </c>
      <c r="AJ665">
        <f t="shared" si="571"/>
        <v>26400</v>
      </c>
      <c r="AK665">
        <f t="shared" si="555"/>
        <v>1133796.263491584</v>
      </c>
      <c r="AL665">
        <v>40</v>
      </c>
      <c r="AM665">
        <f t="shared" si="556"/>
        <v>1519.2440462505601</v>
      </c>
      <c r="AN665">
        <f t="shared" si="557"/>
        <v>746.22997715705139</v>
      </c>
      <c r="AO665">
        <f t="shared" si="558"/>
        <v>2.2703390510527655</v>
      </c>
      <c r="AQ665">
        <f t="shared" si="559"/>
        <v>3.1561671406509055E-5</v>
      </c>
      <c r="AR665">
        <f t="shared" si="560"/>
        <v>-0.56179775103586116</v>
      </c>
      <c r="AT665">
        <f t="shared" si="561"/>
        <v>-83.676735710943888</v>
      </c>
      <c r="AU665">
        <f t="shared" si="562"/>
        <v>-1.8798111631029863</v>
      </c>
      <c r="AV665">
        <f t="shared" si="580"/>
        <v>-3.1191312728202698</v>
      </c>
      <c r="AW665">
        <f t="shared" si="581"/>
        <v>752.63472455559031</v>
      </c>
      <c r="AX665">
        <f t="shared" si="582"/>
        <v>-635.36686491487376</v>
      </c>
      <c r="AY665">
        <f t="shared" si="590"/>
        <v>-0.70111149603818734</v>
      </c>
      <c r="BA665">
        <f t="shared" si="572"/>
        <v>8.4975715566215207E-2</v>
      </c>
      <c r="BB665">
        <f t="shared" si="583"/>
        <v>-21.414103392173665</v>
      </c>
      <c r="BC665">
        <f t="shared" si="584"/>
        <v>-2.4180197767820824</v>
      </c>
      <c r="BD665">
        <f t="shared" si="573"/>
        <v>-318.54232814708644</v>
      </c>
      <c r="BF665">
        <f t="shared" si="574"/>
        <v>-117.92197533717726</v>
      </c>
      <c r="BG665">
        <f t="shared" si="575"/>
        <v>-270.90933241309773</v>
      </c>
      <c r="BH665">
        <f t="shared" si="585"/>
        <v>-90.909332413097729</v>
      </c>
      <c r="BI665">
        <f t="shared" si="586"/>
        <v>-90.909332413097729</v>
      </c>
      <c r="BJ665">
        <f t="shared" si="576"/>
        <v>0</v>
      </c>
      <c r="BK665">
        <f t="shared" si="587"/>
        <v>0</v>
      </c>
      <c r="BM665">
        <f t="shared" si="588"/>
        <v>-96.5078719450036</v>
      </c>
      <c r="BN665">
        <f t="shared" si="577"/>
        <v>-132.36700426601129</v>
      </c>
      <c r="BQ665" s="56">
        <f t="shared" si="589"/>
        <v>-4.5121425918885301</v>
      </c>
    </row>
    <row r="666" spans="1:69" x14ac:dyDescent="0.2">
      <c r="A666">
        <f t="shared" si="563"/>
        <v>9000000</v>
      </c>
      <c r="B666">
        <f t="shared" si="578"/>
        <v>9000</v>
      </c>
      <c r="C666">
        <f t="shared" si="539"/>
        <v>1.4927988272539177</v>
      </c>
      <c r="D666">
        <f t="shared" si="540"/>
        <v>0.8367456357403128</v>
      </c>
      <c r="F666">
        <f t="shared" si="541"/>
        <v>6.5685634871110127E-7</v>
      </c>
      <c r="G666">
        <f t="shared" si="542"/>
        <v>1.6539943367048748E-4</v>
      </c>
      <c r="H666">
        <f t="shared" si="564"/>
        <v>-3.1414272505663297</v>
      </c>
      <c r="J666">
        <f t="shared" si="565"/>
        <v>15</v>
      </c>
      <c r="M666">
        <f t="shared" si="543"/>
        <v>1.3897179198080073E-4</v>
      </c>
      <c r="N666">
        <f t="shared" si="566"/>
        <v>-1.5707963250000001</v>
      </c>
      <c r="O666">
        <f t="shared" si="544"/>
        <v>1767.4288918603354</v>
      </c>
      <c r="P666">
        <f t="shared" si="567"/>
        <v>1.5702305331395143</v>
      </c>
      <c r="Q666">
        <f t="shared" si="545"/>
        <v>1536.3145295278241</v>
      </c>
      <c r="R666">
        <f t="shared" si="568"/>
        <v>1.5701454183699657</v>
      </c>
      <c r="S666">
        <f t="shared" si="546"/>
        <v>2.3019787144108586E-2</v>
      </c>
      <c r="T666">
        <f t="shared" si="569"/>
        <v>-1.5477745060942925</v>
      </c>
      <c r="U666">
        <f t="shared" si="547"/>
        <v>2.2720181157482189E-2</v>
      </c>
      <c r="V666">
        <f t="shared" si="570"/>
        <v>-1.548074190465176</v>
      </c>
      <c r="X666">
        <f t="shared" si="548"/>
        <v>-110.74350429907636</v>
      </c>
      <c r="Y666">
        <f t="shared" si="549"/>
        <v>-219.49730601695956</v>
      </c>
      <c r="Z666">
        <f t="shared" si="579"/>
        <v>-39.497306016959556</v>
      </c>
      <c r="AC666">
        <v>1</v>
      </c>
      <c r="AD666">
        <f t="shared" si="550"/>
        <v>1767.4286089634998</v>
      </c>
      <c r="AE666">
        <f t="shared" si="551"/>
        <v>-11.993487971010024</v>
      </c>
      <c r="AF666">
        <f t="shared" si="552"/>
        <v>0.27256457831399999</v>
      </c>
      <c r="AG666">
        <f t="shared" si="553"/>
        <v>3.263975306283649</v>
      </c>
      <c r="AH666">
        <f t="shared" si="554"/>
        <v>-147.29151095832111</v>
      </c>
      <c r="AJ666">
        <f t="shared" si="571"/>
        <v>26400</v>
      </c>
      <c r="AK666">
        <f t="shared" si="555"/>
        <v>1146535.5473510399</v>
      </c>
      <c r="AL666">
        <v>41</v>
      </c>
      <c r="AM666">
        <f t="shared" si="556"/>
        <v>1536.3142040736002</v>
      </c>
      <c r="AN666">
        <f t="shared" si="557"/>
        <v>746.21688335453211</v>
      </c>
      <c r="AO666">
        <f t="shared" si="558"/>
        <v>2.7304910716915103</v>
      </c>
      <c r="AQ666">
        <f t="shared" si="559"/>
        <v>3.0864197435604332E-5</v>
      </c>
      <c r="AR666">
        <f t="shared" si="560"/>
        <v>-0.55555555384087796</v>
      </c>
      <c r="AT666">
        <f t="shared" si="561"/>
        <v>-81.828516206531546</v>
      </c>
      <c r="AU666">
        <f t="shared" si="562"/>
        <v>-1.8178656432801679</v>
      </c>
      <c r="AV666">
        <f t="shared" si="580"/>
        <v>-3.1193807553599564</v>
      </c>
      <c r="AW666">
        <f t="shared" si="581"/>
        <v>752.7944617981301</v>
      </c>
      <c r="AX666">
        <f t="shared" si="582"/>
        <v>-627.81493202744639</v>
      </c>
      <c r="AY666">
        <f t="shared" si="590"/>
        <v>-0.69511932941719512</v>
      </c>
      <c r="BA666">
        <f t="shared" si="572"/>
        <v>8.3499480771142817E-2</v>
      </c>
      <c r="BB666">
        <f t="shared" si="583"/>
        <v>-21.56632450204739</v>
      </c>
      <c r="BC666">
        <f t="shared" si="584"/>
        <v>-2.4242614259427615</v>
      </c>
      <c r="BD666">
        <f t="shared" si="573"/>
        <v>-318.89994830160333</v>
      </c>
      <c r="BF666">
        <f t="shared" si="574"/>
        <v>-118.21506557947978</v>
      </c>
      <c r="BG666">
        <f t="shared" si="575"/>
        <v>-270.94847810341673</v>
      </c>
      <c r="BH666">
        <f t="shared" si="585"/>
        <v>-90.948478103416733</v>
      </c>
      <c r="BI666">
        <f t="shared" si="586"/>
        <v>-90.948478103416733</v>
      </c>
      <c r="BJ666">
        <f t="shared" si="576"/>
        <v>0</v>
      </c>
      <c r="BK666">
        <f t="shared" si="587"/>
        <v>0</v>
      </c>
      <c r="BM666">
        <f t="shared" si="588"/>
        <v>-96.648741077432419</v>
      </c>
      <c r="BN666">
        <f t="shared" si="577"/>
        <v>-132.04852980181343</v>
      </c>
      <c r="BQ666" s="56">
        <f t="shared" si="589"/>
        <v>-4.6643637017622535</v>
      </c>
    </row>
    <row r="667" spans="1:69" x14ac:dyDescent="0.2">
      <c r="A667">
        <f t="shared" si="563"/>
        <v>9100000</v>
      </c>
      <c r="B667">
        <f t="shared" si="578"/>
        <v>9100</v>
      </c>
      <c r="C667">
        <f t="shared" si="539"/>
        <v>1.5019649965659685</v>
      </c>
      <c r="D667">
        <f t="shared" si="540"/>
        <v>0.84223822377093771</v>
      </c>
      <c r="F667">
        <f t="shared" si="541"/>
        <v>6.4249925730226174E-7</v>
      </c>
      <c r="G667">
        <f t="shared" si="542"/>
        <v>1.6358185515902396E-4</v>
      </c>
      <c r="H667">
        <f t="shared" si="564"/>
        <v>-3.1414290681448414</v>
      </c>
      <c r="J667">
        <f t="shared" si="565"/>
        <v>15</v>
      </c>
      <c r="M667">
        <f t="shared" si="543"/>
        <v>1.3744462943156117E-4</v>
      </c>
      <c r="N667">
        <f t="shared" si="566"/>
        <v>-1.5707963250000001</v>
      </c>
      <c r="O667">
        <f t="shared" si="544"/>
        <v>1787.0669844067295</v>
      </c>
      <c r="P667">
        <f t="shared" si="567"/>
        <v>1.5702367506509058</v>
      </c>
      <c r="Q667">
        <f t="shared" si="545"/>
        <v>1553.3846837744447</v>
      </c>
      <c r="R667">
        <f t="shared" si="568"/>
        <v>1.5701525712078128</v>
      </c>
      <c r="S667">
        <f t="shared" si="546"/>
        <v>2.2766954298535629E-2</v>
      </c>
      <c r="T667">
        <f t="shared" si="569"/>
        <v>-1.5480274052222547</v>
      </c>
      <c r="U667">
        <f t="shared" si="547"/>
        <v>2.2470635603995478E-2</v>
      </c>
      <c r="V667">
        <f t="shared" si="570"/>
        <v>-1.5483237997467654</v>
      </c>
      <c r="X667">
        <f t="shared" si="548"/>
        <v>-110.97816763577667</v>
      </c>
      <c r="Y667">
        <f t="shared" si="549"/>
        <v>-219.210733589906</v>
      </c>
      <c r="Z667">
        <f t="shared" si="579"/>
        <v>-39.210733589905999</v>
      </c>
      <c r="AC667">
        <v>1</v>
      </c>
      <c r="AD667">
        <f t="shared" si="550"/>
        <v>1787.0667046186502</v>
      </c>
      <c r="AE667">
        <f t="shared" si="551"/>
        <v>-12.261490603448644</v>
      </c>
      <c r="AF667">
        <f t="shared" si="552"/>
        <v>0.27559307362860003</v>
      </c>
      <c r="AG667">
        <f t="shared" si="553"/>
        <v>3.1926697600397862</v>
      </c>
      <c r="AH667">
        <f t="shared" si="554"/>
        <v>-145.67452561143097</v>
      </c>
      <c r="AJ667">
        <f t="shared" si="571"/>
        <v>26400</v>
      </c>
      <c r="AK667">
        <f t="shared" si="555"/>
        <v>1159274.8312104961</v>
      </c>
      <c r="AL667">
        <v>42</v>
      </c>
      <c r="AM667">
        <f t="shared" si="556"/>
        <v>1553.3843618966403</v>
      </c>
      <c r="AN667">
        <f t="shared" si="557"/>
        <v>746.20375879414109</v>
      </c>
      <c r="AO667">
        <f t="shared" si="558"/>
        <v>3.180512171064759</v>
      </c>
      <c r="AQ667">
        <f t="shared" si="559"/>
        <v>3.018959053800993E-5</v>
      </c>
      <c r="AR667">
        <f t="shared" si="560"/>
        <v>-0.54945054779178071</v>
      </c>
      <c r="AT667">
        <f t="shared" si="561"/>
        <v>-80.040851511115747</v>
      </c>
      <c r="AU667">
        <f t="shared" si="562"/>
        <v>-1.7586120028521417</v>
      </c>
      <c r="AV667">
        <f t="shared" si="580"/>
        <v>-3.119624757630763</v>
      </c>
      <c r="AW667">
        <f t="shared" si="581"/>
        <v>752.94505390554889</v>
      </c>
      <c r="AX667">
        <f t="shared" si="582"/>
        <v>-620.42893410996589</v>
      </c>
      <c r="AY667">
        <f t="shared" si="590"/>
        <v>-0.68920648376563332</v>
      </c>
      <c r="BA667">
        <f t="shared" si="572"/>
        <v>8.2059779759217591E-2</v>
      </c>
      <c r="BB667">
        <f t="shared" si="583"/>
        <v>-21.717393059467149</v>
      </c>
      <c r="BC667">
        <f t="shared" si="584"/>
        <v>-2.4304182738651297</v>
      </c>
      <c r="BD667">
        <f t="shared" si="573"/>
        <v>-319.25270970306201</v>
      </c>
      <c r="BF667">
        <f t="shared" si="574"/>
        <v>-118.50491904848964</v>
      </c>
      <c r="BG667">
        <f t="shared" si="575"/>
        <v>-270.98664153133467</v>
      </c>
      <c r="BH667">
        <f t="shared" si="585"/>
        <v>-90.986641531334669</v>
      </c>
      <c r="BI667">
        <f t="shared" si="586"/>
        <v>-90.986641531334669</v>
      </c>
      <c r="BJ667">
        <f t="shared" si="576"/>
        <v>0</v>
      </c>
      <c r="BK667">
        <f t="shared" si="587"/>
        <v>0</v>
      </c>
      <c r="BM667">
        <f t="shared" si="588"/>
        <v>-96.787525989022498</v>
      </c>
      <c r="BN667">
        <f t="shared" si="577"/>
        <v>-131.73393182827269</v>
      </c>
      <c r="BQ667" s="56">
        <f t="shared" si="589"/>
        <v>-4.8154322591820096</v>
      </c>
    </row>
    <row r="668" spans="1:69" x14ac:dyDescent="0.2">
      <c r="A668">
        <f t="shared" si="563"/>
        <v>9200000</v>
      </c>
      <c r="B668">
        <f t="shared" si="578"/>
        <v>9200</v>
      </c>
      <c r="C668">
        <f t="shared" si="539"/>
        <v>1.5111759274636398</v>
      </c>
      <c r="D668">
        <f t="shared" si="540"/>
        <v>0.84766401690665005</v>
      </c>
      <c r="F668">
        <f t="shared" si="541"/>
        <v>6.2860778323573792E-7</v>
      </c>
      <c r="G668">
        <f t="shared" si="542"/>
        <v>1.6180378929823194E-4</v>
      </c>
      <c r="H668">
        <f t="shared" si="564"/>
        <v>-3.1414308462107021</v>
      </c>
      <c r="J668">
        <f t="shared" si="565"/>
        <v>15</v>
      </c>
      <c r="M668">
        <f t="shared" si="543"/>
        <v>1.3595066606817465E-4</v>
      </c>
      <c r="N668">
        <f t="shared" si="566"/>
        <v>-1.5707963250000001</v>
      </c>
      <c r="O668">
        <f t="shared" si="544"/>
        <v>1806.7050770207052</v>
      </c>
      <c r="P668">
        <f t="shared" si="567"/>
        <v>1.5702428329990479</v>
      </c>
      <c r="Q668">
        <f t="shared" si="545"/>
        <v>1570.4548380988135</v>
      </c>
      <c r="R668">
        <f t="shared" si="568"/>
        <v>1.5701595685492489</v>
      </c>
      <c r="S668">
        <f t="shared" si="546"/>
        <v>2.2519613591813405E-2</v>
      </c>
      <c r="T668">
        <f t="shared" si="569"/>
        <v>-1.5482748093620564</v>
      </c>
      <c r="U668">
        <f t="shared" si="547"/>
        <v>2.222651088935548E-2</v>
      </c>
      <c r="V668">
        <f t="shared" si="570"/>
        <v>-1.5485679854499692</v>
      </c>
      <c r="X668">
        <f t="shared" si="548"/>
        <v>-111.20975353432625</v>
      </c>
      <c r="Y668">
        <f t="shared" si="549"/>
        <v>-218.92737703030991</v>
      </c>
      <c r="Z668">
        <f t="shared" si="579"/>
        <v>-38.927377030309913</v>
      </c>
      <c r="AC668">
        <v>1</v>
      </c>
      <c r="AD668">
        <f t="shared" si="550"/>
        <v>1806.7048002738002</v>
      </c>
      <c r="AE668">
        <f t="shared" si="551"/>
        <v>-12.532454590941835</v>
      </c>
      <c r="AF668">
        <f t="shared" si="552"/>
        <v>0.2786215689432</v>
      </c>
      <c r="AG668">
        <f t="shared" si="553"/>
        <v>3.123675202860694</v>
      </c>
      <c r="AH668">
        <f t="shared" si="554"/>
        <v>-144.092640741992</v>
      </c>
      <c r="AJ668">
        <f t="shared" si="571"/>
        <v>26400</v>
      </c>
      <c r="AK668">
        <f t="shared" si="555"/>
        <v>1172014.1150699521</v>
      </c>
      <c r="AL668">
        <v>43</v>
      </c>
      <c r="AM668">
        <f t="shared" si="556"/>
        <v>1570.4545197196801</v>
      </c>
      <c r="AN668">
        <f t="shared" si="557"/>
        <v>746.19061477948071</v>
      </c>
      <c r="AO668">
        <f t="shared" si="558"/>
        <v>3.6207329560442396</v>
      </c>
      <c r="AQ668">
        <f t="shared" si="559"/>
        <v>2.9536861916538098E-5</v>
      </c>
      <c r="AR668">
        <f t="shared" si="560"/>
        <v>-0.54347825926430093</v>
      </c>
      <c r="AT668">
        <f t="shared" si="561"/>
        <v>-78.311125299690971</v>
      </c>
      <c r="AU668">
        <f t="shared" si="562"/>
        <v>-1.7019056061905775</v>
      </c>
      <c r="AV668">
        <f t="shared" si="580"/>
        <v>-3.1198634582146809</v>
      </c>
      <c r="AW668">
        <f t="shared" si="581"/>
        <v>753.08698106386294</v>
      </c>
      <c r="AX668">
        <f t="shared" si="582"/>
        <v>-613.2034686072659</v>
      </c>
      <c r="AY668">
        <f t="shared" si="590"/>
        <v>-0.68337168185290675</v>
      </c>
      <c r="BA668">
        <f t="shared" si="572"/>
        <v>8.065543914310723E-2</v>
      </c>
      <c r="BB668">
        <f t="shared" si="583"/>
        <v>-21.867326797320178</v>
      </c>
      <c r="BC668">
        <f t="shared" si="584"/>
        <v>-2.4364917763617742</v>
      </c>
      <c r="BD668">
        <f t="shared" si="573"/>
        <v>-319.60069576337958</v>
      </c>
      <c r="BF668">
        <f t="shared" si="574"/>
        <v>-118.79160599978434</v>
      </c>
      <c r="BG668">
        <f t="shared" si="575"/>
        <v>-271.0238544197793</v>
      </c>
      <c r="BH668">
        <f t="shared" si="585"/>
        <v>-91.023854419779298</v>
      </c>
      <c r="BI668">
        <f t="shared" si="586"/>
        <v>-91.023854419779298</v>
      </c>
      <c r="BJ668">
        <f t="shared" si="576"/>
        <v>0</v>
      </c>
      <c r="BK668">
        <f t="shared" si="587"/>
        <v>0</v>
      </c>
      <c r="BM668">
        <f t="shared" si="588"/>
        <v>-96.924279202464163</v>
      </c>
      <c r="BN668">
        <f t="shared" si="577"/>
        <v>-131.42315865639975</v>
      </c>
      <c r="BQ668" s="56">
        <f t="shared" si="589"/>
        <v>-4.9653659970350406</v>
      </c>
    </row>
    <row r="669" spans="1:69" x14ac:dyDescent="0.2">
      <c r="A669">
        <f t="shared" si="563"/>
        <v>9300000</v>
      </c>
      <c r="B669">
        <f t="shared" si="578"/>
        <v>9300</v>
      </c>
      <c r="C669">
        <f t="shared" si="539"/>
        <v>1.520430806435866</v>
      </c>
      <c r="D669">
        <f t="shared" si="540"/>
        <v>0.85302391251557341</v>
      </c>
      <c r="F669">
        <f t="shared" si="541"/>
        <v>6.1516200800298959E-7</v>
      </c>
      <c r="G669">
        <f t="shared" si="542"/>
        <v>1.6006396148333102E-4</v>
      </c>
      <c r="H669">
        <f t="shared" si="564"/>
        <v>-3.1414325860385168</v>
      </c>
      <c r="J669">
        <f t="shared" si="565"/>
        <v>15</v>
      </c>
      <c r="M669">
        <f t="shared" si="543"/>
        <v>1.3448883094916201E-4</v>
      </c>
      <c r="N669">
        <f t="shared" si="566"/>
        <v>-1.5707963250000001</v>
      </c>
      <c r="O669">
        <f t="shared" si="544"/>
        <v>1826.3431697000824</v>
      </c>
      <c r="P669">
        <f t="shared" si="567"/>
        <v>1.5702487845440438</v>
      </c>
      <c r="Q669">
        <f t="shared" si="545"/>
        <v>1587.5249924984228</v>
      </c>
      <c r="R669">
        <f t="shared" si="568"/>
        <v>1.5701664154102843</v>
      </c>
      <c r="S669">
        <f t="shared" si="546"/>
        <v>2.2277588036956519E-2</v>
      </c>
      <c r="T669">
        <f t="shared" si="569"/>
        <v>-1.5485168956521451</v>
      </c>
      <c r="U669">
        <f t="shared" si="547"/>
        <v>2.1987632319691697E-2</v>
      </c>
      <c r="V669">
        <f t="shared" si="570"/>
        <v>-1.5488069224142866</v>
      </c>
      <c r="X669">
        <f t="shared" si="548"/>
        <v>-111.43833531059884</v>
      </c>
      <c r="Y669">
        <f t="shared" si="549"/>
        <v>-218.64720462543366</v>
      </c>
      <c r="Z669">
        <f t="shared" si="579"/>
        <v>-38.647204625433659</v>
      </c>
      <c r="AC669">
        <v>1</v>
      </c>
      <c r="AD669">
        <f t="shared" si="550"/>
        <v>1826.3428959289499</v>
      </c>
      <c r="AE669">
        <f t="shared" si="551"/>
        <v>-12.806379933489595</v>
      </c>
      <c r="AF669">
        <f t="shared" si="552"/>
        <v>0.28165006425779998</v>
      </c>
      <c r="AG669">
        <f t="shared" si="553"/>
        <v>3.0568928542617027</v>
      </c>
      <c r="AH669">
        <f t="shared" si="554"/>
        <v>-142.54472624901223</v>
      </c>
      <c r="AJ669">
        <f t="shared" si="571"/>
        <v>26400</v>
      </c>
      <c r="AK669">
        <f t="shared" si="555"/>
        <v>1184753.3989294083</v>
      </c>
      <c r="AL669">
        <v>44</v>
      </c>
      <c r="AM669">
        <f t="shared" si="556"/>
        <v>1587.5246775427202</v>
      </c>
      <c r="AN669">
        <f t="shared" si="557"/>
        <v>746.17746168899919</v>
      </c>
      <c r="AO669">
        <f t="shared" si="558"/>
        <v>4.0514698166907017</v>
      </c>
      <c r="AQ669">
        <f t="shared" si="559"/>
        <v>2.8905075647748077E-5</v>
      </c>
      <c r="AR669">
        <f t="shared" si="560"/>
        <v>-0.53763440704811416</v>
      </c>
      <c r="AT669">
        <f t="shared" si="561"/>
        <v>-76.636861015004243</v>
      </c>
      <c r="AU669">
        <f t="shared" si="562"/>
        <v>-1.6476110432060229</v>
      </c>
      <c r="AV669">
        <f t="shared" si="580"/>
        <v>-3.1200970280192273</v>
      </c>
      <c r="AW669">
        <f t="shared" si="581"/>
        <v>753.22069506091657</v>
      </c>
      <c r="AX669">
        <f t="shared" si="582"/>
        <v>-606.13336467993031</v>
      </c>
      <c r="AY669">
        <f t="shared" si="590"/>
        <v>-0.67761366669831635</v>
      </c>
      <c r="BA669">
        <f t="shared" si="572"/>
        <v>7.9285332745568399E-2</v>
      </c>
      <c r="BB669">
        <f t="shared" si="583"/>
        <v>-22.016142936327135</v>
      </c>
      <c r="BC669">
        <f t="shared" si="584"/>
        <v>-2.4424833613209112</v>
      </c>
      <c r="BD669">
        <f t="shared" si="573"/>
        <v>-319.94398829452444</v>
      </c>
      <c r="BF669">
        <f t="shared" si="574"/>
        <v>-119.07519442670201</v>
      </c>
      <c r="BG669">
        <f t="shared" si="575"/>
        <v>-271.06014723834221</v>
      </c>
      <c r="BH669">
        <f t="shared" si="585"/>
        <v>-91.060147238342211</v>
      </c>
      <c r="BI669">
        <f t="shared" si="586"/>
        <v>-91.060147238342211</v>
      </c>
      <c r="BJ669">
        <f t="shared" si="576"/>
        <v>0</v>
      </c>
      <c r="BK669">
        <f t="shared" si="587"/>
        <v>0</v>
      </c>
      <c r="BM669">
        <f t="shared" si="588"/>
        <v>-97.059051490374884</v>
      </c>
      <c r="BN669">
        <f t="shared" si="577"/>
        <v>-131.11615894381782</v>
      </c>
      <c r="BQ669" s="56">
        <f t="shared" si="589"/>
        <v>-5.1141821360419968</v>
      </c>
    </row>
    <row r="670" spans="1:69" x14ac:dyDescent="0.2">
      <c r="A670">
        <f t="shared" si="563"/>
        <v>9400000</v>
      </c>
      <c r="B670">
        <f t="shared" si="578"/>
        <v>9400</v>
      </c>
      <c r="C670">
        <f t="shared" si="539"/>
        <v>1.5297288358236205</v>
      </c>
      <c r="D670">
        <f t="shared" si="540"/>
        <v>0.85831880144831429</v>
      </c>
      <c r="F670">
        <f t="shared" si="541"/>
        <v>6.0214306692546467E-7</v>
      </c>
      <c r="G670">
        <f t="shared" si="542"/>
        <v>1.583611513482069E-4</v>
      </c>
      <c r="H670">
        <f t="shared" si="564"/>
        <v>-3.1414342888486519</v>
      </c>
      <c r="J670">
        <f t="shared" si="565"/>
        <v>15</v>
      </c>
      <c r="M670">
        <f t="shared" si="543"/>
        <v>1.3305809870502199E-4</v>
      </c>
      <c r="N670">
        <f t="shared" si="566"/>
        <v>-1.5707963250000001</v>
      </c>
      <c r="O670">
        <f t="shared" si="544"/>
        <v>1845.9812624427741</v>
      </c>
      <c r="P670">
        <f t="shared" si="567"/>
        <v>1.5702546094604604</v>
      </c>
      <c r="Q670">
        <f t="shared" si="545"/>
        <v>1604.5951469708707</v>
      </c>
      <c r="R670">
        <f t="shared" si="568"/>
        <v>1.5701731165934825</v>
      </c>
      <c r="S670">
        <f t="shared" si="546"/>
        <v>2.2040708168989277E-2</v>
      </c>
      <c r="T670">
        <f t="shared" si="569"/>
        <v>-1.5487538336993993</v>
      </c>
      <c r="U670">
        <f t="shared" si="547"/>
        <v>2.1753832625923945E-2</v>
      </c>
      <c r="V670">
        <f t="shared" si="570"/>
        <v>-1.5490407780452355</v>
      </c>
      <c r="X670">
        <f t="shared" si="548"/>
        <v>-111.6639838816897</v>
      </c>
      <c r="Y670">
        <f t="shared" si="549"/>
        <v>-218.37018419825537</v>
      </c>
      <c r="Z670">
        <f t="shared" si="579"/>
        <v>-38.370184198255373</v>
      </c>
      <c r="AC670">
        <v>1</v>
      </c>
      <c r="AD670">
        <f t="shared" si="550"/>
        <v>1845.9809915840999</v>
      </c>
      <c r="AE670">
        <f t="shared" si="551"/>
        <v>-13.083266631091922</v>
      </c>
      <c r="AF670">
        <f t="shared" si="552"/>
        <v>0.28467855957239996</v>
      </c>
      <c r="AG670">
        <f t="shared" si="553"/>
        <v>2.992229154909277</v>
      </c>
      <c r="AH670">
        <f t="shared" si="554"/>
        <v>-141.02970000729675</v>
      </c>
      <c r="AJ670">
        <f t="shared" si="571"/>
        <v>26400</v>
      </c>
      <c r="AK670">
        <f t="shared" si="555"/>
        <v>1197492.682788864</v>
      </c>
      <c r="AL670">
        <v>45</v>
      </c>
      <c r="AM670">
        <f t="shared" si="556"/>
        <v>1604.5948353657602</v>
      </c>
      <c r="AN670">
        <f t="shared" si="557"/>
        <v>746.16430904831759</v>
      </c>
      <c r="AO670">
        <f t="shared" si="558"/>
        <v>4.4730256816127856</v>
      </c>
      <c r="AQ670">
        <f t="shared" si="559"/>
        <v>2.8293345325109367E-5</v>
      </c>
      <c r="AR670">
        <f t="shared" si="560"/>
        <v>-0.53191489211205611</v>
      </c>
      <c r="AT670">
        <f t="shared" si="561"/>
        <v>-75.015713003804123</v>
      </c>
      <c r="AU670">
        <f t="shared" si="562"/>
        <v>-1.5956014501115199</v>
      </c>
      <c r="AV670">
        <f t="shared" si="580"/>
        <v>-3.1203256306852567</v>
      </c>
      <c r="AW670">
        <f t="shared" si="581"/>
        <v>753.34662120422286</v>
      </c>
      <c r="AX670">
        <f t="shared" si="582"/>
        <v>-599.21367092873948</v>
      </c>
      <c r="AY670">
        <f t="shared" si="590"/>
        <v>-0.67193120134040674</v>
      </c>
      <c r="BA670">
        <f t="shared" si="572"/>
        <v>7.7948379250549885E-2</v>
      </c>
      <c r="BB670">
        <f t="shared" si="583"/>
        <v>-22.163858209851849</v>
      </c>
      <c r="BC670">
        <f t="shared" si="584"/>
        <v>-2.4483944293448499</v>
      </c>
      <c r="BD670">
        <f t="shared" si="573"/>
        <v>-320.28266754509787</v>
      </c>
      <c r="BF670">
        <f t="shared" si="574"/>
        <v>-119.35575015692595</v>
      </c>
      <c r="BG670">
        <f t="shared" si="575"/>
        <v>-271.09554926356657</v>
      </c>
      <c r="BH670">
        <f t="shared" si="585"/>
        <v>-91.095549263566568</v>
      </c>
      <c r="BI670">
        <f t="shared" si="586"/>
        <v>-91.095549263566568</v>
      </c>
      <c r="BJ670">
        <f t="shared" si="576"/>
        <v>0</v>
      </c>
      <c r="BK670">
        <f t="shared" si="587"/>
        <v>0</v>
      </c>
      <c r="BM670">
        <f t="shared" si="588"/>
        <v>-97.191891947074112</v>
      </c>
      <c r="BN670">
        <f t="shared" si="577"/>
        <v>-130.81288171846873</v>
      </c>
      <c r="BQ670" s="56">
        <f t="shared" si="589"/>
        <v>-5.2618974095667124</v>
      </c>
    </row>
    <row r="671" spans="1:69" x14ac:dyDescent="0.2">
      <c r="A671">
        <f t="shared" si="563"/>
        <v>9500000</v>
      </c>
      <c r="B671">
        <f t="shared" si="578"/>
        <v>9500</v>
      </c>
      <c r="C671">
        <f t="shared" si="539"/>
        <v>1.5390692335690441</v>
      </c>
      <c r="D671">
        <f t="shared" si="540"/>
        <v>0.86354956766000157</v>
      </c>
      <c r="F671">
        <f t="shared" si="541"/>
        <v>5.8953308294966705E-7</v>
      </c>
      <c r="G671">
        <f t="shared" si="542"/>
        <v>1.5669418991073425E-4</v>
      </c>
      <c r="H671">
        <f t="shared" si="564"/>
        <v>-3.1414359558100893</v>
      </c>
      <c r="J671">
        <f t="shared" si="565"/>
        <v>15</v>
      </c>
      <c r="M671">
        <f t="shared" si="543"/>
        <v>1.3165748713970596E-4</v>
      </c>
      <c r="N671">
        <f t="shared" si="566"/>
        <v>-1.5707963250000001</v>
      </c>
      <c r="O671">
        <f t="shared" si="544"/>
        <v>1865.6193552467807</v>
      </c>
      <c r="P671">
        <f t="shared" si="567"/>
        <v>1.5702603117470932</v>
      </c>
      <c r="Q671">
        <f t="shared" si="545"/>
        <v>1621.6653015138577</v>
      </c>
      <c r="R671">
        <f t="shared" si="568"/>
        <v>1.570179676699194</v>
      </c>
      <c r="S671">
        <f t="shared" si="546"/>
        <v>2.180881164963127E-2</v>
      </c>
      <c r="T671">
        <f t="shared" si="569"/>
        <v>-1.5489857859751399</v>
      </c>
      <c r="U671">
        <f t="shared" si="547"/>
        <v>2.1524951573542405E-2</v>
      </c>
      <c r="V671">
        <f t="shared" si="570"/>
        <v>-1.5492697127052426</v>
      </c>
      <c r="X671">
        <f t="shared" si="548"/>
        <v>-111.88676786448616</v>
      </c>
      <c r="Y671">
        <f t="shared" si="549"/>
        <v>-218.09628317317106</v>
      </c>
      <c r="Z671">
        <f t="shared" si="579"/>
        <v>-38.096283173171059</v>
      </c>
      <c r="AC671">
        <v>1</v>
      </c>
      <c r="AD671">
        <f t="shared" si="550"/>
        <v>1865.6190872392499</v>
      </c>
      <c r="AE671">
        <f t="shared" si="551"/>
        <v>-13.363114683748824</v>
      </c>
      <c r="AF671">
        <f t="shared" si="552"/>
        <v>0.28770705488699999</v>
      </c>
      <c r="AG671">
        <f t="shared" si="553"/>
        <v>2.9295954389747547</v>
      </c>
      <c r="AH671">
        <f t="shared" si="554"/>
        <v>-139.54652534945964</v>
      </c>
      <c r="AJ671">
        <f t="shared" si="571"/>
        <v>26400</v>
      </c>
      <c r="AK671">
        <f t="shared" si="555"/>
        <v>1210231.96664832</v>
      </c>
      <c r="AL671">
        <v>46</v>
      </c>
      <c r="AM671">
        <f t="shared" si="556"/>
        <v>1621.6649931888001</v>
      </c>
      <c r="AN671">
        <f t="shared" si="557"/>
        <v>746.15116559654541</v>
      </c>
      <c r="AO671">
        <f t="shared" si="558"/>
        <v>4.8856907257161666</v>
      </c>
      <c r="AQ671">
        <f t="shared" si="559"/>
        <v>2.7700830948197144E-5</v>
      </c>
      <c r="AR671">
        <f t="shared" si="560"/>
        <v>-0.52631578801574574</v>
      </c>
      <c r="AT671">
        <f t="shared" si="561"/>
        <v>-73.445458301932092</v>
      </c>
      <c r="AU671">
        <f t="shared" si="562"/>
        <v>-1.5457578867394464</v>
      </c>
      <c r="AV671">
        <f t="shared" si="580"/>
        <v>-3.1205494229690434</v>
      </c>
      <c r="AW671">
        <f t="shared" si="581"/>
        <v>753.46516009226605</v>
      </c>
      <c r="AX671">
        <f t="shared" si="582"/>
        <v>-592.43964389035159</v>
      </c>
      <c r="AY671">
        <f t="shared" si="590"/>
        <v>-0.6663230686097027</v>
      </c>
      <c r="BA671">
        <f t="shared" si="572"/>
        <v>7.6643539997019144E-2</v>
      </c>
      <c r="BB671">
        <f t="shared" si="583"/>
        <v>-22.310488887132458</v>
      </c>
      <c r="BC671">
        <f t="shared" si="584"/>
        <v>-2.4542263543593408</v>
      </c>
      <c r="BD671">
        <f t="shared" si="573"/>
        <v>-320.61681223524675</v>
      </c>
      <c r="BF671">
        <f t="shared" si="574"/>
        <v>-119.63333694393708</v>
      </c>
      <c r="BG671">
        <f t="shared" si="575"/>
        <v>-271.13008863567882</v>
      </c>
      <c r="BH671">
        <f t="shared" si="585"/>
        <v>-91.130088635678817</v>
      </c>
      <c r="BI671">
        <f t="shared" si="586"/>
        <v>-91.130088635678817</v>
      </c>
      <c r="BJ671">
        <f t="shared" si="576"/>
        <v>0</v>
      </c>
      <c r="BK671">
        <f t="shared" si="587"/>
        <v>0</v>
      </c>
      <c r="BM671">
        <f t="shared" si="588"/>
        <v>-97.322848056804631</v>
      </c>
      <c r="BN671">
        <f t="shared" si="577"/>
        <v>-130.51327640043203</v>
      </c>
      <c r="BQ671" s="56">
        <f t="shared" si="589"/>
        <v>-5.4085280868473191</v>
      </c>
    </row>
    <row r="672" spans="1:69" x14ac:dyDescent="0.2">
      <c r="A672">
        <f t="shared" si="563"/>
        <v>9600000</v>
      </c>
      <c r="B672">
        <f t="shared" si="578"/>
        <v>9600</v>
      </c>
      <c r="C672">
        <f t="shared" si="539"/>
        <v>1.548451232963042</v>
      </c>
      <c r="D672">
        <f t="shared" si="540"/>
        <v>0.86871708786346902</v>
      </c>
      <c r="F672">
        <f t="shared" si="541"/>
        <v>5.7731510524430496E-7</v>
      </c>
      <c r="G672">
        <f t="shared" si="542"/>
        <v>1.5506195689651798E-4</v>
      </c>
      <c r="H672">
        <f t="shared" si="564"/>
        <v>-3.1414375880431038</v>
      </c>
      <c r="J672">
        <f t="shared" si="565"/>
        <v>15</v>
      </c>
      <c r="M672">
        <f t="shared" si="543"/>
        <v>1.3028605498200069E-4</v>
      </c>
      <c r="N672">
        <f t="shared" si="566"/>
        <v>-1.5707963250000001</v>
      </c>
      <c r="O672">
        <f t="shared" si="544"/>
        <v>1885.2574481101858</v>
      </c>
      <c r="P672">
        <f t="shared" si="567"/>
        <v>1.5702658952361217</v>
      </c>
      <c r="Q672">
        <f t="shared" si="545"/>
        <v>1638.7354561251789</v>
      </c>
      <c r="R672">
        <f t="shared" si="568"/>
        <v>1.5701861001360877</v>
      </c>
      <c r="S672">
        <f t="shared" si="546"/>
        <v>2.1581742896648395E-2</v>
      </c>
      <c r="T672">
        <f t="shared" si="569"/>
        <v>-1.5492129081864181</v>
      </c>
      <c r="U672">
        <f t="shared" si="547"/>
        <v>2.1300835596736293E-2</v>
      </c>
      <c r="V672">
        <f t="shared" si="570"/>
        <v>-1.5494938800801279</v>
      </c>
      <c r="X672">
        <f t="shared" si="548"/>
        <v>-112.1067536693163</v>
      </c>
      <c r="Y672">
        <f t="shared" si="549"/>
        <v>-217.82546863716237</v>
      </c>
      <c r="Z672">
        <f t="shared" si="579"/>
        <v>-37.825468637162373</v>
      </c>
      <c r="AC672">
        <v>1</v>
      </c>
      <c r="AD672">
        <f t="shared" si="550"/>
        <v>1885.2571828944001</v>
      </c>
      <c r="AE672">
        <f t="shared" si="551"/>
        <v>-13.645924091460296</v>
      </c>
      <c r="AF672">
        <f t="shared" si="552"/>
        <v>0.29073555020159997</v>
      </c>
      <c r="AG672">
        <f t="shared" si="553"/>
        <v>2.8689076302238692</v>
      </c>
      <c r="AH672">
        <f t="shared" si="554"/>
        <v>-138.09420870480537</v>
      </c>
      <c r="AJ672">
        <f t="shared" si="571"/>
        <v>26400</v>
      </c>
      <c r="AK672">
        <f t="shared" si="555"/>
        <v>1222971.2505077762</v>
      </c>
      <c r="AL672">
        <v>47</v>
      </c>
      <c r="AM672">
        <f t="shared" si="556"/>
        <v>1638.7351510118403</v>
      </c>
      <c r="AN672">
        <f t="shared" si="557"/>
        <v>746.13803934712382</v>
      </c>
      <c r="AO672">
        <f t="shared" si="558"/>
        <v>5.2897430338041147</v>
      </c>
      <c r="AQ672">
        <f t="shared" si="559"/>
        <v>2.7126736037525129E-5</v>
      </c>
      <c r="AR672">
        <f t="shared" si="560"/>
        <v>-0.52083333192048253</v>
      </c>
      <c r="AT672">
        <f t="shared" si="561"/>
        <v>-71.923989014546279</v>
      </c>
      <c r="AU672">
        <f t="shared" si="562"/>
        <v>-1.4979687651694396</v>
      </c>
      <c r="AV672">
        <f t="shared" si="580"/>
        <v>-3.1207685551005131</v>
      </c>
      <c r="AW672">
        <f t="shared" si="581"/>
        <v>753.57668925178052</v>
      </c>
      <c r="AX672">
        <f t="shared" si="582"/>
        <v>-585.80673724834469</v>
      </c>
      <c r="AY672">
        <f t="shared" si="590"/>
        <v>-0.66078807090386615</v>
      </c>
      <c r="BA672">
        <f t="shared" si="572"/>
        <v>7.5369816905171944E-2</v>
      </c>
      <c r="BB672">
        <f t="shared" si="583"/>
        <v>-22.456050795047172</v>
      </c>
      <c r="BC672">
        <f t="shared" si="584"/>
        <v>-2.4599804841966471</v>
      </c>
      <c r="BD672">
        <f t="shared" si="573"/>
        <v>-320.94649959007143</v>
      </c>
      <c r="BF672">
        <f t="shared" si="574"/>
        <v>-119.90801655365911</v>
      </c>
      <c r="BG672">
        <f t="shared" si="575"/>
        <v>-271.16379241202088</v>
      </c>
      <c r="BH672">
        <f t="shared" si="585"/>
        <v>-91.163792412020882</v>
      </c>
      <c r="BI672">
        <f t="shared" si="586"/>
        <v>-91.163792412020882</v>
      </c>
      <c r="BJ672">
        <f t="shared" si="576"/>
        <v>0</v>
      </c>
      <c r="BK672">
        <f t="shared" si="587"/>
        <v>0</v>
      </c>
      <c r="BM672">
        <f t="shared" si="588"/>
        <v>-97.451965758611934</v>
      </c>
      <c r="BN672">
        <f t="shared" si="577"/>
        <v>-130.21729282194948</v>
      </c>
      <c r="BQ672" s="56">
        <f t="shared" si="589"/>
        <v>-5.5540899947620392</v>
      </c>
    </row>
    <row r="673" spans="1:69" x14ac:dyDescent="0.2">
      <c r="A673">
        <f t="shared" si="563"/>
        <v>9700000</v>
      </c>
      <c r="B673">
        <f t="shared" si="578"/>
        <v>9700</v>
      </c>
      <c r="C673">
        <f t="shared" si="539"/>
        <v>1.5578740823918247</v>
      </c>
      <c r="D673">
        <f t="shared" si="540"/>
        <v>0.87382223121204006</v>
      </c>
      <c r="F673">
        <f t="shared" si="541"/>
        <v>5.6547305220553551E-7</v>
      </c>
      <c r="G673">
        <f t="shared" si="542"/>
        <v>1.5346337822817703E-4</v>
      </c>
      <c r="H673">
        <f t="shared" si="564"/>
        <v>-3.1414391866217719</v>
      </c>
      <c r="J673">
        <f t="shared" si="565"/>
        <v>15</v>
      </c>
      <c r="M673">
        <f t="shared" si="543"/>
        <v>1.289428997760007E-4</v>
      </c>
      <c r="N673">
        <f t="shared" si="566"/>
        <v>-1.5707963250000001</v>
      </c>
      <c r="O673">
        <f t="shared" si="544"/>
        <v>1904.8955410311528</v>
      </c>
      <c r="P673">
        <f t="shared" si="567"/>
        <v>1.5702713636016972</v>
      </c>
      <c r="Q673">
        <f t="shared" si="545"/>
        <v>1655.8056108027213</v>
      </c>
      <c r="R673">
        <f t="shared" si="568"/>
        <v>1.5701923911310327</v>
      </c>
      <c r="S673">
        <f t="shared" si="546"/>
        <v>2.1359352736092862E-2</v>
      </c>
      <c r="T673">
        <f t="shared" si="569"/>
        <v>-1.549435349624362</v>
      </c>
      <c r="U673">
        <f t="shared" si="547"/>
        <v>2.1081337455117442E-2</v>
      </c>
      <c r="V673">
        <f t="shared" si="570"/>
        <v>-1.5497134275229467</v>
      </c>
      <c r="X673">
        <f t="shared" si="548"/>
        <v>-112.32400558896991</v>
      </c>
      <c r="Y673">
        <f t="shared" si="549"/>
        <v>-217.55770739671669</v>
      </c>
      <c r="Z673">
        <f t="shared" si="579"/>
        <v>-37.557707396716694</v>
      </c>
      <c r="AC673">
        <v>1</v>
      </c>
      <c r="AD673">
        <f t="shared" si="550"/>
        <v>1904.8952785495501</v>
      </c>
      <c r="AE673">
        <f t="shared" si="551"/>
        <v>-13.931694854226336</v>
      </c>
      <c r="AF673">
        <f t="shared" si="552"/>
        <v>0.2937640455162</v>
      </c>
      <c r="AG673">
        <f t="shared" si="553"/>
        <v>2.8100859598973003</v>
      </c>
      <c r="AH673">
        <f t="shared" si="554"/>
        <v>-136.67179738379798</v>
      </c>
      <c r="AJ673">
        <f t="shared" si="571"/>
        <v>26400</v>
      </c>
      <c r="AK673">
        <f t="shared" si="555"/>
        <v>1235710.5343672321</v>
      </c>
      <c r="AL673">
        <v>48</v>
      </c>
      <c r="AM673">
        <f t="shared" si="556"/>
        <v>1655.8053088348802</v>
      </c>
      <c r="AN673">
        <f t="shared" si="557"/>
        <v>746.12493764369151</v>
      </c>
      <c r="AO673">
        <f t="shared" si="558"/>
        <v>5.6854492232069358</v>
      </c>
      <c r="AQ673">
        <f t="shared" si="559"/>
        <v>2.65703049565036E-5</v>
      </c>
      <c r="AR673">
        <f t="shared" si="560"/>
        <v>-0.51546391615616982</v>
      </c>
      <c r="AT673">
        <f t="shared" si="561"/>
        <v>-70.449305242714161</v>
      </c>
      <c r="AU673">
        <f t="shared" si="562"/>
        <v>-1.452129324959573</v>
      </c>
      <c r="AV673">
        <f t="shared" si="580"/>
        <v>-3.1209831711193354</v>
      </c>
      <c r="AW673">
        <f t="shared" si="581"/>
        <v>753.68156465233881</v>
      </c>
      <c r="AX673">
        <f t="shared" si="582"/>
        <v>-579.31059170831634</v>
      </c>
      <c r="AY673">
        <f t="shared" si="590"/>
        <v>-0.65532502996448028</v>
      </c>
      <c r="BA673">
        <f t="shared" si="572"/>
        <v>7.4126250525545917E-2</v>
      </c>
      <c r="BB673">
        <f t="shared" si="583"/>
        <v>-22.600559338519766</v>
      </c>
      <c r="BC673">
        <f t="shared" si="584"/>
        <v>-2.4656581411548553</v>
      </c>
      <c r="BD673">
        <f t="shared" si="573"/>
        <v>-321.27180537167158</v>
      </c>
      <c r="BF673">
        <f t="shared" si="574"/>
        <v>-120.17984884659796</v>
      </c>
      <c r="BG673">
        <f t="shared" si="575"/>
        <v>-271.19668661741542</v>
      </c>
      <c r="BH673">
        <f t="shared" si="585"/>
        <v>-91.196686617415423</v>
      </c>
      <c r="BI673">
        <f t="shared" si="586"/>
        <v>-91.196686617415423</v>
      </c>
      <c r="BJ673">
        <f t="shared" si="576"/>
        <v>0</v>
      </c>
      <c r="BK673">
        <f t="shared" si="587"/>
        <v>0</v>
      </c>
      <c r="BM673">
        <f t="shared" si="588"/>
        <v>-97.579289508078205</v>
      </c>
      <c r="BN673">
        <f t="shared" si="577"/>
        <v>-129.92488124574388</v>
      </c>
      <c r="BQ673" s="56">
        <f t="shared" si="589"/>
        <v>-5.6985985382346289</v>
      </c>
    </row>
    <row r="674" spans="1:69" x14ac:dyDescent="0.2">
      <c r="A674">
        <f t="shared" si="563"/>
        <v>9800000</v>
      </c>
      <c r="B674">
        <f t="shared" si="578"/>
        <v>9800</v>
      </c>
      <c r="C674">
        <f t="shared" si="539"/>
        <v>1.5673370450828434</v>
      </c>
      <c r="D674">
        <f t="shared" si="540"/>
        <v>0.87886585901042291</v>
      </c>
      <c r="F674">
        <f t="shared" si="541"/>
        <v>5.5399165851231563E-7</v>
      </c>
      <c r="G674">
        <f t="shared" si="542"/>
        <v>1.5189742366834562E-4</v>
      </c>
      <c r="H674">
        <f t="shared" si="564"/>
        <v>-3.1414407525763317</v>
      </c>
      <c r="J674">
        <f t="shared" si="565"/>
        <v>15</v>
      </c>
      <c r="M674">
        <f t="shared" si="543"/>
        <v>1.2762715590073539E-4</v>
      </c>
      <c r="N674">
        <f t="shared" si="566"/>
        <v>-1.5707963250000001</v>
      </c>
      <c r="O674">
        <f t="shared" si="544"/>
        <v>1924.5336340079195</v>
      </c>
      <c r="P674">
        <f t="shared" si="567"/>
        <v>1.5702767203680055</v>
      </c>
      <c r="Q674">
        <f t="shared" si="545"/>
        <v>1672.8757655444572</v>
      </c>
      <c r="R674">
        <f t="shared" si="568"/>
        <v>1.570198553738372</v>
      </c>
      <c r="S674">
        <f t="shared" si="546"/>
        <v>2.1141498075800107E-2</v>
      </c>
      <c r="T674">
        <f t="shared" si="569"/>
        <v>-1.5496532534912193</v>
      </c>
      <c r="U674">
        <f t="shared" si="547"/>
        <v>2.0866315911427683E-2</v>
      </c>
      <c r="V674">
        <f t="shared" si="570"/>
        <v>-1.5499284963768003</v>
      </c>
      <c r="X674">
        <f t="shared" si="548"/>
        <v>-112.53858588336514</v>
      </c>
      <c r="Y674">
        <f t="shared" si="549"/>
        <v>-217.29296603076756</v>
      </c>
      <c r="Z674">
        <f t="shared" si="579"/>
        <v>-37.292966030767559</v>
      </c>
      <c r="AC674">
        <v>1</v>
      </c>
      <c r="AD674">
        <f t="shared" si="550"/>
        <v>1924.5333742047001</v>
      </c>
      <c r="AE674">
        <f t="shared" si="551"/>
        <v>-14.220426972046948</v>
      </c>
      <c r="AF674">
        <f t="shared" si="552"/>
        <v>0.29679254083079998</v>
      </c>
      <c r="AG674">
        <f t="shared" si="553"/>
        <v>2.7530547046149945</v>
      </c>
      <c r="AH674">
        <f t="shared" si="554"/>
        <v>-135.2783774977583</v>
      </c>
      <c r="AJ674">
        <f t="shared" si="571"/>
        <v>26400</v>
      </c>
      <c r="AK674">
        <f t="shared" si="555"/>
        <v>1248449.8182266881</v>
      </c>
      <c r="AL674">
        <v>49</v>
      </c>
      <c r="AM674">
        <f t="shared" si="556"/>
        <v>1672.87546665792</v>
      </c>
      <c r="AN674">
        <f t="shared" si="557"/>
        <v>746.1118672114095</v>
      </c>
      <c r="AO674">
        <f t="shared" si="558"/>
        <v>6.0730650283584637</v>
      </c>
      <c r="AQ674">
        <f t="shared" si="559"/>
        <v>2.603082042370153E-5</v>
      </c>
      <c r="AR674">
        <f t="shared" si="560"/>
        <v>-0.51020408030455</v>
      </c>
      <c r="AT674">
        <f t="shared" si="561"/>
        <v>-69.01950851206287</v>
      </c>
      <c r="AU674">
        <f t="shared" si="562"/>
        <v>-1.4081411507480617</v>
      </c>
      <c r="AV674">
        <f t="shared" si="580"/>
        <v>-3.1211934091904689</v>
      </c>
      <c r="AW674">
        <f t="shared" si="581"/>
        <v>753.78012210852296</v>
      </c>
      <c r="AX674">
        <f t="shared" si="582"/>
        <v>-572.94702548990153</v>
      </c>
      <c r="AY674">
        <f t="shared" si="590"/>
        <v>-0.64993278665481513</v>
      </c>
      <c r="BA674">
        <f t="shared" si="572"/>
        <v>7.2911918202348311E-2</v>
      </c>
      <c r="BB674">
        <f t="shared" si="583"/>
        <v>-22.744029519661069</v>
      </c>
      <c r="BC674">
        <f t="shared" si="584"/>
        <v>-2.4712606225356537</v>
      </c>
      <c r="BD674">
        <f t="shared" si="573"/>
        <v>-321.59280390995877</v>
      </c>
      <c r="BF674">
        <f t="shared" si="574"/>
        <v>-120.44889185575455</v>
      </c>
      <c r="BG674">
        <f t="shared" si="575"/>
        <v>-271.22879629167744</v>
      </c>
      <c r="BH674">
        <f t="shared" si="585"/>
        <v>-91.22879629167744</v>
      </c>
      <c r="BI674">
        <f t="shared" si="586"/>
        <v>-91.22879629167744</v>
      </c>
      <c r="BJ674">
        <f t="shared" si="576"/>
        <v>0</v>
      </c>
      <c r="BK674">
        <f t="shared" si="587"/>
        <v>0</v>
      </c>
      <c r="BM674">
        <f t="shared" si="588"/>
        <v>-97.70486233609347</v>
      </c>
      <c r="BN674">
        <f t="shared" si="577"/>
        <v>-129.63599238171872</v>
      </c>
      <c r="BQ674" s="56">
        <f t="shared" si="589"/>
        <v>-5.8420687193759333</v>
      </c>
    </row>
    <row r="675" spans="1:69" x14ac:dyDescent="0.2">
      <c r="A675">
        <f t="shared" si="563"/>
        <v>9900000</v>
      </c>
      <c r="B675">
        <f t="shared" si="578"/>
        <v>9900</v>
      </c>
      <c r="C675">
        <f t="shared" si="539"/>
        <v>1.5768393988505343</v>
      </c>
      <c r="D675">
        <f t="shared" si="540"/>
        <v>0.88384882445226687</v>
      </c>
      <c r="F675">
        <f t="shared" si="541"/>
        <v>5.4285642590624683E-7</v>
      </c>
      <c r="G675">
        <f t="shared" si="542"/>
        <v>1.5036310460552407E-4</v>
      </c>
      <c r="H675">
        <f t="shared" si="564"/>
        <v>-3.1414422868953946</v>
      </c>
      <c r="J675">
        <f t="shared" si="565"/>
        <v>15</v>
      </c>
      <c r="M675">
        <f t="shared" si="543"/>
        <v>1.2633799270981886E-4</v>
      </c>
      <c r="N675">
        <f t="shared" si="566"/>
        <v>-1.5707963250000001</v>
      </c>
      <c r="O675">
        <f t="shared" si="544"/>
        <v>1944.1717270387949</v>
      </c>
      <c r="P675">
        <f t="shared" si="567"/>
        <v>1.5702819689168417</v>
      </c>
      <c r="Q675">
        <f t="shared" si="545"/>
        <v>1689.9459203484419</v>
      </c>
      <c r="R675">
        <f t="shared" si="568"/>
        <v>1.5702045918486374</v>
      </c>
      <c r="S675">
        <f t="shared" si="546"/>
        <v>2.0928041598642536E-2</v>
      </c>
      <c r="T675">
        <f t="shared" si="569"/>
        <v>-1.5498667572076006</v>
      </c>
      <c r="U675">
        <f t="shared" si="547"/>
        <v>2.0655635428748965E-2</v>
      </c>
      <c r="V675">
        <f t="shared" si="570"/>
        <v>-1.5501392222781039</v>
      </c>
      <c r="X675">
        <f t="shared" si="548"/>
        <v>-112.75055486011513</v>
      </c>
      <c r="Y675">
        <f t="shared" si="549"/>
        <v>-217.03121093990453</v>
      </c>
      <c r="Z675">
        <f t="shared" si="579"/>
        <v>-37.031210939904526</v>
      </c>
      <c r="AC675">
        <v>1</v>
      </c>
      <c r="AD675">
        <f t="shared" si="550"/>
        <v>1944.1714698598498</v>
      </c>
      <c r="AE675">
        <f t="shared" si="551"/>
        <v>-14.512120444922132</v>
      </c>
      <c r="AF675">
        <f t="shared" si="552"/>
        <v>0.29982103614540001</v>
      </c>
      <c r="AG675">
        <f t="shared" si="553"/>
        <v>2.6977419426965472</v>
      </c>
      <c r="AH675">
        <f t="shared" si="554"/>
        <v>-133.91307200425905</v>
      </c>
      <c r="AJ675">
        <f t="shared" si="571"/>
        <v>26400</v>
      </c>
      <c r="AK675">
        <f t="shared" si="555"/>
        <v>1261189.102086144</v>
      </c>
      <c r="AL675">
        <v>50</v>
      </c>
      <c r="AM675">
        <f t="shared" si="556"/>
        <v>1689.9456244809603</v>
      </c>
      <c r="AN675">
        <f t="shared" si="557"/>
        <v>746.09883420414712</v>
      </c>
      <c r="AO675">
        <f t="shared" si="558"/>
        <v>6.4528358500035381</v>
      </c>
      <c r="AQ675">
        <f t="shared" si="559"/>
        <v>2.550760120011325E-5</v>
      </c>
      <c r="AR675">
        <f t="shared" si="560"/>
        <v>-0.50505050376224236</v>
      </c>
      <c r="AT675">
        <f t="shared" si="561"/>
        <v>-67.632795663174846</v>
      </c>
      <c r="AU675">
        <f t="shared" si="562"/>
        <v>-1.3659117284155882</v>
      </c>
      <c r="AV675">
        <f t="shared" si="580"/>
        <v>-3.1213994019005931</v>
      </c>
      <c r="AW675">
        <f t="shared" si="581"/>
        <v>753.87267857900338</v>
      </c>
      <c r="AX675">
        <f t="shared" si="582"/>
        <v>-566.71202539233821</v>
      </c>
      <c r="AY675">
        <f t="shared" si="590"/>
        <v>-0.64461020073805231</v>
      </c>
      <c r="BA675">
        <f t="shared" si="572"/>
        <v>7.1725932343015358E-2</v>
      </c>
      <c r="BB675">
        <f t="shared" si="583"/>
        <v>-22.886475955736138</v>
      </c>
      <c r="BC675">
        <f t="shared" si="584"/>
        <v>-2.476789201162541</v>
      </c>
      <c r="BD675">
        <f t="shared" si="573"/>
        <v>-321.90956813234754</v>
      </c>
      <c r="BF675">
        <f t="shared" si="574"/>
        <v>-120.71520186057064</v>
      </c>
      <c r="BG675">
        <f t="shared" si="575"/>
        <v>-271.26014553446964</v>
      </c>
      <c r="BH675">
        <f t="shared" si="585"/>
        <v>-91.260145534469643</v>
      </c>
      <c r="BI675">
        <f t="shared" si="586"/>
        <v>-91.260145534469643</v>
      </c>
      <c r="BJ675">
        <f t="shared" si="576"/>
        <v>0</v>
      </c>
      <c r="BK675">
        <f t="shared" si="587"/>
        <v>0</v>
      </c>
      <c r="BM675">
        <f t="shared" si="588"/>
        <v>-97.828725904834499</v>
      </c>
      <c r="BN675">
        <f t="shared" si="577"/>
        <v>-129.35057740212213</v>
      </c>
      <c r="BQ675" s="56">
        <f t="shared" si="589"/>
        <v>-5.9845151554510023</v>
      </c>
    </row>
    <row r="676" spans="1:69" x14ac:dyDescent="0.2">
      <c r="A676">
        <f t="shared" si="563"/>
        <v>10000000</v>
      </c>
      <c r="B676">
        <f t="shared" si="578"/>
        <v>10000</v>
      </c>
      <c r="C676">
        <f t="shared" si="539"/>
        <v>1.5863804358422515</v>
      </c>
      <c r="D676">
        <f t="shared" si="540"/>
        <v>0.88877197238298933</v>
      </c>
      <c r="F676">
        <f t="shared" si="541"/>
        <v>5.3205357739946053E-7</v>
      </c>
      <c r="G676">
        <f t="shared" si="542"/>
        <v>1.4885947197277853E-4</v>
      </c>
      <c r="H676">
        <f t="shared" si="564"/>
        <v>-3.1414437905280272</v>
      </c>
      <c r="J676">
        <f t="shared" si="565"/>
        <v>15</v>
      </c>
      <c r="M676">
        <f t="shared" si="543"/>
        <v>1.2507461278272067E-4</v>
      </c>
      <c r="N676">
        <f t="shared" si="566"/>
        <v>-1.5707963250000001</v>
      </c>
      <c r="O676">
        <f t="shared" si="544"/>
        <v>1963.809820122156</v>
      </c>
      <c r="P676">
        <f t="shared" si="567"/>
        <v>1.5702871124947286</v>
      </c>
      <c r="Q676">
        <f t="shared" si="545"/>
        <v>1707.0160752128077</v>
      </c>
      <c r="R676">
        <f t="shared" si="568"/>
        <v>1.5702105091967393</v>
      </c>
      <c r="S676">
        <f t="shared" si="546"/>
        <v>2.0718851474159441E-2</v>
      </c>
      <c r="T676">
        <f t="shared" si="569"/>
        <v>-1.5500759927013057</v>
      </c>
      <c r="U676">
        <f t="shared" si="547"/>
        <v>2.0449165885853458E-2</v>
      </c>
      <c r="V676">
        <f t="shared" si="570"/>
        <v>-1.5503457354416748</v>
      </c>
      <c r="X676">
        <f t="shared" si="548"/>
        <v>-112.95997095123171</v>
      </c>
      <c r="Y676">
        <f t="shared" si="549"/>
        <v>-216.77240839208707</v>
      </c>
      <c r="Z676">
        <f t="shared" si="579"/>
        <v>-36.772408392087073</v>
      </c>
      <c r="AC676">
        <v>1</v>
      </c>
      <c r="AD676">
        <f t="shared" si="550"/>
        <v>1963.8095655149998</v>
      </c>
      <c r="AE676">
        <f t="shared" si="551"/>
        <v>-14.806775272851885</v>
      </c>
      <c r="AF676">
        <f t="shared" si="552"/>
        <v>0.30284953145999999</v>
      </c>
      <c r="AG676">
        <f t="shared" si="553"/>
        <v>2.6440793274336953</v>
      </c>
      <c r="AH676">
        <f t="shared" si="554"/>
        <v>-132.57503886944957</v>
      </c>
      <c r="AJ676">
        <f t="shared" si="571"/>
        <v>26400</v>
      </c>
      <c r="AK676">
        <f t="shared" si="555"/>
        <v>1273928.3859456</v>
      </c>
      <c r="AL676">
        <v>51</v>
      </c>
      <c r="AM676">
        <f t="shared" si="556"/>
        <v>1707.0157823040001</v>
      </c>
      <c r="AN676">
        <f t="shared" si="557"/>
        <v>746.08584424789035</v>
      </c>
      <c r="AO676">
        <f t="shared" si="558"/>
        <v>6.8249972715059641</v>
      </c>
      <c r="AQ676">
        <f t="shared" si="559"/>
        <v>2.4999999937500001E-5</v>
      </c>
      <c r="AR676">
        <f t="shared" si="560"/>
        <v>-0.49999999875000001</v>
      </c>
      <c r="AT676">
        <f t="shared" si="561"/>
        <v>-66.28745316702296</v>
      </c>
      <c r="AU676">
        <f t="shared" si="562"/>
        <v>-1.3253540363751988</v>
      </c>
      <c r="AV676">
        <f t="shared" si="580"/>
        <v>-3.1216012765367811</v>
      </c>
      <c r="AW676">
        <f t="shared" si="581"/>
        <v>753.9595333709932</v>
      </c>
      <c r="AX676">
        <f t="shared" si="582"/>
        <v>-560.60173839367189</v>
      </c>
      <c r="AY676">
        <f t="shared" si="590"/>
        <v>-0.63935615065556872</v>
      </c>
      <c r="BA676">
        <f t="shared" si="572"/>
        <v>7.0567438786669601E-2</v>
      </c>
      <c r="BB676">
        <f t="shared" si="583"/>
        <v>-23.027912896039361</v>
      </c>
      <c r="BC676">
        <f t="shared" si="584"/>
        <v>-2.4822451258812124</v>
      </c>
      <c r="BD676">
        <f t="shared" si="573"/>
        <v>-322.22216959242576</v>
      </c>
      <c r="BF676">
        <f t="shared" si="574"/>
        <v>-120.97883345714874</v>
      </c>
      <c r="BG676">
        <f t="shared" si="575"/>
        <v>-271.29075754768047</v>
      </c>
      <c r="BH676">
        <f t="shared" si="585"/>
        <v>-91.290757547680471</v>
      </c>
      <c r="BI676">
        <f t="shared" si="586"/>
        <v>-91.290757547680471</v>
      </c>
      <c r="BJ676">
        <f t="shared" si="576"/>
        <v>0</v>
      </c>
      <c r="BK676">
        <f t="shared" si="587"/>
        <v>0</v>
      </c>
      <c r="BM676">
        <f t="shared" si="588"/>
        <v>-97.950920561109371</v>
      </c>
      <c r="BN676">
        <f t="shared" si="577"/>
        <v>-129.06858795525471</v>
      </c>
      <c r="BQ676" s="56">
        <f t="shared" si="589"/>
        <v>-6.1259520957542248</v>
      </c>
    </row>
    <row r="677" spans="1:69" x14ac:dyDescent="0.2">
      <c r="BD677">
        <f t="shared" si="573"/>
        <v>-180</v>
      </c>
    </row>
    <row r="678" spans="1:69" x14ac:dyDescent="0.2">
      <c r="BD678">
        <f t="shared" si="573"/>
        <v>-180</v>
      </c>
    </row>
    <row r="679" spans="1:69" x14ac:dyDescent="0.2">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437</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436</v>
      </c>
      <c r="BB681" s="2" t="s">
        <v>434</v>
      </c>
      <c r="BC681" s="2" t="s">
        <v>435</v>
      </c>
      <c r="BF681" s="2" t="s">
        <v>71</v>
      </c>
      <c r="BG681" s="2" t="s">
        <v>72</v>
      </c>
      <c r="BH681" s="2" t="s">
        <v>104</v>
      </c>
    </row>
    <row r="682" spans="1:69" x14ac:dyDescent="0.2">
      <c r="A682">
        <f>Fesr</f>
        <v>8120150.1670283861</v>
      </c>
      <c r="B682">
        <f t="shared" ref="B682:B692" si="591">A682/1000</f>
        <v>8120.150167028386</v>
      </c>
      <c r="C682">
        <f t="shared" ref="C682:C686" si="592">SQRT((A682/Fesr)^2+1)</f>
        <v>1.4142135623730951</v>
      </c>
      <c r="D682">
        <f t="shared" ref="D682:D686" si="593">ATAN(A682/Fesr)</f>
        <v>0.78539816339744828</v>
      </c>
      <c r="F682">
        <f t="shared" ref="F682:F687" si="594">(Ro/(Ro+Rdcr))/SQRT((A682/(Q*Fo))^2+(1-(A682^2/Fo^2))^2)</f>
        <v>8.0691420893705586E-7</v>
      </c>
      <c r="G682">
        <f t="shared" ref="G682:G687" si="595">-ATAN(A682*Fo/(Q*(Fo^2-A682^2)))</f>
        <v>1.8332113234547151E-4</v>
      </c>
      <c r="H682">
        <f t="shared" ref="H682:H687" si="596">IF(G682&gt;0,G682-Pi,G682)</f>
        <v>-3.1414093288676548</v>
      </c>
      <c r="J682">
        <f t="shared" ref="J682:J688" si="597">Vin/Vramp</f>
        <v>15</v>
      </c>
      <c r="M682">
        <f t="shared" ref="M682:M687" si="598">1/(2*Pi*_Rfb1*(Cc1ea_u+Cc2ea_u)*A682)</f>
        <v>1.5402992581415819E-4</v>
      </c>
      <c r="N682">
        <f t="shared" ref="N682:N688" si="599">-Pi/2</f>
        <v>-1.5707963250000001</v>
      </c>
      <c r="O682">
        <f t="shared" ref="O682:O687" si="600">SQRT(1+(A682/Fz1_u)^2)</f>
        <v>1594.6431706926583</v>
      </c>
      <c r="P682">
        <f t="shared" ref="P682:P687" si="601">ATAN(A682/Fz1_u)</f>
        <v>1.5701692272130461</v>
      </c>
      <c r="Q682">
        <f t="shared" ref="Q682:Q687" si="602">SQRT(1+(A682/Fz2_u)^2)</f>
        <v>1386.1228096980371</v>
      </c>
      <c r="R682">
        <f t="shared" ref="R682:R687" si="603">ATAN(A682/Fz2_u)</f>
        <v>1.5700748899353711</v>
      </c>
      <c r="S682">
        <f t="shared" ref="S682:S687" si="604">1/SQRT(1+(A682/Fp1_u)^2)</f>
        <v>2.5512526366520773E-2</v>
      </c>
      <c r="T682">
        <f t="shared" ref="T682:T687" si="605">-ATAN(A682/Fp1_u)</f>
        <v>-1.5452810319802848</v>
      </c>
      <c r="U682">
        <f t="shared" ref="U682:U687" si="606">1/SQRT(1+(A682/Fp2_u)^2)</f>
        <v>2.5180516415509654E-2</v>
      </c>
      <c r="V682">
        <f t="shared" ref="V682:V687" si="607">-ATAN(A682/Fp2_u)</f>
        <v>-1.5456131486334967</v>
      </c>
      <c r="X682">
        <f t="shared" ref="X682:X686" si="608">20*LOG(C682*J682*O682*Q682*F682*M682*S682*U682)</f>
        <v>-108.53355894363234</v>
      </c>
      <c r="Y682">
        <f t="shared" ref="Y682:Y686" si="609">(180/Pi)*(D682+H682+N682+P682+R682+T682+V682)</f>
        <v>-222.16195333548501</v>
      </c>
      <c r="Z682">
        <f t="shared" ref="Z682:Z687" si="610">Y682+180</f>
        <v>-42.161953335485009</v>
      </c>
      <c r="AC682">
        <v>1</v>
      </c>
      <c r="AD682">
        <f t="shared" ref="AD682:AD687" si="611">Rcea1_u*Cc1ea_u*A682*2*Pi</f>
        <v>1594.6428571428569</v>
      </c>
      <c r="AE682">
        <f t="shared" ref="AE682:AE687" si="612">-Rcea1_u*Cc1ea_u*Cc2ea_u*(A682*2*Pi)^2</f>
        <v>-9.7631195335276946</v>
      </c>
      <c r="AF682">
        <f t="shared" ref="AF682:AF687" si="613">(Cc2ea_u+Cc1ea_u)*A682*2*Pi</f>
        <v>0.24591836734693873</v>
      </c>
      <c r="AG682">
        <f t="shared" ref="AG682:AG687" si="614">AC682*AE682/(AE682^2+AF682^2)+AD682*AF682/(AE682^2+AF682^2)</f>
        <v>4.0091522569171421</v>
      </c>
      <c r="AH682">
        <f t="shared" ref="AH682:AH687" si="615">AD682*AE682/(AE682^2+AF682^2)-AC682*AF682/(AE682^2+AF682^2)</f>
        <v>-163.23234878898967</v>
      </c>
      <c r="AJ682">
        <f t="shared" ref="AJ682:AJ688" si="616">_Rfb1</f>
        <v>26400</v>
      </c>
      <c r="AK682">
        <f t="shared" ref="AK682:AK687" si="617">_Rfb1*Rcea2_u*Cc3ea_u*A682*2*Pi</f>
        <v>1034448.9795918366</v>
      </c>
      <c r="AL682">
        <v>1</v>
      </c>
      <c r="AM682">
        <f t="shared" ref="AM682:AM687" si="618">(_Rfb1+Rcea2_u)*Cc3ea_u*A682*2*Pi</f>
        <v>1386.1224489795918</v>
      </c>
      <c r="AN682">
        <f t="shared" ref="AN682:AN687" si="619">AJ682*AL682/(AL682^2+AM682^2)+AK682*AM682/(AL682^2+AM682^2)</f>
        <v>746.30310466373635</v>
      </c>
      <c r="AO682">
        <f t="shared" ref="AO682:AO687" si="620">AK682*AL682/(AL682^2+AM682^2)-AJ682*AM682/(AL682^2+AM682^2)</f>
        <v>-18.507525734267922</v>
      </c>
      <c r="AQ682">
        <f t="shared" ref="AQ682:AQ687" si="621">Eadcg/(1+(Eadcg*A682/GBP)^2)</f>
        <v>3.791507203682104E-5</v>
      </c>
      <c r="AR682">
        <f t="shared" ref="AR682:AR687" si="622">-(A682*Eadcg*Eadcg/GBP)/(1+(Eadcg*A682/GBP)^2)</f>
        <v>-0.61575215706537134</v>
      </c>
      <c r="AT682">
        <f t="shared" ref="AT682:AT687" si="623">-AR682*AH682+AG682*AQ682</f>
        <v>-100.51051886237082</v>
      </c>
      <c r="AU682">
        <f t="shared" ref="AU682:AU687" si="624">AQ682*AH682+AG682*AR682</f>
        <v>-2.4748331164633059</v>
      </c>
      <c r="AV682">
        <f t="shared" ref="AV682:AV687" si="625">IF(AT682&lt;0,ATAN(AU682/AT682)+Pi,ATAN(AU682/AT682))</f>
        <v>3.1662103037954115</v>
      </c>
      <c r="AW682">
        <f t="shared" ref="AW682:AW687" si="626">AG682-AH682*AO682/_Rfb2+AG682*AN682/_Rfb2+AN682-AO682*AR682+AQ682*AN682</f>
        <v>738.9263890891408</v>
      </c>
      <c r="AX682">
        <f t="shared" ref="AX682:AX687" si="627">AH682+AH682*AN682/_Rfb2+AG682*AO682/_Rfb2+AO682+AO682*AQ682+AN682*AR682</f>
        <v>-717.46270286579852</v>
      </c>
      <c r="AY682">
        <f t="shared" ref="AY682:AY687" si="628">IF(AW682&lt;0,ATAN(AX682/AW682)+Pi,ATAN(AX682/AW682))</f>
        <v>-0.77066162589171983</v>
      </c>
      <c r="BA682">
        <f t="shared" ref="BA682:BA687" si="629">SQRT(AT682^2+AU682^2)/SQRT(AW682^2+AX682^2)</f>
        <v>9.7618818603241425E-2</v>
      </c>
      <c r="BB682">
        <f t="shared" ref="BB682:BB687" si="630">20*LOG(BA682)</f>
        <v>-20.20932905081958</v>
      </c>
      <c r="BC682">
        <f t="shared" ref="BC682:BC687" si="631">AV682-AY682</f>
        <v>3.9368719296871313</v>
      </c>
      <c r="BD682">
        <f t="shared" ref="BD682:BD687" si="632">BC682*180/Pi</f>
        <v>225.56614631234373</v>
      </c>
      <c r="BF682">
        <f t="shared" ref="BF682:BF686" si="633">20*LOG(BA682*J682*F682*C682)</f>
        <v>-115.54065665272208</v>
      </c>
      <c r="BG682">
        <f t="shared" ref="BG682:BG686" si="634">(180/Pi)*(D682+H682+BC682)</f>
        <v>90.576649890954656</v>
      </c>
      <c r="BH682">
        <f t="shared" ref="BH682:BH687" si="635">IF(BG682&gt;180,BG682-180,BG682+180)</f>
        <v>270.57664989095463</v>
      </c>
      <c r="BI682">
        <f t="shared" ref="BI682:BI687" si="636">IF(BH682&gt;180,BH682-360,BH682)</f>
        <v>-89.423350109045373</v>
      </c>
    </row>
    <row r="683" spans="1:69" x14ac:dyDescent="0.2">
      <c r="A683">
        <f>Fo+1</f>
        <v>7297.2614188887601</v>
      </c>
      <c r="B683">
        <f t="shared" si="591"/>
        <v>7.2972614188887599</v>
      </c>
      <c r="C683">
        <f t="shared" si="592"/>
        <v>1.0000004037956207</v>
      </c>
      <c r="D683">
        <f t="shared" si="593"/>
        <v>8.9866065336059145E-4</v>
      </c>
      <c r="F683">
        <f t="shared" si="594"/>
        <v>4.8979979424979581</v>
      </c>
      <c r="G683">
        <f t="shared" si="595"/>
        <v>1.5694528699207855</v>
      </c>
      <c r="H683">
        <f t="shared" si="596"/>
        <v>-1.5721397800792147</v>
      </c>
      <c r="J683">
        <f t="shared" si="597"/>
        <v>15</v>
      </c>
      <c r="M683">
        <f t="shared" si="598"/>
        <v>0.17139938615734457</v>
      </c>
      <c r="N683">
        <f t="shared" si="599"/>
        <v>-1.5707963250000001</v>
      </c>
      <c r="O683">
        <f t="shared" si="600"/>
        <v>1.7474589405770615</v>
      </c>
      <c r="P683">
        <f t="shared" si="601"/>
        <v>0.96153785361224309</v>
      </c>
      <c r="Q683">
        <f t="shared" si="602"/>
        <v>1.5973897426020489</v>
      </c>
      <c r="R683">
        <f t="shared" si="603"/>
        <v>0.89435579910311269</v>
      </c>
      <c r="S683">
        <f t="shared" si="604"/>
        <v>0.99938060407540474</v>
      </c>
      <c r="T683">
        <f t="shared" si="605"/>
        <v>-3.5198291920035256E-2</v>
      </c>
      <c r="U683">
        <f t="shared" si="606"/>
        <v>0.99936416766450686</v>
      </c>
      <c r="V683">
        <f t="shared" si="607"/>
        <v>-3.5662297384773188E-2</v>
      </c>
      <c r="X683">
        <f t="shared" si="608"/>
        <v>30.90783713097775</v>
      </c>
      <c r="Y683">
        <f t="shared" si="609"/>
        <v>-77.750623901782845</v>
      </c>
      <c r="Z683">
        <f t="shared" si="610"/>
        <v>102.24937609821716</v>
      </c>
      <c r="AC683">
        <v>1</v>
      </c>
      <c r="AD683">
        <f t="shared" si="611"/>
        <v>1.4330431776477308</v>
      </c>
      <c r="AE683">
        <f t="shared" si="612"/>
        <v>-7.8846114183434562E-6</v>
      </c>
      <c r="AF683">
        <f t="shared" si="613"/>
        <v>2.2099722016515955E-4</v>
      </c>
      <c r="AG683">
        <f t="shared" si="614"/>
        <v>6314.9633165691012</v>
      </c>
      <c r="AH683">
        <f t="shared" si="615"/>
        <v>-4750.245415248628</v>
      </c>
      <c r="AJ683">
        <f t="shared" si="616"/>
        <v>26400</v>
      </c>
      <c r="AK683">
        <f t="shared" si="617"/>
        <v>929.61884611880578</v>
      </c>
      <c r="AL683">
        <v>1</v>
      </c>
      <c r="AM683">
        <f t="shared" si="618"/>
        <v>1.2456540409641195</v>
      </c>
      <c r="AN683">
        <f t="shared" si="619"/>
        <v>10800.047178303244</v>
      </c>
      <c r="AO683">
        <f t="shared" si="620"/>
        <v>-12523.503564137765</v>
      </c>
      <c r="AQ683">
        <f t="shared" si="621"/>
        <v>46.728950811781438</v>
      </c>
      <c r="AR683">
        <f t="shared" si="622"/>
        <v>-681.9867398079266</v>
      </c>
      <c r="AT683">
        <f t="shared" si="623"/>
        <v>-2944512.7738348008</v>
      </c>
      <c r="AU683">
        <f t="shared" si="624"/>
        <v>-4528695.2286266563</v>
      </c>
      <c r="AV683">
        <f t="shared" si="625"/>
        <v>4.1358801344656095</v>
      </c>
      <c r="AW683">
        <f t="shared" si="626"/>
        <v>-8013628.3663496617</v>
      </c>
      <c r="AX683">
        <f t="shared" si="627"/>
        <v>-8049465.6085442612</v>
      </c>
      <c r="AY683">
        <f t="shared" si="628"/>
        <v>3.929221839549129</v>
      </c>
      <c r="BA683">
        <f t="shared" si="629"/>
        <v>0.47557791084098217</v>
      </c>
      <c r="BB683">
        <f t="shared" si="630"/>
        <v>-6.4555665050642075</v>
      </c>
      <c r="BC683">
        <f t="shared" si="631"/>
        <v>0.20665829491648058</v>
      </c>
      <c r="BD683">
        <f t="shared" si="632"/>
        <v>11.840648113614124</v>
      </c>
      <c r="BF683">
        <f t="shared" si="633"/>
        <v>30.866634150465838</v>
      </c>
      <c r="BG683">
        <f t="shared" si="634"/>
        <v>-78.184836729767369</v>
      </c>
      <c r="BH683">
        <f t="shared" si="635"/>
        <v>101.81516327023263</v>
      </c>
      <c r="BI683">
        <f t="shared" si="636"/>
        <v>101.81516327023263</v>
      </c>
    </row>
    <row r="684" spans="1:69" x14ac:dyDescent="0.2">
      <c r="A684">
        <f>Fz1_u</f>
        <v>5092.1434418095141</v>
      </c>
      <c r="B684">
        <f t="shared" si="591"/>
        <v>5.0921434418095144</v>
      </c>
      <c r="C684">
        <f t="shared" si="592"/>
        <v>1.0000001966269749</v>
      </c>
      <c r="D684">
        <f t="shared" si="593"/>
        <v>6.270995818506228E-4</v>
      </c>
      <c r="F684">
        <f t="shared" si="594"/>
        <v>1.8775179462088978</v>
      </c>
      <c r="G684">
        <f t="shared" si="595"/>
        <v>-0.27078606481693623</v>
      </c>
      <c r="H684">
        <f t="shared" si="596"/>
        <v>-0.27078606481693623</v>
      </c>
      <c r="J684">
        <f t="shared" si="597"/>
        <v>15</v>
      </c>
      <c r="M684">
        <f t="shared" si="598"/>
        <v>0.24562272098579158</v>
      </c>
      <c r="N684">
        <f t="shared" si="599"/>
        <v>-1.5707963250000001</v>
      </c>
      <c r="O684">
        <f t="shared" si="600"/>
        <v>1.4142135623730951</v>
      </c>
      <c r="P684">
        <f t="shared" si="601"/>
        <v>0.78539816339744828</v>
      </c>
      <c r="Q684">
        <f t="shared" si="602"/>
        <v>1.3249803118268522</v>
      </c>
      <c r="R684">
        <f t="shared" si="603"/>
        <v>0.71555661825154171</v>
      </c>
      <c r="S684">
        <f t="shared" si="604"/>
        <v>0.99969824336615032</v>
      </c>
      <c r="T684">
        <f t="shared" si="605"/>
        <v>-2.456712483172278E-2</v>
      </c>
      <c r="U684">
        <f t="shared" si="606"/>
        <v>0.99969023197439488</v>
      </c>
      <c r="V684">
        <f t="shared" si="607"/>
        <v>-2.4891123704300883E-2</v>
      </c>
      <c r="X684">
        <f t="shared" si="608"/>
        <v>22.248055598837304</v>
      </c>
      <c r="Y684">
        <f t="shared" si="609"/>
        <v>-22.314343103005879</v>
      </c>
      <c r="Z684">
        <f t="shared" si="610"/>
        <v>157.68565689699412</v>
      </c>
      <c r="AC684">
        <v>1</v>
      </c>
      <c r="AD684">
        <f t="shared" si="611"/>
        <v>0.99999999999999978</v>
      </c>
      <c r="AE684">
        <f t="shared" si="612"/>
        <v>-3.8393856982882729E-6</v>
      </c>
      <c r="AF684">
        <f t="shared" si="613"/>
        <v>1.542153255479123E-4</v>
      </c>
      <c r="AG684">
        <f t="shared" si="614"/>
        <v>6319.0847772596662</v>
      </c>
      <c r="AH684">
        <f t="shared" si="615"/>
        <v>-6641.7614467367557</v>
      </c>
      <c r="AJ684">
        <f t="shared" si="616"/>
        <v>26400</v>
      </c>
      <c r="AK684">
        <f t="shared" si="617"/>
        <v>648.70260758278664</v>
      </c>
      <c r="AL684">
        <v>1</v>
      </c>
      <c r="AM684">
        <f t="shared" si="618"/>
        <v>0.86923692209246528</v>
      </c>
      <c r="AN684">
        <f t="shared" si="619"/>
        <v>15359.018918179148</v>
      </c>
      <c r="AO684">
        <f t="shared" si="620"/>
        <v>-12701.923723215205</v>
      </c>
      <c r="AQ684">
        <f t="shared" si="621"/>
        <v>95.493016731189968</v>
      </c>
      <c r="AR684">
        <f t="shared" si="622"/>
        <v>-972.52827777267044</v>
      </c>
      <c r="AT684">
        <f t="shared" si="623"/>
        <v>-5855872.3528111521</v>
      </c>
      <c r="AU684">
        <f t="shared" si="624"/>
        <v>-6779730.4724856475</v>
      </c>
      <c r="AV684">
        <f t="shared" si="625"/>
        <v>3.9999764173920864</v>
      </c>
      <c r="AW684">
        <f t="shared" si="626"/>
        <v>-10856690.476617482</v>
      </c>
      <c r="AX684">
        <f t="shared" si="627"/>
        <v>-16283291.086908713</v>
      </c>
      <c r="AY684">
        <f t="shared" si="628"/>
        <v>4.1243369246204047</v>
      </c>
      <c r="BA684">
        <f t="shared" si="629"/>
        <v>0.45775362533556274</v>
      </c>
      <c r="BB684">
        <f t="shared" si="630"/>
        <v>-6.7873641493949988</v>
      </c>
      <c r="BC684">
        <f t="shared" si="631"/>
        <v>-0.12436050722831826</v>
      </c>
      <c r="BD684">
        <f t="shared" si="632"/>
        <v>-7.1253322104306829</v>
      </c>
      <c r="BF684">
        <f t="shared" si="633"/>
        <v>22.206144677381062</v>
      </c>
      <c r="BG684">
        <f t="shared" si="634"/>
        <v>-22.604300733709916</v>
      </c>
      <c r="BH684">
        <f t="shared" si="635"/>
        <v>157.39569926629008</v>
      </c>
      <c r="BI684">
        <f t="shared" si="636"/>
        <v>157.39569926629008</v>
      </c>
    </row>
    <row r="685" spans="1:69" x14ac:dyDescent="0.2">
      <c r="A685">
        <f>Fz2_u</f>
        <v>5858.1766517136475</v>
      </c>
      <c r="B685">
        <f t="shared" si="591"/>
        <v>5.8581766517136478</v>
      </c>
      <c r="C685">
        <f t="shared" si="592"/>
        <v>1.0000002602356277</v>
      </c>
      <c r="D685">
        <f t="shared" si="593"/>
        <v>7.2143685952548659E-4</v>
      </c>
      <c r="F685">
        <f t="shared" si="594"/>
        <v>2.5542126440959763</v>
      </c>
      <c r="G685">
        <f t="shared" si="595"/>
        <v>-0.43194714692294334</v>
      </c>
      <c r="H685">
        <f t="shared" si="596"/>
        <v>-0.43194714692294334</v>
      </c>
      <c r="J685">
        <f t="shared" si="597"/>
        <v>15</v>
      </c>
      <c r="M685">
        <f t="shared" si="598"/>
        <v>0.21350433798566582</v>
      </c>
      <c r="N685">
        <f t="shared" si="599"/>
        <v>-1.5707963250000001</v>
      </c>
      <c r="O685">
        <f t="shared" si="600"/>
        <v>1.5243028432769534</v>
      </c>
      <c r="P685">
        <f t="shared" si="601"/>
        <v>0.85523970854335496</v>
      </c>
      <c r="Q685">
        <f t="shared" si="602"/>
        <v>1.4142135623730951</v>
      </c>
      <c r="R685">
        <f t="shared" si="603"/>
        <v>0.78539816339744828</v>
      </c>
      <c r="S685">
        <f t="shared" si="604"/>
        <v>0.9996006838130217</v>
      </c>
      <c r="T685">
        <f t="shared" si="605"/>
        <v>-2.8261024941714365E-2</v>
      </c>
      <c r="U685">
        <f t="shared" si="606"/>
        <v>0.99959008388789161</v>
      </c>
      <c r="V685">
        <f t="shared" si="607"/>
        <v>-2.8633690658845194E-2</v>
      </c>
      <c r="X685">
        <f t="shared" si="608"/>
        <v>24.91979734554026</v>
      </c>
      <c r="Y685">
        <f t="shared" si="609"/>
        <v>-23.965614437687009</v>
      </c>
      <c r="Z685">
        <f t="shared" si="610"/>
        <v>156.03438556231299</v>
      </c>
      <c r="AC685">
        <v>1</v>
      </c>
      <c r="AD685">
        <f t="shared" si="611"/>
        <v>1.1504343345111896</v>
      </c>
      <c r="AE685">
        <f t="shared" si="612"/>
        <v>-5.081423739007021E-6</v>
      </c>
      <c r="AF685">
        <f t="shared" si="613"/>
        <v>1.7741460541813897E-4</v>
      </c>
      <c r="AG685">
        <f t="shared" si="614"/>
        <v>6317.8187599879875</v>
      </c>
      <c r="AH685">
        <f t="shared" si="615"/>
        <v>-5817.4664469886084</v>
      </c>
      <c r="AJ685">
        <f t="shared" si="616"/>
        <v>26400</v>
      </c>
      <c r="AK685">
        <f t="shared" si="617"/>
        <v>746.28975265017664</v>
      </c>
      <c r="AL685">
        <v>1</v>
      </c>
      <c r="AM685">
        <f t="shared" si="618"/>
        <v>1</v>
      </c>
      <c r="AN685">
        <f t="shared" si="619"/>
        <v>13573.144876325088</v>
      </c>
      <c r="AO685">
        <f t="shared" si="620"/>
        <v>-12826.855123674912</v>
      </c>
      <c r="AQ685">
        <f t="shared" si="621"/>
        <v>72.320733044928005</v>
      </c>
      <c r="AR685">
        <f t="shared" si="622"/>
        <v>-847.33525951722561</v>
      </c>
      <c r="AT685">
        <f t="shared" si="623"/>
        <v>-4472435.1576245157</v>
      </c>
      <c r="AU685">
        <f t="shared" si="624"/>
        <v>-5774034.0364877069</v>
      </c>
      <c r="AV685">
        <f t="shared" si="625"/>
        <v>4.053343104927853</v>
      </c>
      <c r="AW685">
        <f t="shared" si="626"/>
        <v>-9860177.8204234615</v>
      </c>
      <c r="AX685">
        <f t="shared" si="627"/>
        <v>-12547295.53604058</v>
      </c>
      <c r="AY685">
        <f t="shared" si="628"/>
        <v>4.0463414687237087</v>
      </c>
      <c r="BA685">
        <f t="shared" si="629"/>
        <v>0.457674594698875</v>
      </c>
      <c r="BB685">
        <f t="shared" si="630"/>
        <v>-6.7888638877141325</v>
      </c>
      <c r="BC685">
        <f t="shared" si="631"/>
        <v>7.0016362041442903E-3</v>
      </c>
      <c r="BD685">
        <f t="shared" si="632"/>
        <v>0.40116420464186286</v>
      </c>
      <c r="BF685">
        <f t="shared" si="633"/>
        <v>24.878104562780852</v>
      </c>
      <c r="BG685">
        <f t="shared" si="634"/>
        <v>-24.306249027756426</v>
      </c>
      <c r="BH685">
        <f t="shared" si="635"/>
        <v>155.69375097224358</v>
      </c>
      <c r="BI685">
        <f t="shared" si="636"/>
        <v>155.69375097224358</v>
      </c>
    </row>
    <row r="686" spans="1:69" x14ac:dyDescent="0.2">
      <c r="A686">
        <f>Fp1_u</f>
        <v>207232.99905437027</v>
      </c>
      <c r="B686">
        <f t="shared" si="591"/>
        <v>207.23299905437028</v>
      </c>
      <c r="C686">
        <f t="shared" si="592"/>
        <v>1.000325603458208</v>
      </c>
      <c r="D686">
        <f t="shared" si="593"/>
        <v>2.5515294814611882E-2</v>
      </c>
      <c r="F686">
        <f t="shared" si="594"/>
        <v>1.2404086101461926E-3</v>
      </c>
      <c r="G686">
        <f t="shared" si="595"/>
        <v>7.191981029241133E-3</v>
      </c>
      <c r="H686">
        <f t="shared" si="596"/>
        <v>-3.1344006689707591</v>
      </c>
      <c r="J686">
        <f t="shared" si="597"/>
        <v>15</v>
      </c>
      <c r="M686">
        <f t="shared" si="598"/>
        <v>6.0354583176159948E-3</v>
      </c>
      <c r="N686">
        <f t="shared" si="599"/>
        <v>-1.5707963250000001</v>
      </c>
      <c r="O686">
        <f t="shared" si="600"/>
        <v>40.708898763591968</v>
      </c>
      <c r="P686">
        <f t="shared" si="601"/>
        <v>1.5462292019631738</v>
      </c>
      <c r="Q686">
        <f t="shared" si="602"/>
        <v>35.389131453032299</v>
      </c>
      <c r="R686">
        <f t="shared" si="603"/>
        <v>1.5425353018531822</v>
      </c>
      <c r="S686">
        <f t="shared" si="604"/>
        <v>0.70710678118654746</v>
      </c>
      <c r="T686">
        <f t="shared" si="605"/>
        <v>-0.78539816339744828</v>
      </c>
      <c r="U686">
        <f t="shared" si="606"/>
        <v>0.70245758079573717</v>
      </c>
      <c r="V686">
        <f t="shared" si="607"/>
        <v>-0.79195169822282296</v>
      </c>
      <c r="X686">
        <f t="shared" si="608"/>
        <v>-21.896559300149736</v>
      </c>
      <c r="Y686">
        <f t="shared" si="609"/>
        <v>-181.52833094157234</v>
      </c>
      <c r="Z686">
        <f t="shared" si="610"/>
        <v>-1.5283309415723352</v>
      </c>
      <c r="AC686">
        <v>1</v>
      </c>
      <c r="AD686">
        <f t="shared" si="611"/>
        <v>40.696614583333329</v>
      </c>
      <c r="AE686">
        <f t="shared" si="612"/>
        <v>-6.3588460286458327E-3</v>
      </c>
      <c r="AF686">
        <f t="shared" si="613"/>
        <v>6.2760416666666659E-3</v>
      </c>
      <c r="AG686">
        <f t="shared" si="614"/>
        <v>3120.0639249021528</v>
      </c>
      <c r="AH686">
        <f t="shared" si="615"/>
        <v>-3320.5652869818719</v>
      </c>
      <c r="AJ686">
        <f t="shared" si="616"/>
        <v>26400</v>
      </c>
      <c r="AK686">
        <f t="shared" si="617"/>
        <v>26400</v>
      </c>
      <c r="AL686">
        <v>1</v>
      </c>
      <c r="AM686">
        <f t="shared" si="618"/>
        <v>35.375</v>
      </c>
      <c r="AN686">
        <f t="shared" si="619"/>
        <v>766.77354559405137</v>
      </c>
      <c r="AO686">
        <f t="shared" si="620"/>
        <v>-724.61417538956755</v>
      </c>
      <c r="AQ686">
        <f t="shared" si="621"/>
        <v>5.821295645284192E-2</v>
      </c>
      <c r="AR686">
        <f t="shared" si="622"/>
        <v>-24.127291099087778</v>
      </c>
      <c r="AT686">
        <f t="shared" si="623"/>
        <v>-79934.617147147161</v>
      </c>
      <c r="AU686">
        <f t="shared" si="624"/>
        <v>-75471.990486326482</v>
      </c>
      <c r="AV686">
        <f t="shared" si="625"/>
        <v>3.8982828922137767</v>
      </c>
      <c r="AW686">
        <f t="shared" si="626"/>
        <v>-13560.094893057154</v>
      </c>
      <c r="AX686">
        <f t="shared" si="627"/>
        <v>-25591.882541549166</v>
      </c>
      <c r="AY686">
        <f t="shared" si="628"/>
        <v>4.2251403116652115</v>
      </c>
      <c r="BA686">
        <f t="shared" si="629"/>
        <v>3.7957615090698567</v>
      </c>
      <c r="BB686">
        <f t="shared" si="630"/>
        <v>11.585978350401522</v>
      </c>
      <c r="BC686">
        <f t="shared" si="631"/>
        <v>-0.32685741945143487</v>
      </c>
      <c r="BD686">
        <f t="shared" si="632"/>
        <v>-18.727550658503826</v>
      </c>
      <c r="BF686">
        <f t="shared" si="633"/>
        <v>-23.018073329543437</v>
      </c>
      <c r="BG686">
        <f t="shared" si="634"/>
        <v>-196.8535617911395</v>
      </c>
      <c r="BH686">
        <f t="shared" si="635"/>
        <v>-16.853561791139498</v>
      </c>
      <c r="BI686">
        <f t="shared" si="636"/>
        <v>-16.853561791139498</v>
      </c>
    </row>
    <row r="687" spans="1:69" x14ac:dyDescent="0.2">
      <c r="A687">
        <f>Fp2_u</f>
        <v>204534.42824601551</v>
      </c>
      <c r="B687">
        <f t="shared" si="591"/>
        <v>204.53442824601549</v>
      </c>
      <c r="C687">
        <f>SQRT((A687/Fesr)^2+1)</f>
        <v>1.0003171800444535</v>
      </c>
      <c r="D687">
        <f>ATAN(A687/Fesr)</f>
        <v>2.5183178161399779E-2</v>
      </c>
      <c r="F687">
        <f t="shared" si="594"/>
        <v>1.2733968540111292E-3</v>
      </c>
      <c r="G687">
        <f t="shared" si="595"/>
        <v>7.2871069282437525E-3</v>
      </c>
      <c r="H687">
        <f t="shared" si="596"/>
        <v>-3.1343055430717564</v>
      </c>
      <c r="J687">
        <f t="shared" si="597"/>
        <v>15</v>
      </c>
      <c r="M687">
        <f t="shared" si="598"/>
        <v>6.1150884892728187E-3</v>
      </c>
      <c r="N687">
        <f t="shared" si="599"/>
        <v>-1.5707963250000001</v>
      </c>
      <c r="O687">
        <f t="shared" si="600"/>
        <v>40.179112871131331</v>
      </c>
      <c r="P687">
        <f t="shared" si="601"/>
        <v>1.5459052030905958</v>
      </c>
      <c r="Q687">
        <f t="shared" si="602"/>
        <v>34.928667527641409</v>
      </c>
      <c r="R687">
        <f t="shared" si="603"/>
        <v>1.5421626361360514</v>
      </c>
      <c r="S687">
        <f t="shared" si="604"/>
        <v>0.71172561228510001</v>
      </c>
      <c r="T687">
        <f t="shared" si="605"/>
        <v>-0.77884462857207371</v>
      </c>
      <c r="U687">
        <f t="shared" si="606"/>
        <v>0.70710678118654746</v>
      </c>
      <c r="V687">
        <f t="shared" si="607"/>
        <v>-0.78539816339744828</v>
      </c>
      <c r="X687">
        <f>20*LOG(C687*J687*O687*Q687*F687*M687*S687*U687)</f>
        <v>-21.668490718985431</v>
      </c>
      <c r="Y687">
        <f>(180/Pi)*(D687+H687+N687+P687+R687+T687+V687)</f>
        <v>-180.83084567872976</v>
      </c>
      <c r="Z687">
        <f t="shared" si="610"/>
        <v>-0.83084567872975867</v>
      </c>
      <c r="AC687">
        <v>1</v>
      </c>
      <c r="AD687">
        <f t="shared" si="611"/>
        <v>40.166666666666671</v>
      </c>
      <c r="AE687">
        <f t="shared" si="612"/>
        <v>-6.1943155761744794E-3</v>
      </c>
      <c r="AF687">
        <f t="shared" si="613"/>
        <v>6.1943155761744785E-3</v>
      </c>
      <c r="AG687">
        <f t="shared" si="614"/>
        <v>3161.5007489540471</v>
      </c>
      <c r="AH687">
        <f t="shared" si="615"/>
        <v>-3322.9390850708496</v>
      </c>
      <c r="AJ687">
        <f t="shared" si="616"/>
        <v>26400</v>
      </c>
      <c r="AK687">
        <f t="shared" si="617"/>
        <v>26056.22140457527</v>
      </c>
      <c r="AL687">
        <v>1</v>
      </c>
      <c r="AM687">
        <f t="shared" si="618"/>
        <v>34.914349704047353</v>
      </c>
      <c r="AN687">
        <f t="shared" si="619"/>
        <v>767.31718035746997</v>
      </c>
      <c r="AO687">
        <f t="shared" si="620"/>
        <v>-734.1589643490089</v>
      </c>
      <c r="AQ687">
        <f t="shared" si="621"/>
        <v>5.9759171964618031E-2</v>
      </c>
      <c r="AR687">
        <f t="shared" si="622"/>
        <v>-24.445616140476933</v>
      </c>
      <c r="AT687">
        <f t="shared" si="623"/>
        <v>-81042.364664906592</v>
      </c>
      <c r="AU687">
        <f t="shared" si="624"/>
        <v>-77483.409824973656</v>
      </c>
      <c r="AV687">
        <f t="shared" si="625"/>
        <v>3.9045442610462402</v>
      </c>
      <c r="AW687">
        <f t="shared" si="626"/>
        <v>-13980.853357987688</v>
      </c>
      <c r="AX687">
        <f t="shared" si="627"/>
        <v>-25902.757258292146</v>
      </c>
      <c r="AY687">
        <f t="shared" si="628"/>
        <v>4.2174540715255571</v>
      </c>
      <c r="BA687">
        <f t="shared" si="629"/>
        <v>3.8091738832693118</v>
      </c>
      <c r="BB687">
        <f t="shared" si="630"/>
        <v>11.616615960547467</v>
      </c>
      <c r="BC687">
        <f t="shared" si="631"/>
        <v>-0.31290981047931687</v>
      </c>
      <c r="BD687">
        <f t="shared" si="632"/>
        <v>-17.928411529189514</v>
      </c>
      <c r="BF687">
        <f>20*LOG(BA687*J687*F687*C687)</f>
        <v>-22.759528852628982</v>
      </c>
      <c r="BG687">
        <f>(180/Pi)*(D687+H687+BC687)</f>
        <v>-196.06800123184053</v>
      </c>
      <c r="BH687">
        <f t="shared" si="635"/>
        <v>-16.068001231840526</v>
      </c>
      <c r="BI687">
        <f t="shared" si="636"/>
        <v>-16.068001231840526</v>
      </c>
    </row>
    <row r="688" spans="1:69" x14ac:dyDescent="0.2">
      <c r="A688">
        <f>'Bode Plots Calculations'!BK5*1000</f>
        <v>34500</v>
      </c>
      <c r="B688">
        <f t="shared" si="591"/>
        <v>34.5</v>
      </c>
      <c r="C688">
        <f>SQRT((A688/Fesr)^2+1)</f>
        <v>1.0000090256422014</v>
      </c>
      <c r="D688">
        <f>ATAN(A688/Fesr)</f>
        <v>4.2486643352516087E-3</v>
      </c>
      <c r="F688">
        <f t="shared" ref="F688" si="637">(Ro/(Ro+Rdcr))/SQRT((A688/(Q*Fo))^2+(1-(A688^2/Fo^2))^2)</f>
        <v>4.674622590575201E-2</v>
      </c>
      <c r="G688">
        <f t="shared" ref="G688" si="638">-ATAN(A688*Fo/(Q*(Fo^2-A688^2)))</f>
        <v>4.5137160280840548E-2</v>
      </c>
      <c r="H688">
        <f t="shared" ref="H688" si="639">IF(G688&gt;0,G688-Pi,G688)</f>
        <v>-3.0964554897191596</v>
      </c>
      <c r="J688">
        <f t="shared" si="597"/>
        <v>15</v>
      </c>
      <c r="M688">
        <f t="shared" ref="M688" si="640">1/(2*Pi*_Rfb1*(Cc1ea_u+Cc2ea_u)*A688)</f>
        <v>3.6253510951513239E-2</v>
      </c>
      <c r="N688">
        <f t="shared" si="599"/>
        <v>-1.5707963250000001</v>
      </c>
      <c r="O688">
        <f t="shared" ref="O688" si="641">SQRT(1+(A688/Fz1_u)^2)</f>
        <v>6.848544566866873</v>
      </c>
      <c r="P688">
        <f t="shared" ref="P688" si="642">ATAN(A688/Fz1_u)</f>
        <v>1.424255994234269</v>
      </c>
      <c r="Q688">
        <f t="shared" ref="Q688" si="643">SQRT(1+(A688/Fz2_u)^2)</f>
        <v>5.9735022425306195</v>
      </c>
      <c r="R688">
        <f t="shared" ref="R688" si="644">ATAN(A688/Fz2_u)</f>
        <v>1.4025983988940876</v>
      </c>
      <c r="S688">
        <f t="shared" ref="S688" si="645">1/SQRT(1+(A688/Fp1_u)^2)</f>
        <v>0.98642388229187683</v>
      </c>
      <c r="T688">
        <f t="shared" ref="T688" si="646">-ATAN(A688/Fp1_u)</f>
        <v>-0.16496634748467717</v>
      </c>
      <c r="U688">
        <f t="shared" ref="U688" si="647">1/SQRT(1+(A688/Fp2_u)^2)</f>
        <v>0.98607077976124202</v>
      </c>
      <c r="V688">
        <f t="shared" ref="V688" si="648">-ATAN(A688/Fp2_u)</f>
        <v>-0.16710283115781241</v>
      </c>
      <c r="X688">
        <f>20*LOG(C688*J688*O688*Q688*F688*M688*S688*U688)</f>
        <v>9.9815791735640841E-2</v>
      </c>
      <c r="Y688">
        <f>(180/Pi)*(D688+H688+N688+P688+R688+T688+V688)</f>
        <v>-124.22973693347777</v>
      </c>
      <c r="Z688">
        <f t="shared" ref="Z688" si="649">Y688+180</f>
        <v>55.770263066522233</v>
      </c>
      <c r="AC688">
        <v>1</v>
      </c>
      <c r="AD688">
        <f t="shared" ref="AD688" si="650">Rcea1_u*Cc1ea_u*A688*2*Pi</f>
        <v>6.7751430010267502</v>
      </c>
      <c r="AE688">
        <f t="shared" ref="AE688" si="651">-Rcea1_u*Cc1ea_u*Cc2ea_u*(A688*2*Pi)^2</f>
        <v>-1.7623764268511952E-4</v>
      </c>
      <c r="AF688">
        <f t="shared" ref="AF688" si="652">(Cc2ea_u+Cc1ea_u)*A688*2*Pi</f>
        <v>1.0448308835369999E-3</v>
      </c>
      <c r="AG688">
        <f t="shared" ref="AG688" si="653">AC688*AE688/(AE688^2+AF688^2)+AD688*AF688/(AE688^2+AF688^2)</f>
        <v>6148.0793458747612</v>
      </c>
      <c r="AH688">
        <f t="shared" ref="AH688" si="654">AD688*AE688/(AE688^2+AF688^2)-AC688*AF688/(AE688^2+AF688^2)</f>
        <v>-1994.1246414011241</v>
      </c>
      <c r="AJ688">
        <f t="shared" si="616"/>
        <v>26400</v>
      </c>
      <c r="AK688">
        <f t="shared" ref="AK688" si="655">_Rfb1*Rcea2_u*Cc3ea_u*A688*2*Pi</f>
        <v>4395.0529315123204</v>
      </c>
      <c r="AL688">
        <v>1</v>
      </c>
      <c r="AM688">
        <f t="shared" ref="AM688" si="656">(_Rfb1+Rcea2_u)*Cc3ea_u*A688*2*Pi</f>
        <v>5.8892044489488002</v>
      </c>
      <c r="AN688">
        <f t="shared" ref="AN688" si="657">AJ688*AL688/(AL688^2+AM688^2)+AK688*AM688/(AL688^2+AM688^2)</f>
        <v>1465.2288847300315</v>
      </c>
      <c r="AO688">
        <f t="shared" ref="AO688" si="658">AK688*AL688/(AL688^2+AM688^2)-AJ688*AM688/(AL688^2+AM688^2)</f>
        <v>-4233.9795351680696</v>
      </c>
      <c r="AQ688">
        <f t="shared" ref="AQ688" si="659">Eadcg/(1+(Eadcg*A688/GBP)^2)</f>
        <v>2.0999580008399832</v>
      </c>
      <c r="AR688">
        <f t="shared" ref="AR688" si="660">-(A688*Eadcg*Eadcg/GBP)/(1+(Eadcg*A688/GBP)^2)</f>
        <v>-144.89710205795885</v>
      </c>
      <c r="AT688">
        <f t="shared" ref="AT688" si="661">-AR688*AH688+AG688*AQ688</f>
        <v>-276032.17326922051</v>
      </c>
      <c r="AU688">
        <f t="shared" ref="AU688" si="662">AQ688*AH688+AG688*AR688</f>
        <v>-895026.45843502658</v>
      </c>
      <c r="AV688">
        <f t="shared" ref="AV688" si="663">IF(AT688&lt;0,ATAN(AU688/AT688)+Pi,ATAN(AU688/AT688))</f>
        <v>4.4132375521419567</v>
      </c>
      <c r="AW688">
        <f t="shared" ref="AW688" si="664">AG688-AH688*AO688/_Rfb2+AG688*AN688/_Rfb2+AN688-AO688*AR688+AQ688*AN688</f>
        <v>-602447.84964282578</v>
      </c>
      <c r="AX688">
        <f t="shared" ref="AX688" si="665">AH688+AH688*AN688/_Rfb2+AG688*AO688/_Rfb2+AO688+AO688*AQ688+AN688*AR688</f>
        <v>-245522.13459793228</v>
      </c>
      <c r="AY688">
        <f t="shared" ref="AY688" si="666">IF(AW688&lt;0,ATAN(AX688/AW688)+Pi,ATAN(AX688/AW688))</f>
        <v>3.5285828458722373</v>
      </c>
      <c r="BA688">
        <f t="shared" ref="BA688" si="667">SQRT(AT688^2+AU688^2)/SQRT(AW688^2+AX688^2)</f>
        <v>1.4397273781546729</v>
      </c>
      <c r="BB688">
        <f t="shared" ref="BB688" si="668">20*LOG(BA688)</f>
        <v>3.1656052672924972</v>
      </c>
      <c r="BC688">
        <f t="shared" ref="BC688" si="669">AV688-AY688</f>
        <v>0.88465470626971943</v>
      </c>
      <c r="BD688">
        <f t="shared" ref="BD688" si="670">BC688*180/Pi</f>
        <v>50.686981053558775</v>
      </c>
      <c r="BF688">
        <v>0</v>
      </c>
      <c r="BG688">
        <f>(180/Pi)*(D688+H688+BC688)</f>
        <v>-126.48341962493255</v>
      </c>
      <c r="BH688">
        <f t="shared" ref="BH688:BH690" si="671">IF(BG688&gt;180,BG688-180,BG688+180)</f>
        <v>53.516580375067448</v>
      </c>
      <c r="BI688">
        <f t="shared" ref="BI688:BI690" si="672">IF(BH688&gt;180,BH688-360,BH688)</f>
        <v>53.516580375067448</v>
      </c>
    </row>
    <row r="689" spans="1:61" x14ac:dyDescent="0.2">
      <c r="A689">
        <v>1000000</v>
      </c>
      <c r="B689">
        <f t="shared" si="591"/>
        <v>1000</v>
      </c>
      <c r="BG689">
        <f>BG688</f>
        <v>-126.48341962493255</v>
      </c>
      <c r="BH689">
        <f t="shared" si="671"/>
        <v>53.516580375067448</v>
      </c>
      <c r="BI689">
        <f t="shared" si="672"/>
        <v>53.516580375067448</v>
      </c>
    </row>
    <row r="690" spans="1:61" x14ac:dyDescent="0.2">
      <c r="A690">
        <f>'Bode Plots Calculations'!BK5*1000</f>
        <v>34500</v>
      </c>
      <c r="B690">
        <f t="shared" si="591"/>
        <v>34.5</v>
      </c>
      <c r="BG690">
        <f>BG688</f>
        <v>-126.48341962493255</v>
      </c>
      <c r="BH690">
        <f t="shared" si="671"/>
        <v>53.516580375067448</v>
      </c>
      <c r="BI690">
        <f t="shared" si="672"/>
        <v>53.516580375067448</v>
      </c>
    </row>
    <row r="691" spans="1:61" x14ac:dyDescent="0.2">
      <c r="A691">
        <f>'Bode Plots Calculations'!BK5*1000</f>
        <v>34500</v>
      </c>
      <c r="B691">
        <f t="shared" si="591"/>
        <v>34.5</v>
      </c>
      <c r="BG691">
        <v>-90</v>
      </c>
    </row>
    <row r="692" spans="1:61" x14ac:dyDescent="0.2">
      <c r="A692">
        <f>'Bode Plots Calculations'!BK5*1000</f>
        <v>34500</v>
      </c>
      <c r="B692">
        <f t="shared" si="591"/>
        <v>34.5</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85" zoomScaleNormal="85" workbookViewId="0">
      <selection activeCell="B2" sqref="B2"/>
    </sheetView>
  </sheetViews>
  <sheetFormatPr defaultColWidth="9.140625" defaultRowHeight="12.75" x14ac:dyDescent="0.2"/>
  <cols>
    <col min="1" max="1" width="10.5703125" style="384" customWidth="1"/>
    <col min="2" max="2" width="129.7109375" style="384" customWidth="1"/>
    <col min="3" max="16384" width="9.140625" style="384"/>
  </cols>
  <sheetData>
    <row r="2" spans="1:2" x14ac:dyDescent="0.2">
      <c r="A2" s="384" t="str">
        <f>IF(RDSON_sense=1, "SCH_RDSON", "SCH_SHUNT")</f>
        <v>SCH_RDSON</v>
      </c>
    </row>
    <row r="5" spans="1:2" ht="403.5" customHeight="1" x14ac:dyDescent="0.2">
      <c r="B5" s="346"/>
    </row>
    <row r="6" spans="1:2" ht="12" customHeight="1" x14ac:dyDescent="0.2">
      <c r="B6" s="346"/>
    </row>
    <row r="7" spans="1:2" ht="34.5" customHeight="1" x14ac:dyDescent="0.2"/>
    <row r="8" spans="1:2" ht="404.1" customHeight="1" x14ac:dyDescent="0.2">
      <c r="B8" s="346"/>
    </row>
    <row r="9" spans="1:2" x14ac:dyDescent="0.2">
      <c r="B9" s="346"/>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V1" workbookViewId="0">
      <selection activeCell="AJ9" sqref="AJ9"/>
    </sheetView>
  </sheetViews>
  <sheetFormatPr defaultRowHeight="12.75" x14ac:dyDescent="0.2"/>
  <cols>
    <col min="1" max="1" width="19.85546875" customWidth="1"/>
    <col min="2" max="2" width="13.140625" bestFit="1" customWidth="1"/>
    <col min="4" max="4" width="61.5703125" customWidth="1"/>
    <col min="8" max="8" width="11" bestFit="1" customWidth="1"/>
    <col min="10" max="10" width="12.42578125" bestFit="1" customWidth="1"/>
    <col min="11" max="11" width="12.42578125" customWidth="1"/>
    <col min="12" max="12" width="10" customWidth="1"/>
    <col min="13" max="13" width="11" customWidth="1"/>
    <col min="14" max="14" width="11.42578125" customWidth="1"/>
    <col min="15" max="15" width="10.28515625" bestFit="1" customWidth="1"/>
    <col min="16" max="16" width="8" customWidth="1"/>
    <col min="17" max="17" width="11.85546875" style="40" customWidth="1"/>
    <col min="18" max="18" width="10.28515625" style="9" customWidth="1"/>
    <col min="19" max="19" width="9.42578125" bestFit="1" customWidth="1"/>
    <col min="20" max="20" width="11.5703125" customWidth="1"/>
    <col min="21" max="21" width="12.5703125" bestFit="1" customWidth="1"/>
    <col min="22" max="22" width="12.28515625" bestFit="1" customWidth="1"/>
    <col min="23" max="23" width="10.5703125" bestFit="1" customWidth="1"/>
    <col min="24" max="25" width="10.28515625" customWidth="1"/>
    <col min="26" max="27" width="12.42578125" customWidth="1"/>
    <col min="28" max="28" width="11.140625" bestFit="1" customWidth="1"/>
    <col min="29" max="29" width="11.85546875" customWidth="1"/>
    <col min="30" max="30" width="12.42578125" customWidth="1"/>
    <col min="31" max="31" width="9.5703125" bestFit="1" customWidth="1"/>
    <col min="32" max="32" width="11.5703125" customWidth="1"/>
    <col min="33" max="34" width="12.7109375" customWidth="1"/>
    <col min="35" max="35" width="14.28515625" customWidth="1"/>
    <col min="36" max="36" width="10.85546875" bestFit="1" customWidth="1"/>
    <col min="37" max="37" width="10" customWidth="1"/>
    <col min="38" max="38" width="11.28515625" customWidth="1"/>
    <col min="39" max="39" width="10.7109375" customWidth="1"/>
    <col min="41" max="41" width="10" style="4" bestFit="1" customWidth="1"/>
    <col min="42" max="42" width="15" customWidth="1"/>
    <col min="43" max="43" width="14.85546875" style="10" customWidth="1"/>
    <col min="55" max="55" width="28.42578125" customWidth="1"/>
    <col min="58" max="58" width="12.42578125" bestFit="1" customWidth="1"/>
  </cols>
  <sheetData>
    <row r="1" spans="1:69" ht="12.75" customHeight="1" x14ac:dyDescent="0.2">
      <c r="A1" s="566" t="s">
        <v>195</v>
      </c>
      <c r="B1" s="566"/>
      <c r="C1" s="566"/>
      <c r="D1" s="566"/>
    </row>
    <row r="2" spans="1:69" ht="12.75" customHeight="1" x14ac:dyDescent="0.2">
      <c r="A2" s="566"/>
      <c r="B2" s="566"/>
      <c r="C2" s="566"/>
      <c r="D2" s="566"/>
    </row>
    <row r="3" spans="1:69" ht="12.75" customHeight="1" x14ac:dyDescent="0.2">
      <c r="A3" s="566"/>
      <c r="B3" s="566"/>
      <c r="C3" s="566"/>
      <c r="D3" s="566"/>
      <c r="AG3">
        <f>VsdBot</f>
        <v>0.9</v>
      </c>
      <c r="AK3">
        <f>Iq</f>
        <v>2E-3</v>
      </c>
    </row>
    <row r="4" spans="1:69" ht="12.75" customHeight="1" x14ac:dyDescent="0.2">
      <c r="A4" s="566"/>
      <c r="B4" s="566"/>
      <c r="C4" s="566"/>
      <c r="D4" s="566"/>
    </row>
    <row r="5" spans="1:69" x14ac:dyDescent="0.2">
      <c r="A5" s="11"/>
      <c r="B5" s="12"/>
      <c r="C5" s="6"/>
      <c r="D5" s="6"/>
    </row>
    <row r="6" spans="1:69" ht="13.5" customHeight="1" thickBot="1" x14ac:dyDescent="0.25">
      <c r="A6" s="567" t="s">
        <v>198</v>
      </c>
      <c r="B6" s="567"/>
      <c r="C6" s="567"/>
      <c r="D6" s="567"/>
      <c r="BH6">
        <v>80</v>
      </c>
      <c r="BI6">
        <v>100</v>
      </c>
      <c r="BJ6">
        <v>120</v>
      </c>
      <c r="BK6">
        <v>140</v>
      </c>
      <c r="BL6">
        <v>160</v>
      </c>
      <c r="BM6">
        <v>180</v>
      </c>
      <c r="BN6">
        <v>20</v>
      </c>
      <c r="BO6">
        <v>30</v>
      </c>
      <c r="BP6">
        <v>40</v>
      </c>
      <c r="BQ6">
        <v>50</v>
      </c>
    </row>
    <row r="7" spans="1:69" ht="13.5" thickBot="1" x14ac:dyDescent="0.25">
      <c r="A7" s="567"/>
      <c r="B7" s="567"/>
      <c r="C7" s="567"/>
      <c r="D7" s="567"/>
      <c r="G7" s="13" t="s">
        <v>118</v>
      </c>
      <c r="H7" s="14"/>
      <c r="I7" s="15"/>
      <c r="J7" s="15"/>
      <c r="K7" s="496"/>
      <c r="L7" s="496"/>
      <c r="M7" s="496"/>
      <c r="N7" s="13" t="s">
        <v>143</v>
      </c>
      <c r="O7" s="14"/>
      <c r="P7" s="14"/>
      <c r="Q7" s="16"/>
      <c r="R7" s="67" t="s">
        <v>36</v>
      </c>
      <c r="S7" s="17"/>
      <c r="T7" s="15"/>
      <c r="U7" s="13" t="s">
        <v>127</v>
      </c>
      <c r="V7" s="18"/>
      <c r="W7" s="15"/>
      <c r="X7" s="13" t="s">
        <v>256</v>
      </c>
      <c r="Y7" s="14"/>
      <c r="Z7" s="14"/>
      <c r="AA7" s="478"/>
      <c r="AB7" s="14"/>
      <c r="AC7" s="15"/>
      <c r="AD7" s="13" t="s">
        <v>255</v>
      </c>
      <c r="AE7" s="18"/>
      <c r="AF7" s="68"/>
      <c r="AG7" s="15"/>
      <c r="AH7" s="414" t="s">
        <v>611</v>
      </c>
      <c r="AI7" s="69" t="s">
        <v>371</v>
      </c>
      <c r="AJ7" s="14" t="s">
        <v>370</v>
      </c>
      <c r="AK7" s="70" t="s">
        <v>237</v>
      </c>
      <c r="AL7" s="71"/>
      <c r="AM7" s="72"/>
      <c r="AN7" s="73"/>
      <c r="AO7" s="13" t="s">
        <v>254</v>
      </c>
      <c r="AP7" s="14"/>
      <c r="AQ7" s="14"/>
      <c r="AR7" s="14"/>
      <c r="AS7" s="14"/>
    </row>
    <row r="8" spans="1:69" ht="64.5" thickBot="1" x14ac:dyDescent="0.45">
      <c r="A8" s="19" t="s">
        <v>189</v>
      </c>
      <c r="B8" s="19"/>
      <c r="C8" s="19"/>
      <c r="D8" s="6"/>
      <c r="G8" s="20" t="s">
        <v>120</v>
      </c>
      <c r="H8" s="21" t="s">
        <v>6</v>
      </c>
      <c r="I8" s="21" t="s">
        <v>247</v>
      </c>
      <c r="J8" s="22" t="s">
        <v>248</v>
      </c>
      <c r="K8" s="497" t="s">
        <v>732</v>
      </c>
      <c r="L8" s="497" t="s">
        <v>733</v>
      </c>
      <c r="M8" s="497" t="s">
        <v>731</v>
      </c>
      <c r="N8" s="20" t="s">
        <v>252</v>
      </c>
      <c r="O8" s="21" t="s">
        <v>165</v>
      </c>
      <c r="P8" s="21" t="s">
        <v>121</v>
      </c>
      <c r="Q8" s="74" t="s">
        <v>372</v>
      </c>
      <c r="R8" s="75" t="s">
        <v>157</v>
      </c>
      <c r="S8" s="23" t="s">
        <v>164</v>
      </c>
      <c r="T8" s="74" t="s">
        <v>373</v>
      </c>
      <c r="U8" s="20" t="s">
        <v>157</v>
      </c>
      <c r="V8" s="21" t="s">
        <v>163</v>
      </c>
      <c r="W8" s="74" t="s">
        <v>374</v>
      </c>
      <c r="X8" s="20" t="s">
        <v>157</v>
      </c>
      <c r="Y8" s="21" t="s">
        <v>162</v>
      </c>
      <c r="Z8" s="21" t="s">
        <v>734</v>
      </c>
      <c r="AA8" s="498" t="s">
        <v>723</v>
      </c>
      <c r="AB8" s="76" t="s">
        <v>376</v>
      </c>
      <c r="AC8" s="74" t="s">
        <v>375</v>
      </c>
      <c r="AD8" s="20" t="s">
        <v>157</v>
      </c>
      <c r="AE8" s="21" t="s">
        <v>162</v>
      </c>
      <c r="AF8" s="21" t="s">
        <v>172</v>
      </c>
      <c r="AG8" s="77" t="s">
        <v>735</v>
      </c>
      <c r="AH8" s="77" t="s">
        <v>612</v>
      </c>
      <c r="AI8" s="74" t="s">
        <v>172</v>
      </c>
      <c r="AJ8" s="78" t="s">
        <v>171</v>
      </c>
      <c r="AK8" s="79" t="s">
        <v>197</v>
      </c>
      <c r="AL8" s="80" t="s">
        <v>270</v>
      </c>
      <c r="AM8" s="81" t="s">
        <v>378</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
      <c r="A9" s="24" t="s">
        <v>125</v>
      </c>
      <c r="B9" s="25" t="s">
        <v>201</v>
      </c>
      <c r="C9" s="26" t="s">
        <v>148</v>
      </c>
      <c r="D9" s="27" t="s">
        <v>188</v>
      </c>
      <c r="G9">
        <v>0</v>
      </c>
      <c r="H9">
        <f t="shared" ref="H9:H72" si="0">Iout*(G9/200)</f>
        <v>0</v>
      </c>
      <c r="I9" s="406">
        <f t="shared" ref="I9:I73" si="1">(Vout+Rdcr*H9+RdsonBot*H9)/(Vin-RdsonTop*H9+RdsonBot*H9)</f>
        <v>0.46666666666666667</v>
      </c>
      <c r="J9" s="407">
        <f t="shared" ref="J9:J72" si="2">(Vin-Vout)*I9/(Fsw*Lout2)</f>
        <v>3.3073470351996219</v>
      </c>
      <c r="K9" s="407">
        <f>H9+J9/2</f>
        <v>1.653673517599811</v>
      </c>
      <c r="L9" s="407">
        <f>H9-J9/2</f>
        <v>-1.653673517599811</v>
      </c>
      <c r="M9" s="63">
        <f t="shared" ref="M9:M72" si="3">IF(MIN(Vin, -L9/(CossTop+CossBot)*0.00000002)&lt;0, 0, MIN(Vin, -L9/(CossTop+CossBot)*0.00000002))</f>
        <v>30</v>
      </c>
      <c r="N9" s="406">
        <f t="shared" ref="N9:N40" si="4">SQRT(H9^2+(J9^2)/12)</f>
        <v>0.95474885053800618</v>
      </c>
      <c r="O9" s="406">
        <f t="shared" ref="O9:O73" si="5">(N9^2*Rdcr*(1+Ltc*Ta-Ltc*25))/(1-N9^2*Rdcr*Ltc*ThetaCa)</f>
        <v>8.0221140363826002E-4</v>
      </c>
      <c r="P9">
        <f t="shared" ref="P9:P72" si="6">Core_Loss</f>
        <v>0.2</v>
      </c>
      <c r="Q9" s="406">
        <f>O9+P9</f>
        <v>0.20080221140363827</v>
      </c>
      <c r="R9" s="9">
        <f>J9/(2*SQRT(3))</f>
        <v>0.95474885053800629</v>
      </c>
      <c r="S9" s="9">
        <f t="shared" ref="S9:S73" si="7">RCoutEsr*R9^2</f>
        <v>2.5523270292902042E-4</v>
      </c>
      <c r="T9" s="9">
        <f>S9</f>
        <v>2.5523270292902042E-4</v>
      </c>
      <c r="U9" s="406">
        <f t="shared" ref="U9:U40" si="8">SQRT(I9)*SQRT(H9^2+(J9^2)/12)</f>
        <v>0.65221763102129782</v>
      </c>
      <c r="V9" s="408">
        <f t="shared" ref="V9:V73" si="9">RCinEsr*U9^2</f>
        <v>4.2538783821503378E-4</v>
      </c>
      <c r="W9" s="406">
        <f>V9</f>
        <v>4.2538783821503378E-4</v>
      </c>
      <c r="X9" s="406">
        <f t="shared" ref="X9:X40" si="10">SQRT(I9)*SQRT(H9^2+(J9^2)/12)</f>
        <v>0.65221763102129782</v>
      </c>
      <c r="Y9" s="406">
        <f t="shared" ref="Y9:Y73" si="11">RdsonTop*X9^2</f>
        <v>2.2120167587181754E-2</v>
      </c>
      <c r="Z9" s="406">
        <f t="shared" ref="Z9:Z72" si="12">IF(L9&lt;0, (Vin*K9*Tf/2)*Fsw, (Vin*L9*Tr/2+Vin*K9*Tf/2)*Fsw)</f>
        <v>1.4190045248868778E-2</v>
      </c>
      <c r="AA9" s="406">
        <f t="shared" ref="AA9:AA72" si="13">(0.5*CossTop*(Vin-M9)^2-0.5*CossBot*(Vin-M9)^2+(QossBot*(Vin-M9)/Vin)*Vin)*Fsw</f>
        <v>0</v>
      </c>
      <c r="AB9" s="406">
        <f t="shared" ref="AB9:AB72" si="14">IF(L9&gt;0,0,-L9*VsdTop*Deadtime*Fsw)</f>
        <v>1.3176470588235293E-2</v>
      </c>
      <c r="AC9" s="406">
        <f t="shared" ref="AC9:AC40" si="15">(AB9+AA9+Z9+Y9*(1+RdsonTopTc*Ta-RdsonTopTc*25))/(1-Y9*RdsonTopTc*ThetaJaTop)</f>
        <v>4.9728684930085428E-2</v>
      </c>
      <c r="AD9" s="406">
        <f t="shared" ref="AD9:AD40" si="16">SQRT(1-I9)*SQRT(H9^2+(J9^2)/12)</f>
        <v>0.69724997625572571</v>
      </c>
      <c r="AE9" s="406">
        <f t="shared" ref="AE9:AE73" si="17">RdsonBot*AD9^2</f>
        <v>4.8615752938861011E-3</v>
      </c>
      <c r="AF9" s="406">
        <f t="shared" ref="AF9:AF72" si="18">IF(L9&lt;0, Deadtime*Fsw*IF(VfdSky&gt;0,0,VsdBot)*K9, Deadtime*Fsw*IF(VfdSky&gt;0,0,VsdBot)*(K9+L9))</f>
        <v>1.4823529411764702E-2</v>
      </c>
      <c r="AG9" s="406">
        <f t="shared" ref="AG9:AG40" si="19">(AF9+AE9*(1+RdsonBotTc*Ta-RdsonBotTc*25))/(1-AE9*RdsonBotTc*ThetaJaBot)</f>
        <v>1.970042872446133E-2</v>
      </c>
      <c r="AH9" s="406">
        <f t="shared" ref="AH9:AH40" si="20">IF(RDSON_sense=1, 0, AD9^2*Rshunt)</f>
        <v>0</v>
      </c>
      <c r="AI9">
        <f t="shared" ref="AI9:AI72" si="21">2*Deadtime*Fsw*IF(VfdSky&gt;0,VfdSky,0)*H9</f>
        <v>0</v>
      </c>
      <c r="AJ9" s="407">
        <f t="shared" ref="AJ9:AJ72" si="22">IF(QrrSky&gt;0,QrrSky,QrrBot)*Fsw*(Vin-H9*RdsonTop)</f>
        <v>0.498</v>
      </c>
      <c r="AK9">
        <f t="shared" ref="AK9:AK73" si="23">Iq*Vin</f>
        <v>0.06</v>
      </c>
      <c r="AL9" s="407">
        <f t="shared" ref="AL9:AL72" si="24">IF(Ext_VCC=1, Vdd*(QgTop+QgBot)*Fsw, Vin*(QgTop+QgBot)*Fsw)</f>
        <v>4.0337999999999999E-2</v>
      </c>
      <c r="AM9" s="407">
        <f t="shared" ref="AM9:AM73" si="25">(Vin-Vdd)*Fsw*(QgTop+QgBot)+(RdsonDRT+RdsonDRT2)*Fsw*QgTop*Vdd/(RdsonDRT+2*RGateTop+RdsonDRT2)+(RdsonDRB+RdsonDRB2)*Fsw*QgBot*Vdd/(RdsonDRB+2*RGateBot+RdsonDRB2)</f>
        <v>0.13814789189189189</v>
      </c>
      <c r="AN9" s="407">
        <f>SUM(AK9:AL9)</f>
        <v>0.100338</v>
      </c>
      <c r="AO9" s="407">
        <f t="shared" ref="AO9:AO40" si="26">SUM(Q9,T9,W9,AC9,AJ9,AI9,AG9,AN9, AH9)</f>
        <v>0.86924994559932911</v>
      </c>
      <c r="AP9">
        <f t="shared" ref="AP9:AP72" si="27">Vout*H9</f>
        <v>0</v>
      </c>
      <c r="AQ9" s="10">
        <f>AP9/(AP9+AO9)</f>
        <v>0</v>
      </c>
      <c r="AR9" s="63">
        <f t="shared" ref="AR9:AR40" si="28">ThetaJaTop*AC9</f>
        <v>2.7350776711546985</v>
      </c>
      <c r="AS9" s="63">
        <f>AG9*ThetaJaBot</f>
        <v>0.78801714897845321</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
      <c r="A10" s="356"/>
      <c r="B10" s="34"/>
      <c r="C10" s="26"/>
      <c r="D10" s="27"/>
      <c r="G10">
        <v>1</v>
      </c>
      <c r="H10">
        <f t="shared" si="0"/>
        <v>4.4999999999999998E-2</v>
      </c>
      <c r="I10" s="406">
        <f t="shared" ref="I10" si="30">(Vout+Rdcr*H10+RdsonBot*H10)/(Vin-RdsonTop*H10+RdsonBot*H10)</f>
        <v>0.46671238954720812</v>
      </c>
      <c r="J10" s="407">
        <f t="shared" si="2"/>
        <v>3.3076710811283352</v>
      </c>
      <c r="K10" s="407">
        <f t="shared" ref="K10:K73" si="31">H10+J10/2</f>
        <v>1.6988355405641675</v>
      </c>
      <c r="L10" s="407">
        <f t="shared" ref="L10:L73" si="32">H10-J10/2</f>
        <v>-1.6088355405641677</v>
      </c>
      <c r="M10" s="63">
        <f t="shared" si="3"/>
        <v>30</v>
      </c>
      <c r="N10" s="406">
        <f t="shared" si="4"/>
        <v>0.95590219081821215</v>
      </c>
      <c r="O10" s="406">
        <f t="shared" ref="O10" si="33">(N10^2*Rdcr*(1+Ltc*Ta-Ltc*25))/(1-N10^2*Rdcr*Ltc*ThetaCa)</f>
        <v>8.0415084796077636E-4</v>
      </c>
      <c r="P10">
        <f t="shared" si="6"/>
        <v>0.2</v>
      </c>
      <c r="Q10" s="406">
        <f t="shared" ref="Q10:Q73" si="34">O10+P10</f>
        <v>0.2008041508479608</v>
      </c>
      <c r="R10" s="9">
        <f>J10/(2*SQRT(3))</f>
        <v>0.95484239454009245</v>
      </c>
      <c r="S10" s="9">
        <f t="shared" ref="S10" si="35">RCoutEsr*R10^2</f>
        <v>2.5528271955509613E-4</v>
      </c>
      <c r="T10" s="9">
        <f>S10</f>
        <v>2.5528271955509613E-4</v>
      </c>
      <c r="U10" s="406">
        <f t="shared" si="8"/>
        <v>0.65303750159909868</v>
      </c>
      <c r="V10" s="408">
        <f t="shared" ref="V10" si="36">RCinEsr*U10^2</f>
        <v>4.2645797849479283E-4</v>
      </c>
      <c r="W10" s="406">
        <f>V10</f>
        <v>4.2645797849479283E-4</v>
      </c>
      <c r="X10" s="406">
        <f t="shared" si="10"/>
        <v>0.65303750159909868</v>
      </c>
      <c r="Y10" s="406">
        <f t="shared" ref="Y10" si="37">RdsonTop*X10^2</f>
        <v>2.2175814881729226E-2</v>
      </c>
      <c r="Z10" s="406">
        <f t="shared" si="12"/>
        <v>1.4577577093924154E-2</v>
      </c>
      <c r="AA10" s="406">
        <f t="shared" si="13"/>
        <v>0</v>
      </c>
      <c r="AB10" s="406">
        <f t="shared" si="14"/>
        <v>1.2819201587215287E-2</v>
      </c>
      <c r="AC10" s="406">
        <f t="shared" si="15"/>
        <v>4.9815628034882771E-2</v>
      </c>
      <c r="AD10" s="406">
        <f t="shared" si="16"/>
        <v>0.69806233240038451</v>
      </c>
      <c r="AE10" s="406">
        <f t="shared" ref="AE10" si="38">RdsonBot*AD10^2</f>
        <v>4.8729101991626493E-3</v>
      </c>
      <c r="AF10" s="406">
        <f t="shared" si="18"/>
        <v>1.5228361785617194E-2</v>
      </c>
      <c r="AG10" s="406">
        <f t="shared" si="19"/>
        <v>2.0116956484368453E-2</v>
      </c>
      <c r="AH10" s="406">
        <f t="shared" si="20"/>
        <v>0</v>
      </c>
      <c r="AI10">
        <f t="shared" si="21"/>
        <v>0</v>
      </c>
      <c r="AJ10" s="407">
        <f t="shared" si="22"/>
        <v>0.49796115600000002</v>
      </c>
      <c r="AK10">
        <f t="shared" si="23"/>
        <v>0.06</v>
      </c>
      <c r="AL10" s="407">
        <f t="shared" si="24"/>
        <v>4.0337999999999999E-2</v>
      </c>
      <c r="AM10" s="407">
        <f t="shared" si="25"/>
        <v>0.13814789189189189</v>
      </c>
      <c r="AN10" s="407">
        <f>SUM(AK10:AL10)</f>
        <v>0.100338</v>
      </c>
      <c r="AO10" s="407">
        <f t="shared" si="26"/>
        <v>0.86971763206526198</v>
      </c>
      <c r="AP10">
        <f t="shared" si="27"/>
        <v>0.63</v>
      </c>
      <c r="AQ10" s="10">
        <f>AP10/(AP10+AO10)</f>
        <v>0.42007907790777033</v>
      </c>
      <c r="AR10" s="63">
        <f t="shared" si="28"/>
        <v>2.7398595419185523</v>
      </c>
      <c r="AS10" s="63">
        <f>AG10*ThetaJaBot</f>
        <v>0.80467825937473814</v>
      </c>
      <c r="AU10">
        <f>AQ10*100</f>
        <v>42.007907790777033</v>
      </c>
      <c r="BD10" s="28"/>
      <c r="BE10" s="28"/>
      <c r="BF10" s="28"/>
      <c r="BG10" s="29"/>
    </row>
    <row r="11" spans="1:69" x14ac:dyDescent="0.2">
      <c r="A11" s="30" t="s">
        <v>4</v>
      </c>
      <c r="B11" s="5">
        <f>Vin</f>
        <v>30</v>
      </c>
      <c r="C11" s="416" t="s">
        <v>0</v>
      </c>
      <c r="D11" s="31" t="s">
        <v>4</v>
      </c>
      <c r="G11">
        <v>2</v>
      </c>
      <c r="H11">
        <f t="shared" si="0"/>
        <v>0.09</v>
      </c>
      <c r="I11" s="406">
        <f t="shared" si="1"/>
        <v>0.46675811818955854</v>
      </c>
      <c r="J11" s="407">
        <f t="shared" si="2"/>
        <v>3.3079951678919812</v>
      </c>
      <c r="K11" s="407">
        <f t="shared" si="31"/>
        <v>1.7439975839459907</v>
      </c>
      <c r="L11" s="407">
        <f t="shared" si="32"/>
        <v>-1.5639975839459905</v>
      </c>
      <c r="M11" s="63">
        <f t="shared" si="3"/>
        <v>30</v>
      </c>
      <c r="N11" s="406">
        <f t="shared" si="4"/>
        <v>0.95916769609545238</v>
      </c>
      <c r="O11" s="406">
        <f t="shared" si="5"/>
        <v>8.0965478879859755E-4</v>
      </c>
      <c r="P11">
        <f t="shared" si="6"/>
        <v>0.2</v>
      </c>
      <c r="Q11" s="406">
        <f t="shared" si="34"/>
        <v>0.20080965478879861</v>
      </c>
      <c r="R11" s="9">
        <f t="shared" ref="R11:R74" si="39">J11/(2*SQRT(3))</f>
        <v>0.95493595033020839</v>
      </c>
      <c r="S11" s="9">
        <f t="shared" si="7"/>
        <v>2.5533274738525632E-4</v>
      </c>
      <c r="T11" s="9">
        <f t="shared" ref="T11:T74" si="40">S11</f>
        <v>2.5533274738525632E-4</v>
      </c>
      <c r="U11" s="406">
        <f t="shared" si="8"/>
        <v>0.65530047659115354</v>
      </c>
      <c r="V11" s="408">
        <f t="shared" si="9"/>
        <v>4.2941871462059294E-4</v>
      </c>
      <c r="W11" s="406">
        <f t="shared" ref="W11:W74" si="41">V11</f>
        <v>4.2941871462059294E-4</v>
      </c>
      <c r="X11" s="406">
        <f t="shared" si="10"/>
        <v>0.65530047659115354</v>
      </c>
      <c r="Y11" s="406">
        <f t="shared" si="11"/>
        <v>2.2329773160270832E-2</v>
      </c>
      <c r="Z11" s="406">
        <f t="shared" si="12"/>
        <v>1.4965109114180242E-2</v>
      </c>
      <c r="AA11" s="406">
        <f t="shared" si="13"/>
        <v>0</v>
      </c>
      <c r="AB11" s="406">
        <f t="shared" si="14"/>
        <v>1.2461932748881655E-2</v>
      </c>
      <c r="AC11" s="406">
        <f t="shared" si="15"/>
        <v>5.0002454586374243E-2</v>
      </c>
      <c r="AD11" s="406">
        <f t="shared" si="16"/>
        <v>0.70041698623924376</v>
      </c>
      <c r="AE11" s="406">
        <f t="shared" si="17"/>
        <v>4.9058395461246494E-3</v>
      </c>
      <c r="AF11" s="406">
        <f t="shared" si="18"/>
        <v>1.5633194342491857E-2</v>
      </c>
      <c r="AG11" s="406">
        <f t="shared" si="19"/>
        <v>2.0555168345856242E-2</v>
      </c>
      <c r="AH11" s="406">
        <f t="shared" si="20"/>
        <v>0</v>
      </c>
      <c r="AI11">
        <f t="shared" si="21"/>
        <v>0</v>
      </c>
      <c r="AJ11" s="407">
        <f t="shared" si="22"/>
        <v>0.49792231199999998</v>
      </c>
      <c r="AK11">
        <f t="shared" si="23"/>
        <v>0.06</v>
      </c>
      <c r="AL11" s="407">
        <f t="shared" si="24"/>
        <v>4.0337999999999999E-2</v>
      </c>
      <c r="AM11" s="407">
        <f t="shared" si="25"/>
        <v>0.13814789189189189</v>
      </c>
      <c r="AN11" s="407">
        <f t="shared" ref="AN11:AN74" si="42">SUM(AK11:AL11)</f>
        <v>0.100338</v>
      </c>
      <c r="AO11" s="407">
        <f t="shared" si="26"/>
        <v>0.87031234118303491</v>
      </c>
      <c r="AP11">
        <f t="shared" si="27"/>
        <v>1.26</v>
      </c>
      <c r="AQ11" s="10">
        <f t="shared" ref="AQ11:AQ74" si="43">AP11/(AP11+AO11)</f>
        <v>0.591462564264299</v>
      </c>
      <c r="AR11" s="63">
        <f t="shared" si="28"/>
        <v>2.7501350022505835</v>
      </c>
      <c r="AS11" s="63">
        <f t="shared" ref="AS11:AS74" si="44">AG11*ThetaJaBot</f>
        <v>0.82220673383424969</v>
      </c>
      <c r="AT11" s="10"/>
      <c r="AU11">
        <f t="shared" ref="AU11:AU74" si="45">AQ11*100</f>
        <v>59.1462564264299</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
      <c r="A12" s="32" t="s">
        <v>5</v>
      </c>
      <c r="B12" s="5">
        <f>Vout</f>
        <v>14</v>
      </c>
      <c r="C12" s="416" t="s">
        <v>0</v>
      </c>
      <c r="D12" s="31" t="s">
        <v>5</v>
      </c>
      <c r="G12">
        <v>3</v>
      </c>
      <c r="H12">
        <f t="shared" si="0"/>
        <v>0.13500000000000001</v>
      </c>
      <c r="I12" s="406">
        <f t="shared" si="1"/>
        <v>0.46680385259480711</v>
      </c>
      <c r="J12" s="407">
        <f t="shared" si="2"/>
        <v>3.3083192954982787</v>
      </c>
      <c r="K12" s="407">
        <f t="shared" si="31"/>
        <v>1.7891596477491394</v>
      </c>
      <c r="L12" s="407">
        <f t="shared" si="32"/>
        <v>-1.5191596477491394</v>
      </c>
      <c r="M12" s="63">
        <f t="shared" si="3"/>
        <v>30</v>
      </c>
      <c r="N12" s="406">
        <f t="shared" si="4"/>
        <v>0.96452391369033397</v>
      </c>
      <c r="O12" s="406">
        <f t="shared" si="5"/>
        <v>8.187232355777068E-4</v>
      </c>
      <c r="P12">
        <f t="shared" si="6"/>
        <v>0.2</v>
      </c>
      <c r="Q12" s="406">
        <f t="shared" si="34"/>
        <v>0.20081872323557773</v>
      </c>
      <c r="R12" s="9">
        <f t="shared" si="39"/>
        <v>0.95502951791058222</v>
      </c>
      <c r="S12" s="9">
        <f t="shared" si="7"/>
        <v>2.5538278642254537E-4</v>
      </c>
      <c r="T12" s="9">
        <f t="shared" si="40"/>
        <v>2.5538278642254537E-4</v>
      </c>
      <c r="U12" s="406">
        <f t="shared" si="8"/>
        <v>0.65899211096576504</v>
      </c>
      <c r="V12" s="408">
        <f t="shared" si="9"/>
        <v>4.3427060231511516E-4</v>
      </c>
      <c r="W12" s="406">
        <f t="shared" si="41"/>
        <v>4.3427060231511516E-4</v>
      </c>
      <c r="X12" s="406">
        <f t="shared" si="10"/>
        <v>0.65899211096576504</v>
      </c>
      <c r="Y12" s="406">
        <f t="shared" si="11"/>
        <v>2.2582071320385987E-2</v>
      </c>
      <c r="Z12" s="406">
        <f t="shared" si="12"/>
        <v>1.5352641309670154E-2</v>
      </c>
      <c r="AA12" s="406">
        <f t="shared" si="13"/>
        <v>0</v>
      </c>
      <c r="AB12" s="406">
        <f t="shared" si="14"/>
        <v>1.2104664073265143E-2</v>
      </c>
      <c r="AC12" s="406">
        <f t="shared" si="15"/>
        <v>5.0289216330682958E-2</v>
      </c>
      <c r="AD12" s="406">
        <f t="shared" si="16"/>
        <v>0.70429807451490578</v>
      </c>
      <c r="AE12" s="406">
        <f t="shared" si="17"/>
        <v>4.9603577776540378E-3</v>
      </c>
      <c r="AF12" s="406">
        <f t="shared" si="18"/>
        <v>1.6038027082423283E-2</v>
      </c>
      <c r="AG12" s="406">
        <f t="shared" si="19"/>
        <v>2.1015063617559442E-2</v>
      </c>
      <c r="AH12" s="406">
        <f t="shared" si="20"/>
        <v>0</v>
      </c>
      <c r="AI12">
        <f t="shared" si="21"/>
        <v>0</v>
      </c>
      <c r="AJ12" s="407">
        <f t="shared" si="22"/>
        <v>0.497883468</v>
      </c>
      <c r="AK12">
        <f t="shared" si="23"/>
        <v>0.06</v>
      </c>
      <c r="AL12" s="407">
        <f t="shared" si="24"/>
        <v>4.0337999999999999E-2</v>
      </c>
      <c r="AM12" s="407">
        <f t="shared" si="25"/>
        <v>0.13814789189189189</v>
      </c>
      <c r="AN12" s="407">
        <f t="shared" si="42"/>
        <v>0.100338</v>
      </c>
      <c r="AO12" s="407">
        <f t="shared" si="26"/>
        <v>0.87103412457255791</v>
      </c>
      <c r="AP12">
        <f t="shared" si="27"/>
        <v>1.8900000000000001</v>
      </c>
      <c r="AQ12" s="10">
        <f t="shared" si="43"/>
        <v>0.6845261285180948</v>
      </c>
      <c r="AR12" s="63">
        <f t="shared" si="28"/>
        <v>2.7659068981875627</v>
      </c>
      <c r="AS12" s="63">
        <f t="shared" si="44"/>
        <v>0.84060254470237772</v>
      </c>
      <c r="AT12" s="10"/>
      <c r="AU12">
        <f t="shared" si="45"/>
        <v>68.452612851809477</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
      <c r="A13" s="32" t="s">
        <v>7</v>
      </c>
      <c r="B13" s="5">
        <f>Fsw/1000</f>
        <v>332</v>
      </c>
      <c r="C13" s="416" t="s">
        <v>3</v>
      </c>
      <c r="D13" s="31" t="s">
        <v>173</v>
      </c>
      <c r="G13">
        <v>4</v>
      </c>
      <c r="H13">
        <f t="shared" si="0"/>
        <v>0.18</v>
      </c>
      <c r="I13" s="406">
        <f t="shared" si="1"/>
        <v>0.4668495927640432</v>
      </c>
      <c r="J13" s="407">
        <f t="shared" si="2"/>
        <v>3.3086434639549482</v>
      </c>
      <c r="K13" s="407">
        <f t="shared" si="31"/>
        <v>1.8343217319774741</v>
      </c>
      <c r="L13" s="407">
        <f t="shared" si="32"/>
        <v>-1.4743217319774742</v>
      </c>
      <c r="M13" s="63">
        <f t="shared" si="3"/>
        <v>30</v>
      </c>
      <c r="N13" s="406">
        <f t="shared" si="4"/>
        <v>0.97193627927159743</v>
      </c>
      <c r="O13" s="406">
        <f t="shared" si="5"/>
        <v>8.3135620382244948E-4</v>
      </c>
      <c r="P13">
        <f t="shared" si="6"/>
        <v>0.2</v>
      </c>
      <c r="Q13" s="406">
        <f t="shared" si="34"/>
        <v>0.20083135620382245</v>
      </c>
      <c r="R13" s="9">
        <f t="shared" si="39"/>
        <v>0.95512309728344269</v>
      </c>
      <c r="S13" s="9">
        <f t="shared" si="7"/>
        <v>2.5543283667000871E-4</v>
      </c>
      <c r="T13" s="9">
        <f t="shared" si="40"/>
        <v>2.5543283667000871E-4</v>
      </c>
      <c r="U13" s="406">
        <f t="shared" si="8"/>
        <v>0.66408899813286992</v>
      </c>
      <c r="V13" s="408">
        <f t="shared" si="9"/>
        <v>4.4101419744111894E-4</v>
      </c>
      <c r="W13" s="406">
        <f t="shared" si="41"/>
        <v>4.4101419744111894E-4</v>
      </c>
      <c r="X13" s="406">
        <f t="shared" si="10"/>
        <v>0.66408899813286992</v>
      </c>
      <c r="Y13" s="406">
        <f t="shared" si="11"/>
        <v>2.2932738266938181E-2</v>
      </c>
      <c r="Z13" s="406">
        <f t="shared" si="12"/>
        <v>1.5740173680427013E-2</v>
      </c>
      <c r="AA13" s="406">
        <f t="shared" si="13"/>
        <v>0</v>
      </c>
      <c r="AB13" s="406">
        <f t="shared" si="14"/>
        <v>1.1747395560396515E-2</v>
      </c>
      <c r="AC13" s="406">
        <f t="shared" si="15"/>
        <v>5.0675978074916604E-2</v>
      </c>
      <c r="AD13" s="406">
        <f t="shared" si="16"/>
        <v>0.70968016283618751</v>
      </c>
      <c r="AE13" s="406">
        <f t="shared" si="17"/>
        <v>5.0364593352319768E-3</v>
      </c>
      <c r="AF13" s="406">
        <f t="shared" si="18"/>
        <v>1.6442860005446074E-2</v>
      </c>
      <c r="AG13" s="406">
        <f t="shared" si="19"/>
        <v>2.1496642054846575E-2</v>
      </c>
      <c r="AH13" s="406">
        <f t="shared" si="20"/>
        <v>0</v>
      </c>
      <c r="AI13">
        <f t="shared" si="21"/>
        <v>0</v>
      </c>
      <c r="AJ13" s="407">
        <f t="shared" si="22"/>
        <v>0.49784462400000001</v>
      </c>
      <c r="AK13">
        <f t="shared" si="23"/>
        <v>0.06</v>
      </c>
      <c r="AL13" s="407">
        <f t="shared" si="24"/>
        <v>4.0337999999999999E-2</v>
      </c>
      <c r="AM13" s="407">
        <f t="shared" si="25"/>
        <v>0.13814789189189189</v>
      </c>
      <c r="AN13" s="407">
        <f t="shared" si="42"/>
        <v>0.100338</v>
      </c>
      <c r="AO13" s="407">
        <f t="shared" si="26"/>
        <v>0.87188304736769684</v>
      </c>
      <c r="AP13">
        <f t="shared" si="27"/>
        <v>2.52</v>
      </c>
      <c r="AQ13" s="10">
        <f t="shared" si="43"/>
        <v>0.74295014445019558</v>
      </c>
      <c r="AR13" s="63">
        <f t="shared" si="28"/>
        <v>2.7871787941204134</v>
      </c>
      <c r="AS13" s="63">
        <f t="shared" si="44"/>
        <v>0.85986568219386306</v>
      </c>
      <c r="AT13" s="10"/>
      <c r="AU13">
        <f t="shared" si="45"/>
        <v>74.295014445019561</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
      <c r="A14" s="32" t="s">
        <v>6</v>
      </c>
      <c r="B14" s="5">
        <f>Iout</f>
        <v>9</v>
      </c>
      <c r="C14" s="416" t="s">
        <v>2</v>
      </c>
      <c r="D14" s="31" t="s">
        <v>174</v>
      </c>
      <c r="G14">
        <v>5</v>
      </c>
      <c r="H14">
        <f t="shared" si="0"/>
        <v>0.22500000000000001</v>
      </c>
      <c r="I14" s="406">
        <f t="shared" si="1"/>
        <v>0.46689533869835664</v>
      </c>
      <c r="J14" s="407">
        <f t="shared" si="2"/>
        <v>3.3089676732697137</v>
      </c>
      <c r="K14" s="407">
        <f t="shared" si="31"/>
        <v>1.879483836634857</v>
      </c>
      <c r="L14" s="407">
        <f t="shared" si="32"/>
        <v>-1.4294838366348568</v>
      </c>
      <c r="M14" s="63">
        <f t="shared" si="3"/>
        <v>30</v>
      </c>
      <c r="N14" s="406">
        <f t="shared" si="4"/>
        <v>0.9813582026433223</v>
      </c>
      <c r="O14" s="406">
        <f t="shared" si="5"/>
        <v>8.4755371515559958E-4</v>
      </c>
      <c r="P14">
        <f t="shared" si="6"/>
        <v>0.2</v>
      </c>
      <c r="Q14" s="406">
        <f t="shared" si="34"/>
        <v>0.20084755371515561</v>
      </c>
      <c r="R14" s="9">
        <f t="shared" si="39"/>
        <v>0.95521668845101948</v>
      </c>
      <c r="S14" s="9">
        <f t="shared" si="7"/>
        <v>2.5548289813069299E-4</v>
      </c>
      <c r="T14" s="9">
        <f t="shared" si="40"/>
        <v>2.5548289813069299E-4</v>
      </c>
      <c r="U14" s="406">
        <f t="shared" si="8"/>
        <v>0.67055950966449551</v>
      </c>
      <c r="V14" s="408">
        <f t="shared" si="9"/>
        <v>4.4965005600148866E-4</v>
      </c>
      <c r="W14" s="406">
        <f t="shared" si="41"/>
        <v>4.4965005600148866E-4</v>
      </c>
      <c r="X14" s="406">
        <f t="shared" si="10"/>
        <v>0.67055950966449551</v>
      </c>
      <c r="Y14" s="406">
        <f t="shared" si="11"/>
        <v>2.338180291207741E-2</v>
      </c>
      <c r="Z14" s="406">
        <f t="shared" si="12"/>
        <v>1.6127706226483966E-2</v>
      </c>
      <c r="AA14" s="406">
        <f t="shared" si="13"/>
        <v>0</v>
      </c>
      <c r="AB14" s="406">
        <f t="shared" si="14"/>
        <v>1.1390127210306539E-2</v>
      </c>
      <c r="AC14" s="406">
        <f t="shared" si="15"/>
        <v>5.1162817711301399E-2</v>
      </c>
      <c r="AD14" s="406">
        <f t="shared" si="16"/>
        <v>0.71652904050976418</v>
      </c>
      <c r="AE14" s="406">
        <f t="shared" si="17"/>
        <v>5.1341386589384332E-3</v>
      </c>
      <c r="AF14" s="406">
        <f t="shared" si="18"/>
        <v>1.6847693111594855E-2</v>
      </c>
      <c r="AG14" s="406">
        <f t="shared" si="19"/>
        <v>2.1999903859637081E-2</v>
      </c>
      <c r="AH14" s="406">
        <f t="shared" si="20"/>
        <v>0</v>
      </c>
      <c r="AI14">
        <f t="shared" si="21"/>
        <v>0</v>
      </c>
      <c r="AJ14" s="407">
        <f t="shared" si="22"/>
        <v>0.49780577999999998</v>
      </c>
      <c r="AK14">
        <f t="shared" si="23"/>
        <v>0.06</v>
      </c>
      <c r="AL14" s="407">
        <f t="shared" si="24"/>
        <v>4.0337999999999999E-2</v>
      </c>
      <c r="AM14" s="407">
        <f t="shared" si="25"/>
        <v>0.13814789189189189</v>
      </c>
      <c r="AN14" s="407">
        <f t="shared" si="42"/>
        <v>0.100338</v>
      </c>
      <c r="AO14" s="407">
        <f t="shared" si="26"/>
        <v>0.87285918824022624</v>
      </c>
      <c r="AP14">
        <f t="shared" si="27"/>
        <v>3.15</v>
      </c>
      <c r="AQ14" s="10">
        <f t="shared" si="43"/>
        <v>0.78302517006018968</v>
      </c>
      <c r="AR14" s="63">
        <f t="shared" si="28"/>
        <v>2.813954974121577</v>
      </c>
      <c r="AS14" s="63">
        <f t="shared" si="44"/>
        <v>0.87999615438548329</v>
      </c>
      <c r="AT14" s="10"/>
      <c r="AU14">
        <f t="shared" si="45"/>
        <v>78.302517006018974</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
      <c r="A15" s="33" t="s">
        <v>156</v>
      </c>
      <c r="B15" s="5">
        <f>Ta</f>
        <v>25</v>
      </c>
      <c r="C15" s="416" t="s">
        <v>711</v>
      </c>
      <c r="D15" s="31" t="s">
        <v>175</v>
      </c>
      <c r="G15">
        <v>6</v>
      </c>
      <c r="H15">
        <f t="shared" si="0"/>
        <v>0.27</v>
      </c>
      <c r="I15" s="406">
        <f t="shared" si="1"/>
        <v>0.46694109039883747</v>
      </c>
      <c r="J15" s="407">
        <f t="shared" si="2"/>
        <v>3.3092919234503011</v>
      </c>
      <c r="K15" s="407">
        <f t="shared" si="31"/>
        <v>1.9246459617251506</v>
      </c>
      <c r="L15" s="407">
        <f t="shared" si="32"/>
        <v>-1.3846459617251505</v>
      </c>
      <c r="M15" s="63">
        <f t="shared" si="3"/>
        <v>30</v>
      </c>
      <c r="N15" s="406">
        <f t="shared" si="4"/>
        <v>0.99273246793103798</v>
      </c>
      <c r="O15" s="406">
        <f t="shared" si="5"/>
        <v>8.6731579729845329E-4</v>
      </c>
      <c r="P15">
        <f t="shared" si="6"/>
        <v>0.2</v>
      </c>
      <c r="Q15" s="406">
        <f t="shared" si="34"/>
        <v>0.20086731579729847</v>
      </c>
      <c r="R15" s="9">
        <f t="shared" si="39"/>
        <v>0.95531029141554291</v>
      </c>
      <c r="S15" s="9">
        <f t="shared" si="7"/>
        <v>2.5553297080764591E-4</v>
      </c>
      <c r="T15" s="9">
        <f t="shared" si="40"/>
        <v>2.5553297080764591E-4</v>
      </c>
      <c r="U15" s="406">
        <f t="shared" si="8"/>
        <v>0.67836475007128494</v>
      </c>
      <c r="V15" s="408">
        <f t="shared" si="9"/>
        <v>4.6017873413927693E-4</v>
      </c>
      <c r="W15" s="406">
        <f t="shared" si="41"/>
        <v>4.6017873413927693E-4</v>
      </c>
      <c r="X15" s="406">
        <f t="shared" si="10"/>
        <v>0.67836475007128494</v>
      </c>
      <c r="Y15" s="406">
        <f t="shared" si="11"/>
        <v>2.3929294175242397E-2</v>
      </c>
      <c r="Z15" s="406">
        <f t="shared" si="12"/>
        <v>1.6515238947874152E-2</v>
      </c>
      <c r="AA15" s="406">
        <f t="shared" si="13"/>
        <v>0</v>
      </c>
      <c r="AB15" s="406">
        <f t="shared" si="14"/>
        <v>1.1032859023025999E-2</v>
      </c>
      <c r="AC15" s="406">
        <f t="shared" si="15"/>
        <v>5.1749826245607297E-2</v>
      </c>
      <c r="AD15" s="406">
        <f t="shared" si="16"/>
        <v>0.72480274471415507</v>
      </c>
      <c r="AE15" s="406">
        <f t="shared" si="17"/>
        <v>5.2533901874517262E-3</v>
      </c>
      <c r="AF15" s="406">
        <f t="shared" si="18"/>
        <v>1.7252526400904244E-2</v>
      </c>
      <c r="AG15" s="406">
        <f t="shared" si="19"/>
        <v>2.2524849680241411E-2</v>
      </c>
      <c r="AH15" s="406">
        <f t="shared" si="20"/>
        <v>0</v>
      </c>
      <c r="AI15">
        <f t="shared" si="21"/>
        <v>0</v>
      </c>
      <c r="AJ15" s="407">
        <f t="shared" si="22"/>
        <v>0.49776693599999999</v>
      </c>
      <c r="AK15">
        <f t="shared" si="23"/>
        <v>0.06</v>
      </c>
      <c r="AL15" s="407">
        <f t="shared" si="24"/>
        <v>4.0337999999999999E-2</v>
      </c>
      <c r="AM15" s="407">
        <f t="shared" si="25"/>
        <v>0.13814789189189189</v>
      </c>
      <c r="AN15" s="407">
        <f t="shared" si="42"/>
        <v>0.100338</v>
      </c>
      <c r="AO15" s="407">
        <f t="shared" si="26"/>
        <v>0.87396263942809405</v>
      </c>
      <c r="AP15">
        <f t="shared" si="27"/>
        <v>3.7800000000000002</v>
      </c>
      <c r="AQ15" s="10">
        <f t="shared" si="43"/>
        <v>0.81221107534814851</v>
      </c>
      <c r="AR15" s="63">
        <f t="shared" si="28"/>
        <v>2.8462404435084014</v>
      </c>
      <c r="AS15" s="63">
        <f t="shared" si="44"/>
        <v>0.9009939872096564</v>
      </c>
      <c r="AT15" s="10"/>
      <c r="AU15">
        <f t="shared" si="45"/>
        <v>81.221107534814848</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
      <c r="A16" s="405" t="s">
        <v>610</v>
      </c>
      <c r="B16" s="5">
        <v>7.5</v>
      </c>
      <c r="C16" s="416" t="s">
        <v>0</v>
      </c>
      <c r="D16" s="416" t="s">
        <v>615</v>
      </c>
      <c r="G16">
        <v>7</v>
      </c>
      <c r="H16">
        <f t="shared" si="0"/>
        <v>0.31500000000000006</v>
      </c>
      <c r="I16" s="406">
        <f t="shared" si="1"/>
        <v>0.46698684786657579</v>
      </c>
      <c r="J16" s="407">
        <f t="shared" si="2"/>
        <v>3.3096162145044352</v>
      </c>
      <c r="K16" s="407">
        <f t="shared" si="31"/>
        <v>1.9698081072522178</v>
      </c>
      <c r="L16" s="407">
        <f t="shared" si="32"/>
        <v>-1.3398081072522174</v>
      </c>
      <c r="M16" s="63">
        <f t="shared" si="3"/>
        <v>30</v>
      </c>
      <c r="N16" s="406">
        <f t="shared" si="4"/>
        <v>1.00599285481685</v>
      </c>
      <c r="O16" s="406">
        <f t="shared" si="5"/>
        <v>8.9064248407094606E-4</v>
      </c>
      <c r="P16">
        <f t="shared" si="6"/>
        <v>0.2</v>
      </c>
      <c r="Q16" s="406">
        <f t="shared" si="34"/>
        <v>0.20089064248407096</v>
      </c>
      <c r="R16" s="9">
        <f t="shared" si="39"/>
        <v>0.95540390617924298</v>
      </c>
      <c r="S16" s="9">
        <f t="shared" si="7"/>
        <v>2.5558305470391564E-4</v>
      </c>
      <c r="T16" s="9">
        <f t="shared" si="40"/>
        <v>2.5558305470391564E-4</v>
      </c>
      <c r="U16" s="406">
        <f t="shared" si="8"/>
        <v>0.68745966291684868</v>
      </c>
      <c r="V16" s="408">
        <f t="shared" si="9"/>
        <v>4.7260078813774723E-4</v>
      </c>
      <c r="W16" s="406">
        <f t="shared" si="41"/>
        <v>4.7260078813774723E-4</v>
      </c>
      <c r="X16" s="406">
        <f t="shared" si="10"/>
        <v>0.68745966291684868</v>
      </c>
      <c r="Y16" s="406">
        <f t="shared" si="11"/>
        <v>2.4575240983162851E-2</v>
      </c>
      <c r="Z16" s="406">
        <f t="shared" si="12"/>
        <v>1.6902771844630723E-2</v>
      </c>
      <c r="AA16" s="406">
        <f t="shared" si="13"/>
        <v>0</v>
      </c>
      <c r="AB16" s="406">
        <f t="shared" si="14"/>
        <v>1.0675590998585669E-2</v>
      </c>
      <c r="AC16" s="406">
        <f t="shared" si="15"/>
        <v>5.2437107829882729E-2</v>
      </c>
      <c r="AD16" s="406">
        <f t="shared" si="16"/>
        <v>0.73445274579431497</v>
      </c>
      <c r="AE16" s="406">
        <f t="shared" si="17"/>
        <v>5.3942083580480861E-3</v>
      </c>
      <c r="AF16" s="406">
        <f t="shared" si="18"/>
        <v>1.7657359873408877E-2</v>
      </c>
      <c r="AG16" s="406">
        <f t="shared" si="19"/>
        <v>2.3071480611224261E-2</v>
      </c>
      <c r="AH16" s="406">
        <f t="shared" si="20"/>
        <v>0</v>
      </c>
      <c r="AI16">
        <f t="shared" si="21"/>
        <v>0</v>
      </c>
      <c r="AJ16" s="407">
        <f t="shared" si="22"/>
        <v>0.49772809199999996</v>
      </c>
      <c r="AK16">
        <f t="shared" si="23"/>
        <v>0.06</v>
      </c>
      <c r="AL16" s="407">
        <f t="shared" si="24"/>
        <v>4.0337999999999999E-2</v>
      </c>
      <c r="AM16" s="407">
        <f t="shared" si="25"/>
        <v>0.13814789189189189</v>
      </c>
      <c r="AN16" s="407">
        <f t="shared" si="42"/>
        <v>0.100338</v>
      </c>
      <c r="AO16" s="407">
        <f t="shared" si="26"/>
        <v>0.87519350676801955</v>
      </c>
      <c r="AP16">
        <f t="shared" si="27"/>
        <v>4.410000000000001</v>
      </c>
      <c r="AQ16" s="10">
        <f t="shared" si="43"/>
        <v>0.83440653485113081</v>
      </c>
      <c r="AR16" s="63">
        <f t="shared" si="28"/>
        <v>2.8840409306435499</v>
      </c>
      <c r="AS16" s="63">
        <f t="shared" si="44"/>
        <v>0.92285922444897039</v>
      </c>
      <c r="AT16" s="10"/>
      <c r="AU16">
        <f t="shared" si="45"/>
        <v>83.440653485113074</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
      <c r="A17" s="34" t="s">
        <v>128</v>
      </c>
      <c r="B17" s="26" t="s">
        <v>201</v>
      </c>
      <c r="C17" s="34" t="s">
        <v>148</v>
      </c>
      <c r="D17" s="27" t="s">
        <v>188</v>
      </c>
      <c r="G17">
        <v>8</v>
      </c>
      <c r="H17">
        <f t="shared" si="0"/>
        <v>0.36</v>
      </c>
      <c r="I17" s="406">
        <f t="shared" si="1"/>
        <v>0.46703261110266242</v>
      </c>
      <c r="J17" s="407">
        <f t="shared" si="2"/>
        <v>3.3099405464398468</v>
      </c>
      <c r="K17" s="407">
        <f t="shared" si="31"/>
        <v>2.0149702732199235</v>
      </c>
      <c r="L17" s="407">
        <f t="shared" si="32"/>
        <v>-1.2949702732199233</v>
      </c>
      <c r="M17" s="63">
        <f t="shared" si="3"/>
        <v>30</v>
      </c>
      <c r="N17" s="406">
        <f t="shared" si="4"/>
        <v>1.0210658818511873</v>
      </c>
      <c r="O17" s="406">
        <f t="shared" si="5"/>
        <v>9.1753381539179868E-4</v>
      </c>
      <c r="P17">
        <f t="shared" si="6"/>
        <v>0.2</v>
      </c>
      <c r="Q17" s="406">
        <f t="shared" si="34"/>
        <v>0.20091753381539182</v>
      </c>
      <c r="R17" s="9">
        <f t="shared" si="39"/>
        <v>0.95549753274435134</v>
      </c>
      <c r="S17" s="9">
        <f t="shared" si="7"/>
        <v>2.55633149822552E-4</v>
      </c>
      <c r="T17" s="9">
        <f t="shared" si="40"/>
        <v>2.55633149822552E-4</v>
      </c>
      <c r="U17" s="406">
        <f t="shared" si="8"/>
        <v>0.69779422068430841</v>
      </c>
      <c r="V17" s="408">
        <f t="shared" si="9"/>
        <v>4.8691677442042129E-4</v>
      </c>
      <c r="W17" s="406">
        <f t="shared" si="41"/>
        <v>4.8691677442042129E-4</v>
      </c>
      <c r="X17" s="406">
        <f t="shared" si="10"/>
        <v>0.69779422068430841</v>
      </c>
      <c r="Y17" s="406">
        <f t="shared" si="11"/>
        <v>2.5319672269861905E-2</v>
      </c>
      <c r="Z17" s="406">
        <f t="shared" si="12"/>
        <v>1.7290304916786837E-2</v>
      </c>
      <c r="AA17" s="406">
        <f t="shared" si="13"/>
        <v>0</v>
      </c>
      <c r="AB17" s="406">
        <f t="shared" si="14"/>
        <v>1.0318323137016349E-2</v>
      </c>
      <c r="AC17" s="406">
        <f t="shared" si="15"/>
        <v>5.3224779799520165E-2</v>
      </c>
      <c r="AD17" s="406">
        <f t="shared" si="16"/>
        <v>0.74542522137376155</v>
      </c>
      <c r="AE17" s="406">
        <f t="shared" si="17"/>
        <v>5.5565876066012146E-3</v>
      </c>
      <c r="AF17" s="406">
        <f t="shared" si="18"/>
        <v>1.806219352914339E-2</v>
      </c>
      <c r="AG17" s="406">
        <f t="shared" si="19"/>
        <v>2.3639798193290748E-2</v>
      </c>
      <c r="AH17" s="406">
        <f t="shared" si="20"/>
        <v>0</v>
      </c>
      <c r="AI17">
        <f t="shared" si="21"/>
        <v>0</v>
      </c>
      <c r="AJ17" s="407">
        <f t="shared" si="22"/>
        <v>0.49768924800000003</v>
      </c>
      <c r="AK17">
        <f t="shared" si="23"/>
        <v>0.06</v>
      </c>
      <c r="AL17" s="407">
        <f t="shared" si="24"/>
        <v>4.0337999999999999E-2</v>
      </c>
      <c r="AM17" s="407">
        <f t="shared" si="25"/>
        <v>0.13814789189189189</v>
      </c>
      <c r="AN17" s="407">
        <f t="shared" si="42"/>
        <v>0.100338</v>
      </c>
      <c r="AO17" s="407">
        <f t="shared" si="26"/>
        <v>0.87655190973244579</v>
      </c>
      <c r="AP17">
        <f t="shared" si="27"/>
        <v>5.04</v>
      </c>
      <c r="AQ17" s="10">
        <f t="shared" si="43"/>
        <v>0.85184750795635544</v>
      </c>
      <c r="AR17" s="63">
        <f t="shared" si="28"/>
        <v>2.927362888973609</v>
      </c>
      <c r="AS17" s="63">
        <f t="shared" si="44"/>
        <v>0.94559192773162992</v>
      </c>
      <c r="AT17" s="10"/>
      <c r="AU17">
        <f t="shared" si="45"/>
        <v>85.184750795635551</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
      <c r="A18" s="45" t="s">
        <v>126</v>
      </c>
      <c r="B18" s="48">
        <f>Lout2*1000000</f>
        <v>6.8</v>
      </c>
      <c r="C18" s="418" t="s">
        <v>11</v>
      </c>
      <c r="D18" s="31" t="s">
        <v>190</v>
      </c>
      <c r="G18">
        <v>9</v>
      </c>
      <c r="H18">
        <f t="shared" si="0"/>
        <v>0.40499999999999997</v>
      </c>
      <c r="I18" s="406">
        <f t="shared" si="1"/>
        <v>0.46707838010818797</v>
      </c>
      <c r="J18" s="407">
        <f t="shared" si="2"/>
        <v>3.3102649192642661</v>
      </c>
      <c r="K18" s="407">
        <f t="shared" si="31"/>
        <v>2.0601324596321331</v>
      </c>
      <c r="L18" s="407">
        <f t="shared" si="32"/>
        <v>-1.250132459632133</v>
      </c>
      <c r="M18" s="63">
        <f t="shared" si="3"/>
        <v>30</v>
      </c>
      <c r="N18" s="406">
        <f t="shared" si="4"/>
        <v>1.0378725771063155</v>
      </c>
      <c r="O18" s="406">
        <f t="shared" si="5"/>
        <v>9.4798983727868702E-4</v>
      </c>
      <c r="P18">
        <f t="shared" si="6"/>
        <v>0.2</v>
      </c>
      <c r="Q18" s="406">
        <f t="shared" si="34"/>
        <v>0.20094798983727868</v>
      </c>
      <c r="R18" s="9">
        <f t="shared" si="39"/>
        <v>0.95559117111309944</v>
      </c>
      <c r="S18" s="9">
        <f t="shared" si="7"/>
        <v>2.5568325616660538E-4</v>
      </c>
      <c r="T18" s="9">
        <f t="shared" si="40"/>
        <v>2.5568325616660538E-4</v>
      </c>
      <c r="U18" s="406">
        <f t="shared" si="8"/>
        <v>0.70931463367896208</v>
      </c>
      <c r="V18" s="408">
        <f t="shared" si="9"/>
        <v>5.0312724955112024E-4</v>
      </c>
      <c r="W18" s="406">
        <f t="shared" si="41"/>
        <v>5.0312724955112024E-4</v>
      </c>
      <c r="X18" s="406">
        <f t="shared" si="10"/>
        <v>0.70931463367896208</v>
      </c>
      <c r="Y18" s="406">
        <f t="shared" si="11"/>
        <v>2.616261697665825E-2</v>
      </c>
      <c r="Z18" s="406">
        <f t="shared" si="12"/>
        <v>1.7677838164375671E-2</v>
      </c>
      <c r="AA18" s="406">
        <f t="shared" si="13"/>
        <v>0</v>
      </c>
      <c r="AB18" s="406">
        <f t="shared" si="14"/>
        <v>9.9610554383488363E-3</v>
      </c>
      <c r="AC18" s="406">
        <f t="shared" si="15"/>
        <v>5.4112972714675293E-2</v>
      </c>
      <c r="AD18" s="406">
        <f t="shared" si="16"/>
        <v>0.75766235009942573</v>
      </c>
      <c r="AE18" s="406">
        <f t="shared" si="17"/>
        <v>5.7405223675818474E-3</v>
      </c>
      <c r="AF18" s="406">
        <f t="shared" si="18"/>
        <v>1.8467027368142437E-2</v>
      </c>
      <c r="AG18" s="406">
        <f t="shared" si="19"/>
        <v>2.4229804413195659E-2</v>
      </c>
      <c r="AH18" s="406">
        <f t="shared" si="20"/>
        <v>0</v>
      </c>
      <c r="AI18">
        <f t="shared" si="21"/>
        <v>0</v>
      </c>
      <c r="AJ18" s="407">
        <f t="shared" si="22"/>
        <v>0.49765040400000005</v>
      </c>
      <c r="AK18">
        <f t="shared" si="23"/>
        <v>0.06</v>
      </c>
      <c r="AL18" s="407">
        <f t="shared" si="24"/>
        <v>4.0337999999999999E-2</v>
      </c>
      <c r="AM18" s="407">
        <f t="shared" si="25"/>
        <v>0.13814789189189189</v>
      </c>
      <c r="AN18" s="407">
        <f t="shared" si="42"/>
        <v>0.100338</v>
      </c>
      <c r="AO18" s="407">
        <f t="shared" si="26"/>
        <v>0.87803798147086742</v>
      </c>
      <c r="AP18">
        <f t="shared" si="27"/>
        <v>5.67</v>
      </c>
      <c r="AQ18" s="10">
        <f t="shared" si="43"/>
        <v>0.86590823328217226</v>
      </c>
      <c r="AR18" s="63">
        <f t="shared" si="28"/>
        <v>2.976213499307141</v>
      </c>
      <c r="AS18" s="63">
        <f t="shared" si="44"/>
        <v>0.96919217652782641</v>
      </c>
      <c r="AT18" s="10"/>
      <c r="AU18">
        <f t="shared" si="45"/>
        <v>86.590823328217226</v>
      </c>
      <c r="BC18" t="s">
        <v>233</v>
      </c>
      <c r="BE18" s="28"/>
      <c r="BF18" s="29"/>
    </row>
    <row r="19" spans="1:69" x14ac:dyDescent="0.2">
      <c r="A19" s="45" t="s">
        <v>12</v>
      </c>
      <c r="B19" s="49">
        <f>Rdcr*1000</f>
        <v>0.88</v>
      </c>
      <c r="C19" s="416" t="s">
        <v>613</v>
      </c>
      <c r="D19" s="31" t="s">
        <v>191</v>
      </c>
      <c r="G19">
        <v>10</v>
      </c>
      <c r="H19">
        <f t="shared" si="0"/>
        <v>0.45</v>
      </c>
      <c r="I19" s="406">
        <f t="shared" si="1"/>
        <v>0.46712415488424375</v>
      </c>
      <c r="J19" s="407">
        <f t="shared" si="2"/>
        <v>3.310589332985427</v>
      </c>
      <c r="K19" s="407">
        <f t="shared" si="31"/>
        <v>2.1052946664927137</v>
      </c>
      <c r="L19" s="407">
        <f t="shared" si="32"/>
        <v>-1.2052946664927136</v>
      </c>
      <c r="M19" s="63">
        <f t="shared" si="3"/>
        <v>30</v>
      </c>
      <c r="N19" s="406">
        <f t="shared" si="4"/>
        <v>1.056330193471597</v>
      </c>
      <c r="O19" s="406">
        <f t="shared" si="5"/>
        <v>9.8201060184844018E-4</v>
      </c>
      <c r="P19">
        <f t="shared" si="6"/>
        <v>0.2</v>
      </c>
      <c r="Q19" s="406">
        <f t="shared" si="34"/>
        <v>0.20098201060184845</v>
      </c>
      <c r="R19" s="9">
        <f t="shared" si="39"/>
        <v>0.95568482128772003</v>
      </c>
      <c r="S19" s="9">
        <f t="shared" si="7"/>
        <v>2.557333737391276E-4</v>
      </c>
      <c r="T19" s="9">
        <f t="shared" si="40"/>
        <v>2.557333737391276E-4</v>
      </c>
      <c r="U19" s="406">
        <f t="shared" si="8"/>
        <v>0.72196452145102741</v>
      </c>
      <c r="V19" s="408">
        <f t="shared" si="9"/>
        <v>5.2123277023401107E-4</v>
      </c>
      <c r="W19" s="406">
        <f t="shared" si="41"/>
        <v>5.2123277023401107E-4</v>
      </c>
      <c r="X19" s="406">
        <f t="shared" si="10"/>
        <v>0.72196452145102741</v>
      </c>
      <c r="Y19" s="406">
        <f t="shared" si="11"/>
        <v>2.7104104052168572E-2</v>
      </c>
      <c r="Z19" s="406">
        <f t="shared" si="12"/>
        <v>1.80653715874304E-2</v>
      </c>
      <c r="AA19" s="406">
        <f t="shared" si="13"/>
        <v>0</v>
      </c>
      <c r="AB19" s="406">
        <f t="shared" si="14"/>
        <v>9.603787902613941E-3</v>
      </c>
      <c r="AC19" s="406">
        <f t="shared" si="15"/>
        <v>5.5101830406066928E-2</v>
      </c>
      <c r="AD19" s="406">
        <f t="shared" si="16"/>
        <v>0.77110356464338203</v>
      </c>
      <c r="AE19" s="406">
        <f t="shared" si="17"/>
        <v>5.9460070740573051E-3</v>
      </c>
      <c r="AF19" s="406">
        <f t="shared" si="18"/>
        <v>1.887186139044068E-2</v>
      </c>
      <c r="AG19" s="406">
        <f t="shared" si="19"/>
        <v>2.4841501703675627E-2</v>
      </c>
      <c r="AH19" s="406">
        <f t="shared" si="20"/>
        <v>0</v>
      </c>
      <c r="AI19">
        <f t="shared" si="21"/>
        <v>0</v>
      </c>
      <c r="AJ19" s="407">
        <f t="shared" si="22"/>
        <v>0.49761156000000001</v>
      </c>
      <c r="AK19">
        <f t="shared" si="23"/>
        <v>0.06</v>
      </c>
      <c r="AL19" s="407">
        <f t="shared" si="24"/>
        <v>4.0337999999999999E-2</v>
      </c>
      <c r="AM19" s="407">
        <f t="shared" si="25"/>
        <v>0.13814789189189189</v>
      </c>
      <c r="AN19" s="407">
        <f t="shared" si="42"/>
        <v>0.100338</v>
      </c>
      <c r="AO19" s="407">
        <f t="shared" si="26"/>
        <v>0.87965186885556412</v>
      </c>
      <c r="AP19">
        <f t="shared" si="27"/>
        <v>6.3</v>
      </c>
      <c r="AQ19" s="10">
        <f t="shared" si="43"/>
        <v>0.8774798715977602</v>
      </c>
      <c r="AR19" s="63">
        <f t="shared" si="28"/>
        <v>3.0306006723336809</v>
      </c>
      <c r="AS19" s="63">
        <f t="shared" si="44"/>
        <v>0.99366006814702512</v>
      </c>
      <c r="AT19" s="10"/>
      <c r="AU19">
        <f t="shared" si="45"/>
        <v>87.747987159776017</v>
      </c>
      <c r="BC19" t="s">
        <v>234</v>
      </c>
      <c r="BE19" s="28"/>
      <c r="BF19" s="29"/>
    </row>
    <row r="20" spans="1:69" x14ac:dyDescent="0.2">
      <c r="A20" s="45" t="s">
        <v>155</v>
      </c>
      <c r="B20" s="49">
        <f>Ltc*1000000</f>
        <v>4000</v>
      </c>
      <c r="C20" s="418" t="s">
        <v>154</v>
      </c>
      <c r="D20" s="31" t="s">
        <v>176</v>
      </c>
      <c r="G20">
        <v>11</v>
      </c>
      <c r="H20">
        <f t="shared" si="0"/>
        <v>0.495</v>
      </c>
      <c r="I20" s="406">
        <f t="shared" si="1"/>
        <v>0.46716993543192092</v>
      </c>
      <c r="J20" s="407">
        <f t="shared" si="2"/>
        <v>3.3109137876110624</v>
      </c>
      <c r="K20" s="407">
        <f t="shared" si="31"/>
        <v>2.1504568938055311</v>
      </c>
      <c r="L20" s="407">
        <f t="shared" si="32"/>
        <v>-1.1604568938055313</v>
      </c>
      <c r="M20" s="63">
        <f t="shared" si="3"/>
        <v>30</v>
      </c>
      <c r="N20" s="406">
        <f t="shared" si="4"/>
        <v>1.0763538029304085</v>
      </c>
      <c r="O20" s="406">
        <f t="shared" si="5"/>
        <v>1.0195961673172605E-3</v>
      </c>
      <c r="P20">
        <f t="shared" si="6"/>
        <v>0.2</v>
      </c>
      <c r="Q20" s="406">
        <f t="shared" si="34"/>
        <v>0.20101959616731727</v>
      </c>
      <c r="R20" s="9">
        <f t="shared" si="39"/>
        <v>0.95577848327044523</v>
      </c>
      <c r="S20" s="9">
        <f t="shared" si="7"/>
        <v>2.557835025431708E-4</v>
      </c>
      <c r="T20" s="9">
        <f t="shared" si="40"/>
        <v>2.557835025431708E-4</v>
      </c>
      <c r="U20" s="406">
        <f t="shared" si="8"/>
        <v>0.73568600184701627</v>
      </c>
      <c r="V20" s="408">
        <f t="shared" si="9"/>
        <v>5.41233893313648E-4</v>
      </c>
      <c r="W20" s="406">
        <f t="shared" si="41"/>
        <v>5.41233893313648E-4</v>
      </c>
      <c r="X20" s="406">
        <f t="shared" si="10"/>
        <v>0.73568600184701627</v>
      </c>
      <c r="Y20" s="406">
        <f t="shared" si="11"/>
        <v>2.8144162452309697E-2</v>
      </c>
      <c r="Z20" s="406">
        <f t="shared" si="12"/>
        <v>1.8452905185984199E-2</v>
      </c>
      <c r="AA20" s="406">
        <f t="shared" si="13"/>
        <v>0</v>
      </c>
      <c r="AB20" s="406">
        <f t="shared" si="14"/>
        <v>9.2465205298424731E-3</v>
      </c>
      <c r="AC20" s="406">
        <f t="shared" si="15"/>
        <v>5.6191510025186041E-2</v>
      </c>
      <c r="AD20" s="406">
        <f t="shared" si="16"/>
        <v>0.78568671604469975</v>
      </c>
      <c r="AE20" s="406">
        <f t="shared" si="17"/>
        <v>6.1730361576910467E-3</v>
      </c>
      <c r="AF20" s="406">
        <f t="shared" si="18"/>
        <v>1.9276695596072778E-2</v>
      </c>
      <c r="AG20" s="406">
        <f t="shared" si="19"/>
        <v>2.5474892943404295E-2</v>
      </c>
      <c r="AH20" s="406">
        <f t="shared" si="20"/>
        <v>0</v>
      </c>
      <c r="AI20">
        <f t="shared" si="21"/>
        <v>0</v>
      </c>
      <c r="AJ20" s="407">
        <f t="shared" si="22"/>
        <v>0.49757271600000003</v>
      </c>
      <c r="AK20">
        <f t="shared" si="23"/>
        <v>0.06</v>
      </c>
      <c r="AL20" s="407">
        <f t="shared" si="24"/>
        <v>4.0337999999999999E-2</v>
      </c>
      <c r="AM20" s="407">
        <f t="shared" si="25"/>
        <v>0.13814789189189189</v>
      </c>
      <c r="AN20" s="407">
        <f t="shared" si="42"/>
        <v>0.100338</v>
      </c>
      <c r="AO20" s="407">
        <f t="shared" si="26"/>
        <v>0.88139373253176445</v>
      </c>
      <c r="AP20">
        <f t="shared" si="27"/>
        <v>6.93</v>
      </c>
      <c r="AQ20" s="10">
        <f t="shared" si="43"/>
        <v>0.88716562463609239</v>
      </c>
      <c r="AR20" s="63">
        <f t="shared" si="28"/>
        <v>3.0905330513852323</v>
      </c>
      <c r="AS20" s="63">
        <f t="shared" si="44"/>
        <v>1.0189957177361717</v>
      </c>
      <c r="AT20" s="10"/>
      <c r="AU20">
        <f t="shared" si="45"/>
        <v>88.716562463609236</v>
      </c>
      <c r="BE20" s="28"/>
      <c r="BF20" s="29"/>
    </row>
    <row r="21" spans="1:69" x14ac:dyDescent="0.2">
      <c r="A21" s="35" t="s">
        <v>250</v>
      </c>
      <c r="B21" s="49">
        <f>ThetaCa</f>
        <v>20</v>
      </c>
      <c r="C21" s="418" t="s">
        <v>712</v>
      </c>
      <c r="D21" s="36" t="s">
        <v>251</v>
      </c>
      <c r="G21">
        <v>12</v>
      </c>
      <c r="H21">
        <f t="shared" si="0"/>
        <v>0.54</v>
      </c>
      <c r="I21" s="406">
        <f t="shared" si="1"/>
        <v>0.46721572175231141</v>
      </c>
      <c r="J21" s="407">
        <f t="shared" si="2"/>
        <v>3.3112382831489113</v>
      </c>
      <c r="K21" s="407">
        <f t="shared" si="31"/>
        <v>2.1956191415744559</v>
      </c>
      <c r="L21" s="407">
        <f t="shared" si="32"/>
        <v>-1.1156191415744556</v>
      </c>
      <c r="M21" s="63">
        <f t="shared" si="3"/>
        <v>30</v>
      </c>
      <c r="N21" s="406">
        <f t="shared" si="4"/>
        <v>1.0978577233181199</v>
      </c>
      <c r="O21" s="406">
        <f t="shared" si="5"/>
        <v>1.0607465980009777E-3</v>
      </c>
      <c r="P21">
        <f t="shared" si="6"/>
        <v>0.2</v>
      </c>
      <c r="Q21" s="406">
        <f t="shared" si="34"/>
        <v>0.20106074659800099</v>
      </c>
      <c r="R21" s="9">
        <f t="shared" si="39"/>
        <v>0.95587215706350914</v>
      </c>
      <c r="S21" s="9">
        <f t="shared" si="7"/>
        <v>2.558336425817889E-4</v>
      </c>
      <c r="T21" s="9">
        <f t="shared" si="40"/>
        <v>2.558336425817889E-4</v>
      </c>
      <c r="U21" s="406">
        <f t="shared" si="8"/>
        <v>0.75042066587682776</v>
      </c>
      <c r="V21" s="408">
        <f t="shared" si="9"/>
        <v>5.6313117577502163E-4</v>
      </c>
      <c r="W21" s="406">
        <f t="shared" si="41"/>
        <v>5.6313117577502163E-4</v>
      </c>
      <c r="X21" s="406">
        <f t="shared" si="10"/>
        <v>0.75042066587682776</v>
      </c>
      <c r="Y21" s="406">
        <f t="shared" si="11"/>
        <v>2.9282821140301122E-2</v>
      </c>
      <c r="Z21" s="406">
        <f t="shared" si="12"/>
        <v>1.8840438960070285E-2</v>
      </c>
      <c r="AA21" s="406">
        <f t="shared" si="13"/>
        <v>0</v>
      </c>
      <c r="AB21" s="406">
        <f t="shared" si="14"/>
        <v>8.8892533200652622E-3</v>
      </c>
      <c r="AC21" s="406">
        <f t="shared" si="15"/>
        <v>5.7382182098946272E-2</v>
      </c>
      <c r="AD21" s="406">
        <f t="shared" si="16"/>
        <v>0.80134911547603527</v>
      </c>
      <c r="AE21" s="406">
        <f t="shared" si="17"/>
        <v>6.4216040487422412E-3</v>
      </c>
      <c r="AF21" s="406">
        <f t="shared" si="18"/>
        <v>1.9681529985073418E-2</v>
      </c>
      <c r="AG21" s="406">
        <f t="shared" si="19"/>
        <v>2.6129981456970482E-2</v>
      </c>
      <c r="AH21" s="406">
        <f t="shared" si="20"/>
        <v>0</v>
      </c>
      <c r="AI21">
        <f t="shared" si="21"/>
        <v>0</v>
      </c>
      <c r="AJ21" s="407">
        <f t="shared" si="22"/>
        <v>0.49753387200000004</v>
      </c>
      <c r="AK21">
        <f t="shared" si="23"/>
        <v>0.06</v>
      </c>
      <c r="AL21" s="407">
        <f t="shared" si="24"/>
        <v>4.0337999999999999E-2</v>
      </c>
      <c r="AM21" s="407">
        <f t="shared" si="25"/>
        <v>0.13814789189189189</v>
      </c>
      <c r="AN21" s="407">
        <f t="shared" si="42"/>
        <v>0.100338</v>
      </c>
      <c r="AO21" s="407">
        <f t="shared" si="26"/>
        <v>0.88326374697227461</v>
      </c>
      <c r="AP21">
        <f t="shared" si="27"/>
        <v>7.5600000000000005</v>
      </c>
      <c r="AQ21" s="10">
        <f t="shared" si="43"/>
        <v>0.89538835059025501</v>
      </c>
      <c r="AR21" s="63">
        <f t="shared" si="28"/>
        <v>3.1560200154420448</v>
      </c>
      <c r="AS21" s="63">
        <f t="shared" si="44"/>
        <v>1.0451992582788192</v>
      </c>
      <c r="AT21" s="10"/>
      <c r="AU21">
        <f t="shared" si="45"/>
        <v>89.538835059025502</v>
      </c>
      <c r="BE21" s="28"/>
      <c r="BF21" s="29"/>
    </row>
    <row r="22" spans="1:69" x14ac:dyDescent="0.2">
      <c r="A22" s="46" t="s">
        <v>127</v>
      </c>
      <c r="B22" s="49">
        <f>Cin*1000000</f>
        <v>30</v>
      </c>
      <c r="C22" s="419" t="s">
        <v>30</v>
      </c>
      <c r="D22" s="31" t="s">
        <v>177</v>
      </c>
      <c r="G22">
        <v>13</v>
      </c>
      <c r="H22">
        <f t="shared" si="0"/>
        <v>0.58499999999999996</v>
      </c>
      <c r="I22" s="406">
        <f t="shared" si="1"/>
        <v>0.46726151384650699</v>
      </c>
      <c r="J22" s="407">
        <f t="shared" si="2"/>
        <v>3.3115628196067113</v>
      </c>
      <c r="K22" s="407">
        <f t="shared" si="31"/>
        <v>2.2407814098033558</v>
      </c>
      <c r="L22" s="407">
        <f t="shared" si="32"/>
        <v>-1.0707814098033557</v>
      </c>
      <c r="M22" s="63">
        <f t="shared" si="3"/>
        <v>30</v>
      </c>
      <c r="N22" s="406">
        <f t="shared" si="4"/>
        <v>1.1207567498570461</v>
      </c>
      <c r="O22" s="406">
        <f t="shared" si="5"/>
        <v>1.1054619643153189E-3</v>
      </c>
      <c r="P22">
        <f t="shared" si="6"/>
        <v>0.2</v>
      </c>
      <c r="Q22" s="406">
        <f t="shared" si="34"/>
        <v>0.20110546196431534</v>
      </c>
      <c r="R22" s="9">
        <f t="shared" si="39"/>
        <v>0.95596584266914553</v>
      </c>
      <c r="S22" s="9">
        <f t="shared" si="7"/>
        <v>2.5588379385803632E-4</v>
      </c>
      <c r="T22" s="9">
        <f t="shared" si="40"/>
        <v>2.5588379385803632E-4</v>
      </c>
      <c r="U22" s="406">
        <f t="shared" si="8"/>
        <v>0.7661104194198104</v>
      </c>
      <c r="V22" s="408">
        <f t="shared" si="9"/>
        <v>5.8692517474359782E-4</v>
      </c>
      <c r="W22" s="406">
        <f t="shared" si="41"/>
        <v>5.8692517474359782E-4</v>
      </c>
      <c r="X22" s="406">
        <f t="shared" si="10"/>
        <v>0.7661104194198104</v>
      </c>
      <c r="Y22" s="406">
        <f t="shared" si="11"/>
        <v>3.0520109086667087E-2</v>
      </c>
      <c r="Z22" s="406">
        <f t="shared" si="12"/>
        <v>1.9227972909721842E-2</v>
      </c>
      <c r="AA22" s="406">
        <f t="shared" si="13"/>
        <v>0</v>
      </c>
      <c r="AB22" s="406">
        <f t="shared" si="14"/>
        <v>8.5319862733131378E-3</v>
      </c>
      <c r="AC22" s="406">
        <f t="shared" si="15"/>
        <v>5.8674030588809552E-2</v>
      </c>
      <c r="AD22" s="406">
        <f t="shared" si="16"/>
        <v>0.81802843325066132</v>
      </c>
      <c r="AE22" s="406">
        <f t="shared" si="17"/>
        <v>6.6917051760653169E-3</v>
      </c>
      <c r="AF22" s="406">
        <f t="shared" si="18"/>
        <v>2.0086364557477279E-2</v>
      </c>
      <c r="AG22" s="406">
        <f t="shared" si="19"/>
        <v>2.6806771014879213E-2</v>
      </c>
      <c r="AH22" s="406">
        <f t="shared" si="20"/>
        <v>0</v>
      </c>
      <c r="AI22">
        <f t="shared" si="21"/>
        <v>0</v>
      </c>
      <c r="AJ22" s="407">
        <f t="shared" si="22"/>
        <v>0.49749502800000001</v>
      </c>
      <c r="AK22">
        <f t="shared" si="23"/>
        <v>0.06</v>
      </c>
      <c r="AL22" s="407">
        <f t="shared" si="24"/>
        <v>4.0337999999999999E-2</v>
      </c>
      <c r="AM22" s="407">
        <f t="shared" si="25"/>
        <v>0.13814789189189189</v>
      </c>
      <c r="AN22" s="407">
        <f t="shared" si="42"/>
        <v>0.100338</v>
      </c>
      <c r="AO22" s="407">
        <f t="shared" si="26"/>
        <v>0.8852621005366057</v>
      </c>
      <c r="AP22">
        <f t="shared" si="27"/>
        <v>8.19</v>
      </c>
      <c r="AQ22" s="10">
        <f t="shared" si="43"/>
        <v>0.90245327454682966</v>
      </c>
      <c r="AR22" s="63">
        <f t="shared" si="28"/>
        <v>3.2270716823845254</v>
      </c>
      <c r="AS22" s="63">
        <f t="shared" si="44"/>
        <v>1.0722708405951684</v>
      </c>
      <c r="AT22" s="10"/>
      <c r="AU22">
        <f t="shared" si="45"/>
        <v>90.245327454682965</v>
      </c>
      <c r="BE22" s="28"/>
      <c r="BF22" s="29"/>
    </row>
    <row r="23" spans="1:69" x14ac:dyDescent="0.2">
      <c r="A23" s="46" t="s">
        <v>159</v>
      </c>
      <c r="B23" s="49">
        <f>RCinEsr*1000</f>
        <v>1</v>
      </c>
      <c r="C23" s="416" t="s">
        <v>613</v>
      </c>
      <c r="D23" s="31" t="s">
        <v>178</v>
      </c>
      <c r="G23">
        <v>14</v>
      </c>
      <c r="H23">
        <f t="shared" si="0"/>
        <v>0.63000000000000012</v>
      </c>
      <c r="I23" s="406">
        <f t="shared" si="1"/>
        <v>0.4673073117155998</v>
      </c>
      <c r="J23" s="407">
        <f t="shared" si="2"/>
        <v>3.3118873969922027</v>
      </c>
      <c r="K23" s="407">
        <f t="shared" si="31"/>
        <v>2.2859436984961015</v>
      </c>
      <c r="L23" s="407">
        <f t="shared" si="32"/>
        <v>-1.0259436984961012</v>
      </c>
      <c r="M23" s="63">
        <f t="shared" si="3"/>
        <v>30</v>
      </c>
      <c r="N23" s="406">
        <f t="shared" si="4"/>
        <v>1.144967180401393</v>
      </c>
      <c r="O23" s="406">
        <f t="shared" si="5"/>
        <v>1.1537423427762114E-3</v>
      </c>
      <c r="P23">
        <f t="shared" si="6"/>
        <v>0.2</v>
      </c>
      <c r="Q23" s="406">
        <f t="shared" si="34"/>
        <v>0.20115374234277622</v>
      </c>
      <c r="R23" s="9">
        <f t="shared" si="39"/>
        <v>0.9560595400895886</v>
      </c>
      <c r="S23" s="9">
        <f t="shared" si="7"/>
        <v>2.5593395637496839E-4</v>
      </c>
      <c r="T23" s="9">
        <f t="shared" si="40"/>
        <v>2.5593395637496839E-4</v>
      </c>
      <c r="U23" s="406">
        <f t="shared" si="8"/>
        <v>0.78269818415872472</v>
      </c>
      <c r="V23" s="408">
        <f t="shared" si="9"/>
        <v>6.1261644748536492E-4</v>
      </c>
      <c r="W23" s="406">
        <f t="shared" si="41"/>
        <v>6.1261644748536492E-4</v>
      </c>
      <c r="X23" s="406">
        <f t="shared" si="10"/>
        <v>0.78269818415872472</v>
      </c>
      <c r="Y23" s="406">
        <f t="shared" si="11"/>
        <v>3.1856055269238973E-2</v>
      </c>
      <c r="Z23" s="406">
        <f t="shared" si="12"/>
        <v>1.9615507034972089E-2</v>
      </c>
      <c r="AA23" s="406">
        <f t="shared" si="13"/>
        <v>0</v>
      </c>
      <c r="AB23" s="406">
        <f t="shared" si="14"/>
        <v>8.1747193896169329E-3</v>
      </c>
      <c r="AC23" s="406">
        <f t="shared" si="15"/>
        <v>6.0067252954425249E-2</v>
      </c>
      <c r="AD23" s="406">
        <f t="shared" si="16"/>
        <v>0.83566344703531892</v>
      </c>
      <c r="AE23" s="406">
        <f t="shared" si="17"/>
        <v>6.9833339671095127E-3</v>
      </c>
      <c r="AF23" s="406">
        <f t="shared" si="18"/>
        <v>2.0491199313319049E-2</v>
      </c>
      <c r="AG23" s="406">
        <f t="shared" si="19"/>
        <v>2.7505265833575758E-2</v>
      </c>
      <c r="AH23" s="406">
        <f t="shared" si="20"/>
        <v>0</v>
      </c>
      <c r="AI23">
        <f t="shared" si="21"/>
        <v>0</v>
      </c>
      <c r="AJ23" s="407">
        <f t="shared" si="22"/>
        <v>0.49745618400000002</v>
      </c>
      <c r="AK23">
        <f t="shared" si="23"/>
        <v>0.06</v>
      </c>
      <c r="AL23" s="407">
        <f t="shared" si="24"/>
        <v>4.0337999999999999E-2</v>
      </c>
      <c r="AM23" s="407">
        <f t="shared" si="25"/>
        <v>0.13814789189189189</v>
      </c>
      <c r="AN23" s="407">
        <f t="shared" si="42"/>
        <v>0.100338</v>
      </c>
      <c r="AO23" s="407">
        <f t="shared" si="26"/>
        <v>0.88738899553463757</v>
      </c>
      <c r="AP23">
        <f t="shared" si="27"/>
        <v>8.8200000000000021</v>
      </c>
      <c r="AQ23" s="10">
        <f t="shared" si="43"/>
        <v>0.90858623302900166</v>
      </c>
      <c r="AR23" s="63">
        <f t="shared" si="28"/>
        <v>3.3036989124933887</v>
      </c>
      <c r="AS23" s="63">
        <f t="shared" si="44"/>
        <v>1.1002106333430304</v>
      </c>
      <c r="AT23" s="10"/>
      <c r="AU23">
        <f t="shared" si="45"/>
        <v>90.85862330290017</v>
      </c>
      <c r="BE23" s="28"/>
      <c r="BF23" s="29"/>
    </row>
    <row r="24" spans="1:69" x14ac:dyDescent="0.2">
      <c r="A24" s="45" t="s">
        <v>36</v>
      </c>
      <c r="B24" s="49">
        <f>Cout*1000000</f>
        <v>70</v>
      </c>
      <c r="C24" s="418" t="s">
        <v>30</v>
      </c>
      <c r="D24" s="31" t="s">
        <v>199</v>
      </c>
      <c r="G24">
        <v>15</v>
      </c>
      <c r="H24">
        <f t="shared" si="0"/>
        <v>0.67499999999999993</v>
      </c>
      <c r="I24" s="406">
        <f t="shared" si="1"/>
        <v>0.46735311536068253</v>
      </c>
      <c r="J24" s="407">
        <f t="shared" si="2"/>
        <v>3.3122120153131291</v>
      </c>
      <c r="K24" s="407">
        <f t="shared" si="31"/>
        <v>2.3311060076565644</v>
      </c>
      <c r="L24" s="407">
        <f t="shared" si="32"/>
        <v>-0.98110600765656464</v>
      </c>
      <c r="M24" s="63">
        <f t="shared" si="3"/>
        <v>30</v>
      </c>
      <c r="N24" s="406">
        <f t="shared" si="4"/>
        <v>1.17040763676538</v>
      </c>
      <c r="O24" s="406">
        <f t="shared" si="5"/>
        <v>1.2055878160001109E-3</v>
      </c>
      <c r="P24">
        <f t="shared" si="6"/>
        <v>0.2</v>
      </c>
      <c r="Q24" s="406">
        <f t="shared" si="34"/>
        <v>0.20120558781600012</v>
      </c>
      <c r="R24" s="9">
        <f t="shared" si="39"/>
        <v>0.95615324932707402</v>
      </c>
      <c r="S24" s="9">
        <f t="shared" si="7"/>
        <v>2.5598413013564212E-4</v>
      </c>
      <c r="T24" s="9">
        <f t="shared" si="40"/>
        <v>2.5598413013564212E-4</v>
      </c>
      <c r="U24" s="406">
        <f t="shared" si="8"/>
        <v>0.80012845931567622</v>
      </c>
      <c r="V24" s="408">
        <f t="shared" si="9"/>
        <v>6.4020555140687776E-4</v>
      </c>
      <c r="W24" s="406">
        <f t="shared" si="41"/>
        <v>6.4020555140687776E-4</v>
      </c>
      <c r="X24" s="406">
        <f t="shared" si="10"/>
        <v>0.80012845931567622</v>
      </c>
      <c r="Y24" s="406">
        <f t="shared" si="11"/>
        <v>3.329068867315764E-2</v>
      </c>
      <c r="Z24" s="406">
        <f t="shared" si="12"/>
        <v>2.0003041335854236E-2</v>
      </c>
      <c r="AA24" s="406">
        <f t="shared" si="13"/>
        <v>0</v>
      </c>
      <c r="AB24" s="406">
        <f t="shared" si="14"/>
        <v>7.8174526690075064E-3</v>
      </c>
      <c r="AC24" s="406">
        <f t="shared" si="15"/>
        <v>6.1562060221822416E-2</v>
      </c>
      <c r="AD24" s="406">
        <f t="shared" si="16"/>
        <v>0.85419464104608145</v>
      </c>
      <c r="AE24" s="406">
        <f t="shared" si="17"/>
        <v>7.2964848479184401E-3</v>
      </c>
      <c r="AF24" s="406">
        <f t="shared" si="18"/>
        <v>2.0896034252633439E-2</v>
      </c>
      <c r="AG24" s="406">
        <f t="shared" si="19"/>
        <v>2.822547057549259E-2</v>
      </c>
      <c r="AH24" s="406">
        <f t="shared" si="20"/>
        <v>0</v>
      </c>
      <c r="AI24">
        <f t="shared" si="21"/>
        <v>0</v>
      </c>
      <c r="AJ24" s="407">
        <f t="shared" si="22"/>
        <v>0.49741733999999999</v>
      </c>
      <c r="AK24">
        <f t="shared" si="23"/>
        <v>0.06</v>
      </c>
      <c r="AL24" s="407">
        <f t="shared" si="24"/>
        <v>4.0337999999999999E-2</v>
      </c>
      <c r="AM24" s="407">
        <f t="shared" si="25"/>
        <v>0.13814789189189189</v>
      </c>
      <c r="AN24" s="407">
        <f t="shared" si="42"/>
        <v>0.100338</v>
      </c>
      <c r="AO24" s="407">
        <f t="shared" si="26"/>
        <v>0.88964464829485768</v>
      </c>
      <c r="AP24">
        <f t="shared" si="27"/>
        <v>9.4499999999999993</v>
      </c>
      <c r="AQ24" s="10">
        <f t="shared" si="43"/>
        <v>0.91395790875254379</v>
      </c>
      <c r="AR24" s="63">
        <f t="shared" si="28"/>
        <v>3.3859133122002327</v>
      </c>
      <c r="AS24" s="63">
        <f t="shared" si="44"/>
        <v>1.1290188230197036</v>
      </c>
      <c r="AT24" s="10"/>
      <c r="AU24">
        <f t="shared" si="45"/>
        <v>91.395790875254377</v>
      </c>
      <c r="BE24" s="28"/>
      <c r="BF24" s="29"/>
    </row>
    <row r="25" spans="1:69" x14ac:dyDescent="0.2">
      <c r="A25" s="45" t="s">
        <v>158</v>
      </c>
      <c r="B25" s="50">
        <f>CoutEsr*1000</f>
        <v>0.28000000000000003</v>
      </c>
      <c r="C25" s="416" t="s">
        <v>613</v>
      </c>
      <c r="D25" s="31" t="s">
        <v>200</v>
      </c>
      <c r="G25">
        <v>16</v>
      </c>
      <c r="H25">
        <f t="shared" si="0"/>
        <v>0.72</v>
      </c>
      <c r="I25" s="406">
        <f t="shared" si="1"/>
        <v>0.46739892478284778</v>
      </c>
      <c r="J25" s="407">
        <f t="shared" si="2"/>
        <v>3.3125366745772342</v>
      </c>
      <c r="K25" s="407">
        <f t="shared" si="31"/>
        <v>2.3762683372886171</v>
      </c>
      <c r="L25" s="407">
        <f t="shared" si="32"/>
        <v>-0.93626833728861714</v>
      </c>
      <c r="M25" s="63">
        <f t="shared" si="3"/>
        <v>28.852645216906545</v>
      </c>
      <c r="N25" s="406">
        <f t="shared" si="4"/>
        <v>1.196999694389379</v>
      </c>
      <c r="O25" s="406">
        <f t="shared" si="5"/>
        <v>1.2609984727043565E-3</v>
      </c>
      <c r="P25">
        <f t="shared" si="6"/>
        <v>0.2</v>
      </c>
      <c r="Q25" s="406">
        <f t="shared" si="34"/>
        <v>0.20126099847270437</v>
      </c>
      <c r="R25" s="9">
        <f t="shared" si="39"/>
        <v>0.95624697038383699</v>
      </c>
      <c r="S25" s="9">
        <f t="shared" si="7"/>
        <v>2.5603431514311476E-4</v>
      </c>
      <c r="T25" s="9">
        <f t="shared" si="40"/>
        <v>2.5603431514311476E-4</v>
      </c>
      <c r="U25" s="406">
        <f t="shared" si="8"/>
        <v>0.81834775252046854</v>
      </c>
      <c r="V25" s="408">
        <f t="shared" si="9"/>
        <v>6.6969304405530212E-4</v>
      </c>
      <c r="W25" s="406">
        <f t="shared" si="41"/>
        <v>6.6969304405530212E-4</v>
      </c>
      <c r="X25" s="406">
        <f t="shared" si="10"/>
        <v>0.81834775252046854</v>
      </c>
      <c r="Y25" s="406">
        <f t="shared" si="11"/>
        <v>3.4824038290875707E-2</v>
      </c>
      <c r="Z25" s="406">
        <f t="shared" si="12"/>
        <v>2.0390575812401526E-2</v>
      </c>
      <c r="AA25" s="406">
        <f t="shared" si="13"/>
        <v>7.5067688624878117E-3</v>
      </c>
      <c r="AB25" s="406">
        <f t="shared" si="14"/>
        <v>7.4601861115157009E-3</v>
      </c>
      <c r="AC25" s="406">
        <f t="shared" si="15"/>
        <v>7.0723401454146767E-2</v>
      </c>
      <c r="AD25" s="406">
        <f t="shared" si="16"/>
        <v>0.87356466521544063</v>
      </c>
      <c r="AE25" s="406">
        <f t="shared" si="17"/>
        <v>7.6311522431296488E-3</v>
      </c>
      <c r="AF25" s="406">
        <f t="shared" si="18"/>
        <v>2.130086937545516E-2</v>
      </c>
      <c r="AG25" s="406">
        <f t="shared" si="19"/>
        <v>2.8967390349119257E-2</v>
      </c>
      <c r="AH25" s="406">
        <f t="shared" si="20"/>
        <v>0</v>
      </c>
      <c r="AI25">
        <f t="shared" si="21"/>
        <v>0</v>
      </c>
      <c r="AJ25" s="407">
        <f t="shared" si="22"/>
        <v>0.497378496</v>
      </c>
      <c r="AK25">
        <f t="shared" si="23"/>
        <v>0.06</v>
      </c>
      <c r="AL25" s="407">
        <f t="shared" si="24"/>
        <v>4.0337999999999999E-2</v>
      </c>
      <c r="AM25" s="407">
        <f t="shared" si="25"/>
        <v>0.13814789189189189</v>
      </c>
      <c r="AN25" s="407">
        <f t="shared" si="42"/>
        <v>0.100338</v>
      </c>
      <c r="AO25" s="407">
        <f t="shared" si="26"/>
        <v>0.89959401363516878</v>
      </c>
      <c r="AP25">
        <f t="shared" si="27"/>
        <v>10.08</v>
      </c>
      <c r="AQ25" s="10">
        <f t="shared" si="43"/>
        <v>0.91806673247499004</v>
      </c>
      <c r="AR25" s="63">
        <f t="shared" si="28"/>
        <v>3.8897870799780723</v>
      </c>
      <c r="AS25" s="63">
        <f t="shared" si="44"/>
        <v>1.1586956139647704</v>
      </c>
      <c r="AT25" s="10"/>
      <c r="AU25">
        <f t="shared" si="45"/>
        <v>91.806673247499006</v>
      </c>
      <c r="BC25" t="s">
        <v>240</v>
      </c>
      <c r="BD25" t="s">
        <v>4</v>
      </c>
      <c r="BE25" t="s">
        <v>6</v>
      </c>
      <c r="BF25" t="s">
        <v>5</v>
      </c>
      <c r="BG25" t="s">
        <v>241</v>
      </c>
      <c r="BH25" t="s">
        <v>242</v>
      </c>
    </row>
    <row r="26" spans="1:69" x14ac:dyDescent="0.2">
      <c r="A26" s="34" t="s">
        <v>202</v>
      </c>
      <c r="B26" s="47" t="s">
        <v>201</v>
      </c>
      <c r="C26" s="34" t="s">
        <v>148</v>
      </c>
      <c r="D26" s="27" t="s">
        <v>188</v>
      </c>
      <c r="G26">
        <v>17</v>
      </c>
      <c r="H26">
        <f t="shared" si="0"/>
        <v>0.76500000000000001</v>
      </c>
      <c r="I26" s="406">
        <f t="shared" si="1"/>
        <v>0.46744473998318864</v>
      </c>
      <c r="J26" s="407">
        <f t="shared" si="2"/>
        <v>3.3128613747922651</v>
      </c>
      <c r="K26" s="407">
        <f t="shared" si="31"/>
        <v>2.4214306873961324</v>
      </c>
      <c r="L26" s="407">
        <f t="shared" si="32"/>
        <v>-0.89143068739613252</v>
      </c>
      <c r="M26" s="63">
        <f t="shared" si="3"/>
        <v>27.47089945750794</v>
      </c>
      <c r="N26" s="406">
        <f t="shared" si="4"/>
        <v>1.2246683390681228</v>
      </c>
      <c r="O26" s="406">
        <f t="shared" si="5"/>
        <v>1.3199744077075448E-3</v>
      </c>
      <c r="P26">
        <f t="shared" si="6"/>
        <v>0.2</v>
      </c>
      <c r="Q26" s="406">
        <f t="shared" si="34"/>
        <v>0.20131997440770755</v>
      </c>
      <c r="R26" s="9">
        <f t="shared" si="39"/>
        <v>0.95634070326211407</v>
      </c>
      <c r="S26" s="9">
        <f t="shared" si="7"/>
        <v>2.56084511400445E-4</v>
      </c>
      <c r="T26" s="9">
        <f t="shared" si="40"/>
        <v>2.56084511400445E-4</v>
      </c>
      <c r="U26" s="406">
        <f t="shared" si="8"/>
        <v>0.83730489256808815</v>
      </c>
      <c r="V26" s="408">
        <f t="shared" si="9"/>
        <v>7.0107948311845774E-4</v>
      </c>
      <c r="W26" s="406">
        <f t="shared" si="41"/>
        <v>7.0107948311845774E-4</v>
      </c>
      <c r="X26" s="406">
        <f t="shared" si="10"/>
        <v>0.83730489256808815</v>
      </c>
      <c r="Y26" s="406">
        <f t="shared" si="11"/>
        <v>3.6456133122159798E-2</v>
      </c>
      <c r="Z26" s="406">
        <f t="shared" si="12"/>
        <v>2.0778110464647184E-2</v>
      </c>
      <c r="AA26" s="406">
        <f t="shared" si="13"/>
        <v>1.6250650854876821E-2</v>
      </c>
      <c r="AB26" s="406">
        <f t="shared" si="14"/>
        <v>7.1029197171723832E-3</v>
      </c>
      <c r="AC26" s="406">
        <f t="shared" si="15"/>
        <v>8.1239382381405059E-2</v>
      </c>
      <c r="AD26" s="406">
        <f t="shared" si="16"/>
        <v>0.89371866803676925</v>
      </c>
      <c r="AE26" s="406">
        <f t="shared" si="17"/>
        <v>7.9873305759741702E-3</v>
      </c>
      <c r="AF26" s="406">
        <f t="shared" si="18"/>
        <v>2.1705704681818927E-2</v>
      </c>
      <c r="AG26" s="406">
        <f t="shared" si="19"/>
        <v>2.9731030709095177E-2</v>
      </c>
      <c r="AH26" s="406">
        <f t="shared" si="20"/>
        <v>0</v>
      </c>
      <c r="AI26">
        <f t="shared" si="21"/>
        <v>0</v>
      </c>
      <c r="AJ26" s="407">
        <f t="shared" si="22"/>
        <v>0.49733965200000002</v>
      </c>
      <c r="AK26">
        <f t="shared" si="23"/>
        <v>0.06</v>
      </c>
      <c r="AL26" s="407">
        <f t="shared" si="24"/>
        <v>4.0337999999999999E-2</v>
      </c>
      <c r="AM26" s="407">
        <f t="shared" si="25"/>
        <v>0.13814789189189189</v>
      </c>
      <c r="AN26" s="407">
        <f t="shared" si="42"/>
        <v>0.100338</v>
      </c>
      <c r="AO26" s="407">
        <f t="shared" si="26"/>
        <v>0.91092520349272676</v>
      </c>
      <c r="AP26">
        <f t="shared" si="27"/>
        <v>10.71</v>
      </c>
      <c r="AQ26" s="10">
        <f t="shared" si="43"/>
        <v>0.92161336661740634</v>
      </c>
      <c r="AR26" s="63">
        <f t="shared" si="28"/>
        <v>4.4681660309772786</v>
      </c>
      <c r="AS26" s="63">
        <f t="shared" si="44"/>
        <v>1.189241228363807</v>
      </c>
      <c r="AT26" s="10"/>
      <c r="AU26">
        <f t="shared" si="45"/>
        <v>92.161336661740634</v>
      </c>
      <c r="BC26" t="s">
        <v>243</v>
      </c>
      <c r="BD26">
        <v>9.9989640000000009</v>
      </c>
      <c r="BE26">
        <v>0.1027</v>
      </c>
      <c r="BF26">
        <v>5.1211359999999999</v>
      </c>
      <c r="BG26">
        <v>61.870683235325004</v>
      </c>
      <c r="BH26">
        <v>324.12365701136014</v>
      </c>
    </row>
    <row r="27" spans="1:69" x14ac:dyDescent="0.2">
      <c r="A27" s="32" t="s">
        <v>132</v>
      </c>
      <c r="B27" s="5">
        <v>1.5</v>
      </c>
      <c r="C27" s="415" t="s">
        <v>208</v>
      </c>
      <c r="D27" s="31" t="s">
        <v>204</v>
      </c>
      <c r="G27">
        <v>18</v>
      </c>
      <c r="H27">
        <f t="shared" si="0"/>
        <v>0.80999999999999994</v>
      </c>
      <c r="I27" s="406">
        <f t="shared" si="1"/>
        <v>0.46749056096279856</v>
      </c>
      <c r="J27" s="407">
        <f t="shared" si="2"/>
        <v>3.3131861159659715</v>
      </c>
      <c r="K27" s="407">
        <f t="shared" si="31"/>
        <v>2.4665930579829856</v>
      </c>
      <c r="L27" s="407">
        <f t="shared" si="32"/>
        <v>-0.84659305798298579</v>
      </c>
      <c r="M27" s="63">
        <f t="shared" si="3"/>
        <v>26.089154329213738</v>
      </c>
      <c r="N27" s="406">
        <f t="shared" si="4"/>
        <v>1.2533422729855055</v>
      </c>
      <c r="O27" s="406">
        <f t="shared" si="5"/>
        <v>1.3825157219299429E-3</v>
      </c>
      <c r="P27">
        <f t="shared" si="6"/>
        <v>0.2</v>
      </c>
      <c r="Q27" s="406">
        <f t="shared" si="34"/>
        <v>0.20138251572192994</v>
      </c>
      <c r="R27" s="9">
        <f t="shared" si="39"/>
        <v>0.95643444796414223</v>
      </c>
      <c r="S27" s="9">
        <f t="shared" si="7"/>
        <v>2.5613471891069262E-4</v>
      </c>
      <c r="T27" s="9">
        <f t="shared" si="40"/>
        <v>2.5613471891069262E-4</v>
      </c>
      <c r="U27" s="406">
        <f t="shared" si="8"/>
        <v>0.85695123923410299</v>
      </c>
      <c r="V27" s="408">
        <f t="shared" si="9"/>
        <v>7.3436542642486477E-4</v>
      </c>
      <c r="W27" s="406">
        <f t="shared" si="41"/>
        <v>7.3436542642486477E-4</v>
      </c>
      <c r="X27" s="406">
        <f t="shared" si="10"/>
        <v>0.85695123923410299</v>
      </c>
      <c r="Y27" s="406">
        <f t="shared" si="11"/>
        <v>3.8187002174092967E-2</v>
      </c>
      <c r="Z27" s="406">
        <f t="shared" si="12"/>
        <v>2.116564529262446E-2</v>
      </c>
      <c r="AA27" s="406">
        <f t="shared" si="13"/>
        <v>2.4670625856072399E-2</v>
      </c>
      <c r="AB27" s="406">
        <f t="shared" si="14"/>
        <v>6.7456534860084304E-3</v>
      </c>
      <c r="AC27" s="406">
        <f t="shared" si="15"/>
        <v>9.1537949985723954E-2</v>
      </c>
      <c r="AD27" s="406">
        <f t="shared" si="16"/>
        <v>0.91460451935664977</v>
      </c>
      <c r="AE27" s="406">
        <f t="shared" si="17"/>
        <v>8.3650142682760841E-3</v>
      </c>
      <c r="AF27" s="406">
        <f t="shared" si="18"/>
        <v>2.2110540171759476E-2</v>
      </c>
      <c r="AG27" s="406">
        <f t="shared" si="19"/>
        <v>3.0516397656325404E-2</v>
      </c>
      <c r="AH27" s="406">
        <f t="shared" si="20"/>
        <v>0</v>
      </c>
      <c r="AI27">
        <f t="shared" si="21"/>
        <v>0</v>
      </c>
      <c r="AJ27" s="407">
        <f t="shared" si="22"/>
        <v>0.49730080799999998</v>
      </c>
      <c r="AK27">
        <f t="shared" si="23"/>
        <v>0.06</v>
      </c>
      <c r="AL27" s="407">
        <f t="shared" si="24"/>
        <v>4.0337999999999999E-2</v>
      </c>
      <c r="AM27" s="407">
        <f t="shared" si="25"/>
        <v>0.13814789189189189</v>
      </c>
      <c r="AN27" s="407">
        <f t="shared" si="42"/>
        <v>0.100338</v>
      </c>
      <c r="AO27" s="407">
        <f t="shared" si="26"/>
        <v>0.92206617150931491</v>
      </c>
      <c r="AP27">
        <f t="shared" si="27"/>
        <v>11.34</v>
      </c>
      <c r="AQ27" s="10">
        <f t="shared" si="43"/>
        <v>0.92480336032994848</v>
      </c>
      <c r="AR27" s="63">
        <f t="shared" si="28"/>
        <v>5.0345872492148178</v>
      </c>
      <c r="AS27" s="63">
        <f t="shared" si="44"/>
        <v>1.2206559062530162</v>
      </c>
      <c r="AT27" s="10"/>
      <c r="AU27">
        <f t="shared" si="45"/>
        <v>92.480336032994842</v>
      </c>
      <c r="BC27" t="s">
        <v>244</v>
      </c>
      <c r="BD27">
        <v>9.9986669999999993</v>
      </c>
      <c r="BE27">
        <v>0.1166</v>
      </c>
      <c r="BF27">
        <v>5.1212980000000003</v>
      </c>
      <c r="BG27">
        <v>64.729420570558148</v>
      </c>
      <c r="BH27">
        <v>325.37886459483997</v>
      </c>
    </row>
    <row r="28" spans="1:69" x14ac:dyDescent="0.2">
      <c r="A28" s="32" t="s">
        <v>239</v>
      </c>
      <c r="B28" s="5">
        <v>0.9</v>
      </c>
      <c r="C28" s="415" t="s">
        <v>208</v>
      </c>
      <c r="D28" s="31" t="s">
        <v>205</v>
      </c>
      <c r="G28">
        <v>19</v>
      </c>
      <c r="H28">
        <f t="shared" si="0"/>
        <v>0.85499999999999998</v>
      </c>
      <c r="I28" s="406">
        <f t="shared" si="1"/>
        <v>0.46753638772277084</v>
      </c>
      <c r="J28" s="407">
        <f t="shared" si="2"/>
        <v>3.313510898106101</v>
      </c>
      <c r="K28" s="407">
        <f t="shared" si="31"/>
        <v>2.5117554490530507</v>
      </c>
      <c r="L28" s="407">
        <f t="shared" si="32"/>
        <v>-0.80175544905305052</v>
      </c>
      <c r="M28" s="63">
        <f t="shared" si="3"/>
        <v>24.707409832143316</v>
      </c>
      <c r="N28" s="406">
        <f t="shared" si="4"/>
        <v>1.2829540934846388</v>
      </c>
      <c r="O28" s="406">
        <f t="shared" si="5"/>
        <v>1.4486225223939114E-3</v>
      </c>
      <c r="P28">
        <f t="shared" si="6"/>
        <v>0.2</v>
      </c>
      <c r="Q28" s="406">
        <f t="shared" si="34"/>
        <v>0.20144862252239393</v>
      </c>
      <c r="R28" s="9">
        <f t="shared" si="39"/>
        <v>0.95652820449215803</v>
      </c>
      <c r="S28" s="9">
        <f t="shared" si="7"/>
        <v>2.5618493767691768E-4</v>
      </c>
      <c r="T28" s="9">
        <f t="shared" si="40"/>
        <v>2.5618493767691768E-4</v>
      </c>
      <c r="U28" s="406">
        <f t="shared" si="8"/>
        <v>0.87724080613237876</v>
      </c>
      <c r="V28" s="408">
        <f t="shared" si="9"/>
        <v>7.6955143194378569E-4</v>
      </c>
      <c r="W28" s="406">
        <f t="shared" si="41"/>
        <v>7.6955143194378569E-4</v>
      </c>
      <c r="X28" s="406">
        <f t="shared" si="10"/>
        <v>0.87724080613237876</v>
      </c>
      <c r="Y28" s="406">
        <f t="shared" si="11"/>
        <v>4.0016674461076852E-2</v>
      </c>
      <c r="Z28" s="406">
        <f t="shared" si="12"/>
        <v>2.1553180296366607E-2</v>
      </c>
      <c r="AA28" s="406">
        <f t="shared" si="13"/>
        <v>3.2766694309211628E-2</v>
      </c>
      <c r="AB28" s="406">
        <f t="shared" si="14"/>
        <v>6.3883874180547069E-3</v>
      </c>
      <c r="AC28" s="406">
        <f t="shared" si="15"/>
        <v>0.10161956140438101</v>
      </c>
      <c r="AD28" s="406">
        <f t="shared" si="16"/>
        <v>0.9361729402440585</v>
      </c>
      <c r="AE28" s="406">
        <f t="shared" si="17"/>
        <v>8.7641977404520552E-3</v>
      </c>
      <c r="AF28" s="406">
        <f t="shared" si="18"/>
        <v>2.251537584531154E-2</v>
      </c>
      <c r="AG28" s="406">
        <f t="shared" si="19"/>
        <v>3.1323497638119285E-2</v>
      </c>
      <c r="AH28" s="406">
        <f t="shared" si="20"/>
        <v>0</v>
      </c>
      <c r="AI28">
        <f t="shared" si="21"/>
        <v>0</v>
      </c>
      <c r="AJ28" s="407">
        <f t="shared" si="22"/>
        <v>0.497261964</v>
      </c>
      <c r="AK28">
        <f t="shared" si="23"/>
        <v>0.06</v>
      </c>
      <c r="AL28" s="407">
        <f t="shared" si="24"/>
        <v>4.0337999999999999E-2</v>
      </c>
      <c r="AM28" s="407">
        <f t="shared" si="25"/>
        <v>0.13814789189189189</v>
      </c>
      <c r="AN28" s="407">
        <f t="shared" si="42"/>
        <v>0.100338</v>
      </c>
      <c r="AO28" s="407">
        <f t="shared" si="26"/>
        <v>0.933017381934515</v>
      </c>
      <c r="AP28">
        <f t="shared" si="27"/>
        <v>11.969999999999999</v>
      </c>
      <c r="AQ28" s="10">
        <f t="shared" si="43"/>
        <v>0.92768998488362642</v>
      </c>
      <c r="AR28" s="63">
        <f t="shared" si="28"/>
        <v>5.5890758772409557</v>
      </c>
      <c r="AS28" s="63">
        <f t="shared" si="44"/>
        <v>1.2529399055247714</v>
      </c>
      <c r="AT28" s="10"/>
      <c r="AU28">
        <f t="shared" si="45"/>
        <v>92.768998488362641</v>
      </c>
      <c r="BC28" t="s">
        <v>245</v>
      </c>
      <c r="BD28">
        <v>9.9987659999999998</v>
      </c>
      <c r="BE28">
        <v>0.14660000000000001</v>
      </c>
      <c r="BF28">
        <v>5.1213230000000003</v>
      </c>
      <c r="BG28">
        <v>69.885376918691776</v>
      </c>
      <c r="BH28">
        <v>323.52446193379996</v>
      </c>
    </row>
    <row r="29" spans="1:69" x14ac:dyDescent="0.2">
      <c r="A29" s="34" t="s">
        <v>203</v>
      </c>
      <c r="B29" s="25" t="s">
        <v>201</v>
      </c>
      <c r="C29" s="34" t="s">
        <v>148</v>
      </c>
      <c r="D29" s="27" t="s">
        <v>188</v>
      </c>
      <c r="G29">
        <v>20</v>
      </c>
      <c r="H29">
        <f t="shared" si="0"/>
        <v>0.9</v>
      </c>
      <c r="I29" s="406">
        <f t="shared" si="1"/>
        <v>0.4675822202641996</v>
      </c>
      <c r="J29" s="407">
        <f t="shared" si="2"/>
        <v>3.3138357212204079</v>
      </c>
      <c r="K29" s="407">
        <f t="shared" si="31"/>
        <v>2.5569178606102039</v>
      </c>
      <c r="L29" s="407">
        <f t="shared" si="32"/>
        <v>-0.75691786061020394</v>
      </c>
      <c r="M29" s="63">
        <f t="shared" si="3"/>
        <v>23.32566596641615</v>
      </c>
      <c r="N29" s="406">
        <f t="shared" si="4"/>
        <v>1.3134403674839468</v>
      </c>
      <c r="O29" s="406">
        <f t="shared" si="5"/>
        <v>1.5182949222243708E-3</v>
      </c>
      <c r="P29">
        <f t="shared" si="6"/>
        <v>0.2</v>
      </c>
      <c r="Q29" s="406">
        <f t="shared" si="34"/>
        <v>0.20151829492222439</v>
      </c>
      <c r="R29" s="9">
        <f t="shared" si="39"/>
        <v>0.95662197284840012</v>
      </c>
      <c r="S29" s="9">
        <f t="shared" si="7"/>
        <v>2.5623516770218228E-4</v>
      </c>
      <c r="T29" s="9">
        <f t="shared" si="40"/>
        <v>2.5623516770218228E-4</v>
      </c>
      <c r="U29" s="406">
        <f t="shared" si="8"/>
        <v>0.89813031225166462</v>
      </c>
      <c r="V29" s="408">
        <f t="shared" si="9"/>
        <v>8.066380577852727E-4</v>
      </c>
      <c r="W29" s="406">
        <f t="shared" si="41"/>
        <v>8.066380577852727E-4</v>
      </c>
      <c r="X29" s="406">
        <f t="shared" si="10"/>
        <v>0.89813031225166462</v>
      </c>
      <c r="Y29" s="406">
        <f t="shared" si="11"/>
        <v>4.1945179004834174E-2</v>
      </c>
      <c r="Z29" s="406">
        <f t="shared" si="12"/>
        <v>2.1940715475906879E-2</v>
      </c>
      <c r="AA29" s="406">
        <f t="shared" si="13"/>
        <v>4.053885665754281E-2</v>
      </c>
      <c r="AB29" s="406">
        <f t="shared" si="14"/>
        <v>6.0311215133421045E-3</v>
      </c>
      <c r="AC29" s="406">
        <f t="shared" si="15"/>
        <v>0.11148464620875971</v>
      </c>
      <c r="AD29" s="406">
        <f t="shared" si="16"/>
        <v>0.95837755668165159</v>
      </c>
      <c r="AE29" s="406">
        <f t="shared" si="17"/>
        <v>9.1848754115109229E-3</v>
      </c>
      <c r="AF29" s="406">
        <f t="shared" si="18"/>
        <v>2.2920211702509862E-2</v>
      </c>
      <c r="AG29" s="406">
        <f t="shared" si="19"/>
        <v>3.2152337548352054E-2</v>
      </c>
      <c r="AH29" s="406">
        <f t="shared" si="20"/>
        <v>0</v>
      </c>
      <c r="AI29">
        <f t="shared" si="21"/>
        <v>0</v>
      </c>
      <c r="AJ29" s="407">
        <f t="shared" si="22"/>
        <v>0.49722311999999996</v>
      </c>
      <c r="AK29">
        <f t="shared" si="23"/>
        <v>0.06</v>
      </c>
      <c r="AL29" s="407">
        <f t="shared" si="24"/>
        <v>4.0337999999999999E-2</v>
      </c>
      <c r="AM29" s="407">
        <f t="shared" si="25"/>
        <v>0.13814789189189189</v>
      </c>
      <c r="AN29" s="407">
        <f t="shared" si="42"/>
        <v>0.100338</v>
      </c>
      <c r="AO29" s="407">
        <f t="shared" si="26"/>
        <v>0.94377927190482358</v>
      </c>
      <c r="AP29">
        <f t="shared" si="27"/>
        <v>12.6</v>
      </c>
      <c r="AQ29" s="10">
        <f t="shared" si="43"/>
        <v>0.93031640187295461</v>
      </c>
      <c r="AR29" s="63">
        <f t="shared" si="28"/>
        <v>6.1316555414817842</v>
      </c>
      <c r="AS29" s="63">
        <f t="shared" si="44"/>
        <v>1.2860935019340822</v>
      </c>
      <c r="AT29" s="10"/>
      <c r="AU29">
        <f t="shared" si="45"/>
        <v>93.031640187295466</v>
      </c>
      <c r="BC29" t="s">
        <v>246</v>
      </c>
      <c r="BD29">
        <v>9.9987899999999996</v>
      </c>
      <c r="BE29">
        <v>0.1958</v>
      </c>
      <c r="BF29">
        <v>5.1217600000000001</v>
      </c>
      <c r="BG29">
        <v>75.662516566515876</v>
      </c>
      <c r="BH29">
        <v>322.57199766699983</v>
      </c>
    </row>
    <row r="30" spans="1:69" x14ac:dyDescent="0.2">
      <c r="A30" s="32" t="s">
        <v>131</v>
      </c>
      <c r="B30" s="37">
        <v>1.5</v>
      </c>
      <c r="C30" s="415" t="s">
        <v>208</v>
      </c>
      <c r="D30" s="31" t="s">
        <v>204</v>
      </c>
      <c r="G30">
        <v>21</v>
      </c>
      <c r="H30">
        <f t="shared" si="0"/>
        <v>0.94499999999999995</v>
      </c>
      <c r="I30" s="406">
        <f t="shared" si="1"/>
        <v>0.4676280585881788</v>
      </c>
      <c r="J30" s="407">
        <f t="shared" si="2"/>
        <v>3.314160585316646</v>
      </c>
      <c r="K30" s="407">
        <f t="shared" si="31"/>
        <v>2.6020802926583229</v>
      </c>
      <c r="L30" s="407">
        <f t="shared" si="32"/>
        <v>-0.71208029265832307</v>
      </c>
      <c r="M30" s="63">
        <f t="shared" si="3"/>
        <v>21.943922732151712</v>
      </c>
      <c r="N30" s="406">
        <f t="shared" si="4"/>
        <v>1.3447416228054856</v>
      </c>
      <c r="O30" s="406">
        <f t="shared" si="5"/>
        <v>1.5915330406492795E-3</v>
      </c>
      <c r="P30">
        <f t="shared" si="6"/>
        <v>0.2</v>
      </c>
      <c r="Q30" s="406">
        <f t="shared" si="34"/>
        <v>0.20159153304064928</v>
      </c>
      <c r="R30" s="9">
        <f t="shared" si="39"/>
        <v>0.9567157530351067</v>
      </c>
      <c r="S30" s="9">
        <f t="shared" si="7"/>
        <v>2.562854089895488E-4</v>
      </c>
      <c r="T30" s="9">
        <f t="shared" si="40"/>
        <v>2.562854089895488E-4</v>
      </c>
      <c r="U30" s="406">
        <f t="shared" si="8"/>
        <v>0.91957917668910294</v>
      </c>
      <c r="V30" s="408">
        <f t="shared" si="9"/>
        <v>8.4562586220020839E-4</v>
      </c>
      <c r="W30" s="406">
        <f t="shared" si="41"/>
        <v>8.4562586220020839E-4</v>
      </c>
      <c r="X30" s="406">
        <f t="shared" si="10"/>
        <v>0.91957917668910294</v>
      </c>
      <c r="Y30" s="406">
        <f t="shared" si="11"/>
        <v>4.3972544834410834E-2</v>
      </c>
      <c r="Z30" s="406">
        <f t="shared" si="12"/>
        <v>2.2328250831278557E-2</v>
      </c>
      <c r="AA30" s="406">
        <f t="shared" si="13"/>
        <v>4.798711334442609E-2</v>
      </c>
      <c r="AB30" s="406">
        <f t="shared" si="14"/>
        <v>5.6738557719015177E-3</v>
      </c>
      <c r="AC30" s="406">
        <f t="shared" si="15"/>
        <v>0.12113360642873815</v>
      </c>
      <c r="AD30" s="406">
        <f t="shared" si="16"/>
        <v>0.9811748926187025</v>
      </c>
      <c r="AE30" s="406">
        <f t="shared" si="17"/>
        <v>9.6270416990532244E-3</v>
      </c>
      <c r="AF30" s="406">
        <f t="shared" si="18"/>
        <v>2.3325047743389202E-2</v>
      </c>
      <c r="AG30" s="406">
        <f t="shared" si="19"/>
        <v>3.3002924727649437E-2</v>
      </c>
      <c r="AH30" s="406">
        <f t="shared" si="20"/>
        <v>0</v>
      </c>
      <c r="AI30">
        <f t="shared" si="21"/>
        <v>0</v>
      </c>
      <c r="AJ30" s="407">
        <f t="shared" si="22"/>
        <v>0.49718427599999998</v>
      </c>
      <c r="AK30">
        <f t="shared" si="23"/>
        <v>0.06</v>
      </c>
      <c r="AL30" s="407">
        <f t="shared" si="24"/>
        <v>4.0337999999999999E-2</v>
      </c>
      <c r="AM30" s="407">
        <f t="shared" si="25"/>
        <v>0.13814789189189189</v>
      </c>
      <c r="AN30" s="407">
        <f t="shared" si="42"/>
        <v>0.100338</v>
      </c>
      <c r="AO30" s="407">
        <f t="shared" si="26"/>
        <v>0.95435225146822666</v>
      </c>
      <c r="AP30">
        <f t="shared" si="27"/>
        <v>13.229999999999999</v>
      </c>
      <c r="AQ30" s="10">
        <f t="shared" si="43"/>
        <v>0.93271795323826356</v>
      </c>
      <c r="AR30" s="63">
        <f t="shared" si="28"/>
        <v>6.6623483535805983</v>
      </c>
      <c r="AS30" s="63">
        <f t="shared" si="44"/>
        <v>1.3201169891059774</v>
      </c>
      <c r="AT30" s="10"/>
      <c r="AU30">
        <f t="shared" si="45"/>
        <v>93.271795323826353</v>
      </c>
      <c r="BD30">
        <v>9.9987659999999998</v>
      </c>
      <c r="BE30">
        <v>0.2681</v>
      </c>
      <c r="BF30">
        <v>5.1224080000000001</v>
      </c>
      <c r="BG30">
        <v>80.957553445887683</v>
      </c>
      <c r="BH30">
        <v>323.02506068319997</v>
      </c>
    </row>
    <row r="31" spans="1:69" x14ac:dyDescent="0.2">
      <c r="A31" s="32" t="s">
        <v>238</v>
      </c>
      <c r="B31" s="37">
        <v>0.9</v>
      </c>
      <c r="C31" s="415" t="s">
        <v>208</v>
      </c>
      <c r="D31" s="31" t="s">
        <v>205</v>
      </c>
      <c r="G31">
        <v>22</v>
      </c>
      <c r="H31">
        <f t="shared" si="0"/>
        <v>0.99</v>
      </c>
      <c r="I31" s="406">
        <f t="shared" si="1"/>
        <v>0.46767390269580311</v>
      </c>
      <c r="J31" s="407">
        <f t="shared" si="2"/>
        <v>3.3144854904025736</v>
      </c>
      <c r="K31" s="407">
        <f t="shared" si="31"/>
        <v>2.6472427452012868</v>
      </c>
      <c r="L31" s="407">
        <f t="shared" si="32"/>
        <v>-0.66724274520128679</v>
      </c>
      <c r="M31" s="63">
        <f t="shared" si="3"/>
        <v>20.562180129469549</v>
      </c>
      <c r="N31" s="406">
        <f t="shared" si="4"/>
        <v>1.3768022753857696</v>
      </c>
      <c r="O31" s="406">
        <f t="shared" si="5"/>
        <v>1.6683370030001494E-3</v>
      </c>
      <c r="P31">
        <f t="shared" si="6"/>
        <v>0.2</v>
      </c>
      <c r="Q31" s="406">
        <f t="shared" si="34"/>
        <v>0.20166833700300016</v>
      </c>
      <c r="R31" s="9">
        <f t="shared" si="39"/>
        <v>0.95680954505451732</v>
      </c>
      <c r="S31" s="9">
        <f t="shared" si="7"/>
        <v>2.563356615420811E-4</v>
      </c>
      <c r="T31" s="9">
        <f t="shared" si="40"/>
        <v>2.563356615420811E-4</v>
      </c>
      <c r="U31" s="406">
        <f t="shared" si="8"/>
        <v>0.94154946953431762</v>
      </c>
      <c r="V31" s="408">
        <f t="shared" si="9"/>
        <v>8.8651540358035484E-4</v>
      </c>
      <c r="W31" s="406">
        <f t="shared" si="41"/>
        <v>8.8651540358035484E-4</v>
      </c>
      <c r="X31" s="406">
        <f t="shared" si="10"/>
        <v>0.94154946953431762</v>
      </c>
      <c r="Y31" s="406">
        <f t="shared" si="11"/>
        <v>4.6098800986178454E-2</v>
      </c>
      <c r="Z31" s="406">
        <f t="shared" si="12"/>
        <v>2.2715786362514919E-2</v>
      </c>
      <c r="AA31" s="406">
        <f t="shared" si="13"/>
        <v>5.5111464813333039E-2</v>
      </c>
      <c r="AB31" s="406">
        <f t="shared" si="14"/>
        <v>5.3165901937638526E-3</v>
      </c>
      <c r="AC31" s="406">
        <f t="shared" si="15"/>
        <v>0.13056681656811214</v>
      </c>
      <c r="AD31" s="406">
        <f t="shared" si="16"/>
        <v>1.0045243162447972</v>
      </c>
      <c r="AE31" s="406">
        <f t="shared" si="17"/>
        <v>1.0090691019270775E-2</v>
      </c>
      <c r="AF31" s="406">
        <f t="shared" si="18"/>
        <v>2.3729883967984328E-2</v>
      </c>
      <c r="AG31" s="406">
        <f t="shared" si="19"/>
        <v>3.3875266963595094E-2</v>
      </c>
      <c r="AH31" s="406">
        <f t="shared" si="20"/>
        <v>0</v>
      </c>
      <c r="AI31">
        <f t="shared" si="21"/>
        <v>0</v>
      </c>
      <c r="AJ31" s="407">
        <f t="shared" si="22"/>
        <v>0.497145432</v>
      </c>
      <c r="AK31">
        <f t="shared" si="23"/>
        <v>0.06</v>
      </c>
      <c r="AL31" s="407">
        <f t="shared" si="24"/>
        <v>4.0337999999999999E-2</v>
      </c>
      <c r="AM31" s="407">
        <f t="shared" si="25"/>
        <v>0.13814789189189189</v>
      </c>
      <c r="AN31" s="407">
        <f t="shared" si="42"/>
        <v>0.100338</v>
      </c>
      <c r="AO31" s="407">
        <f t="shared" si="26"/>
        <v>0.96473670359982988</v>
      </c>
      <c r="AP31">
        <f t="shared" si="27"/>
        <v>13.86</v>
      </c>
      <c r="AQ31" s="10">
        <f t="shared" si="43"/>
        <v>0.93492385578992665</v>
      </c>
      <c r="AR31" s="63">
        <f t="shared" si="28"/>
        <v>7.1811749112461678</v>
      </c>
      <c r="AS31" s="63">
        <f t="shared" si="44"/>
        <v>1.3550106785438039</v>
      </c>
      <c r="AT31" s="10"/>
      <c r="AU31">
        <f t="shared" si="45"/>
        <v>93.492385578992668</v>
      </c>
      <c r="BD31">
        <v>9.998704</v>
      </c>
      <c r="BE31">
        <v>0.36549999999999999</v>
      </c>
      <c r="BF31">
        <v>5.123094</v>
      </c>
      <c r="BG31">
        <v>85.419022273213088</v>
      </c>
      <c r="BH31">
        <v>319.63300692320018</v>
      </c>
    </row>
    <row r="32" spans="1:69" x14ac:dyDescent="0.2">
      <c r="A32" s="34" t="s">
        <v>133</v>
      </c>
      <c r="B32" s="25" t="s">
        <v>201</v>
      </c>
      <c r="C32" s="34" t="s">
        <v>148</v>
      </c>
      <c r="D32" s="27" t="s">
        <v>188</v>
      </c>
      <c r="G32">
        <v>23</v>
      </c>
      <c r="H32">
        <f t="shared" si="0"/>
        <v>1.0350000000000001</v>
      </c>
      <c r="I32" s="406">
        <f t="shared" si="1"/>
        <v>0.467719752588167</v>
      </c>
      <c r="J32" s="407">
        <f t="shared" si="2"/>
        <v>3.3148104364859461</v>
      </c>
      <c r="K32" s="407">
        <f t="shared" si="31"/>
        <v>2.692405218242973</v>
      </c>
      <c r="L32" s="407">
        <f t="shared" si="32"/>
        <v>-0.6224052182429729</v>
      </c>
      <c r="M32" s="63">
        <f t="shared" si="3"/>
        <v>19.180438158489153</v>
      </c>
      <c r="N32" s="406">
        <f t="shared" si="4"/>
        <v>1.4095705087554196</v>
      </c>
      <c r="O32" s="406">
        <f t="shared" si="5"/>
        <v>1.7487069407125736E-3</v>
      </c>
      <c r="P32">
        <f t="shared" si="6"/>
        <v>0.2</v>
      </c>
      <c r="Q32" s="406">
        <f t="shared" si="34"/>
        <v>0.20174870694071259</v>
      </c>
      <c r="R32" s="9">
        <f t="shared" si="39"/>
        <v>0.95690334890887097</v>
      </c>
      <c r="S32" s="9">
        <f t="shared" si="7"/>
        <v>2.5638592536284351E-4</v>
      </c>
      <c r="T32" s="9">
        <f t="shared" si="40"/>
        <v>2.5638592536284351E-4</v>
      </c>
      <c r="U32" s="406">
        <f t="shared" si="8"/>
        <v>0.96400583009564456</v>
      </c>
      <c r="V32" s="408">
        <f t="shared" si="9"/>
        <v>9.2930724045839277E-4</v>
      </c>
      <c r="W32" s="406">
        <f t="shared" si="41"/>
        <v>9.2930724045839277E-4</v>
      </c>
      <c r="X32" s="406">
        <f t="shared" si="10"/>
        <v>0.96400583009564456</v>
      </c>
      <c r="Y32" s="406">
        <f t="shared" si="11"/>
        <v>4.8323976503836422E-2</v>
      </c>
      <c r="Z32" s="406">
        <f t="shared" si="12"/>
        <v>2.310332206964924E-2</v>
      </c>
      <c r="AA32" s="406">
        <f t="shared" si="13"/>
        <v>6.1911911507847389E-2</v>
      </c>
      <c r="AB32" s="406">
        <f t="shared" si="14"/>
        <v>4.9593247789600078E-3</v>
      </c>
      <c r="AC32" s="406">
        <f t="shared" si="15"/>
        <v>0.13978462361102797</v>
      </c>
      <c r="AD32" s="406">
        <f t="shared" si="16"/>
        <v>1.0283879514534482</v>
      </c>
      <c r="AE32" s="406">
        <f t="shared" si="17"/>
        <v>1.0575817786946199E-2</v>
      </c>
      <c r="AF32" s="406">
        <f t="shared" si="18"/>
        <v>2.4134720376330004E-2</v>
      </c>
      <c r="AG32" s="406">
        <f t="shared" si="19"/>
        <v>3.476937249096114E-2</v>
      </c>
      <c r="AH32" s="406">
        <f t="shared" si="20"/>
        <v>0</v>
      </c>
      <c r="AI32">
        <f t="shared" si="21"/>
        <v>0</v>
      </c>
      <c r="AJ32" s="407">
        <f t="shared" si="22"/>
        <v>0.49710658799999996</v>
      </c>
      <c r="AK32">
        <f t="shared" si="23"/>
        <v>0.06</v>
      </c>
      <c r="AL32" s="407">
        <f t="shared" si="24"/>
        <v>4.0337999999999999E-2</v>
      </c>
      <c r="AM32" s="407">
        <f t="shared" si="25"/>
        <v>0.13814789189189189</v>
      </c>
      <c r="AN32" s="407">
        <f t="shared" si="42"/>
        <v>0.100338</v>
      </c>
      <c r="AO32" s="407">
        <f t="shared" si="26"/>
        <v>0.97493298420852292</v>
      </c>
      <c r="AP32">
        <f t="shared" si="27"/>
        <v>14.490000000000002</v>
      </c>
      <c r="AQ32" s="10">
        <f t="shared" si="43"/>
        <v>0.93695847339241356</v>
      </c>
      <c r="AR32" s="63">
        <f t="shared" si="28"/>
        <v>7.6881542986065385</v>
      </c>
      <c r="AS32" s="63">
        <f t="shared" si="44"/>
        <v>1.3907748996384455</v>
      </c>
      <c r="AT32" s="10"/>
      <c r="AU32">
        <f t="shared" si="45"/>
        <v>93.695847339241354</v>
      </c>
      <c r="BD32">
        <v>9.9987290000000009</v>
      </c>
      <c r="BE32">
        <v>0.49059999999999998</v>
      </c>
      <c r="BF32">
        <v>5.1238169999999998</v>
      </c>
      <c r="BG32">
        <v>88.551850267052174</v>
      </c>
      <c r="BH32">
        <v>324.98153184230057</v>
      </c>
    </row>
    <row r="33" spans="1:60" x14ac:dyDescent="0.2">
      <c r="A33" s="32" t="s">
        <v>133</v>
      </c>
      <c r="B33" s="5">
        <v>20</v>
      </c>
      <c r="C33" s="416" t="s">
        <v>147</v>
      </c>
      <c r="D33" s="31" t="s">
        <v>179</v>
      </c>
      <c r="G33">
        <v>24</v>
      </c>
      <c r="H33">
        <f t="shared" si="0"/>
        <v>1.08</v>
      </c>
      <c r="I33" s="406">
        <f t="shared" si="1"/>
        <v>0.46776560826636543</v>
      </c>
      <c r="J33" s="407">
        <f t="shared" si="2"/>
        <v>3.3151354235745245</v>
      </c>
      <c r="K33" s="407">
        <f t="shared" si="31"/>
        <v>2.7375677117872623</v>
      </c>
      <c r="L33" s="407">
        <f t="shared" si="32"/>
        <v>-0.57756771178726218</v>
      </c>
      <c r="M33" s="63">
        <f t="shared" si="3"/>
        <v>17.798696819330114</v>
      </c>
      <c r="N33" s="406">
        <f t="shared" si="4"/>
        <v>1.4429981195598351</v>
      </c>
      <c r="O33" s="406">
        <f t="shared" si="5"/>
        <v>1.8326429913267976E-3</v>
      </c>
      <c r="P33">
        <f t="shared" si="6"/>
        <v>0.2</v>
      </c>
      <c r="Q33" s="406">
        <f t="shared" si="34"/>
        <v>0.2018326429913268</v>
      </c>
      <c r="R33" s="9">
        <f t="shared" si="39"/>
        <v>0.95699716460040796</v>
      </c>
      <c r="S33" s="9">
        <f t="shared" si="7"/>
        <v>2.5643620045490172E-4</v>
      </c>
      <c r="T33" s="9">
        <f t="shared" si="40"/>
        <v>2.5643620045490172E-4</v>
      </c>
      <c r="U33" s="406">
        <f t="shared" si="8"/>
        <v>0.98691536187657436</v>
      </c>
      <c r="V33" s="408">
        <f t="shared" si="9"/>
        <v>9.7400193150796977E-4</v>
      </c>
      <c r="W33" s="406">
        <f t="shared" si="41"/>
        <v>9.7400193150796977E-4</v>
      </c>
      <c r="X33" s="406">
        <f t="shared" si="10"/>
        <v>0.98691536187657436</v>
      </c>
      <c r="Y33" s="406">
        <f t="shared" si="11"/>
        <v>5.0648100438414424E-2</v>
      </c>
      <c r="Z33" s="406">
        <f t="shared" si="12"/>
        <v>2.3490857952714817E-2</v>
      </c>
      <c r="AA33" s="406">
        <f t="shared" si="13"/>
        <v>6.8388453871664256E-2</v>
      </c>
      <c r="AB33" s="406">
        <f t="shared" si="14"/>
        <v>4.6020595275209049E-3</v>
      </c>
      <c r="AC33" s="406">
        <f t="shared" si="15"/>
        <v>0.14878734701939114</v>
      </c>
      <c r="AD33" s="406">
        <f t="shared" si="16"/>
        <v>1.052730564553557</v>
      </c>
      <c r="AE33" s="406">
        <f t="shared" si="17"/>
        <v>1.1082416415452507E-2</v>
      </c>
      <c r="AF33" s="406">
        <f t="shared" si="18"/>
        <v>2.4539556968461013E-2</v>
      </c>
      <c r="AG33" s="406">
        <f t="shared" si="19"/>
        <v>3.5685249991961591E-2</v>
      </c>
      <c r="AH33" s="406">
        <f t="shared" si="20"/>
        <v>0</v>
      </c>
      <c r="AI33">
        <f t="shared" si="21"/>
        <v>0</v>
      </c>
      <c r="AJ33" s="407">
        <f t="shared" si="22"/>
        <v>0.49706774400000003</v>
      </c>
      <c r="AK33">
        <f t="shared" si="23"/>
        <v>0.06</v>
      </c>
      <c r="AL33" s="407">
        <f t="shared" si="24"/>
        <v>4.0337999999999999E-2</v>
      </c>
      <c r="AM33" s="407">
        <f t="shared" si="25"/>
        <v>0.13814789189189189</v>
      </c>
      <c r="AN33" s="407">
        <f t="shared" si="42"/>
        <v>0.100338</v>
      </c>
      <c r="AO33" s="407">
        <f t="shared" si="26"/>
        <v>0.98494142213464242</v>
      </c>
      <c r="AP33">
        <f t="shared" si="27"/>
        <v>15.120000000000001</v>
      </c>
      <c r="AQ33" s="10">
        <f t="shared" si="43"/>
        <v>0.9388422847175999</v>
      </c>
      <c r="AR33" s="63">
        <f t="shared" si="28"/>
        <v>8.1833040860665136</v>
      </c>
      <c r="AS33" s="63">
        <f t="shared" si="44"/>
        <v>1.4274099996784637</v>
      </c>
      <c r="AT33" s="10"/>
      <c r="AU33">
        <f t="shared" si="45"/>
        <v>93.884228471759997</v>
      </c>
      <c r="BD33">
        <v>9.9986420000000003</v>
      </c>
      <c r="BE33">
        <v>0.64549999999999996</v>
      </c>
      <c r="BF33">
        <v>5.1237300000000001</v>
      </c>
      <c r="BG33">
        <v>90.41893857119905</v>
      </c>
      <c r="BH33">
        <v>350.45848473660021</v>
      </c>
    </row>
    <row r="34" spans="1:60" x14ac:dyDescent="0.2">
      <c r="A34" s="34" t="s">
        <v>119</v>
      </c>
      <c r="B34" s="25" t="s">
        <v>201</v>
      </c>
      <c r="C34" s="34" t="s">
        <v>148</v>
      </c>
      <c r="D34" s="27" t="s">
        <v>188</v>
      </c>
      <c r="G34">
        <v>25</v>
      </c>
      <c r="H34">
        <f t="shared" si="0"/>
        <v>1.125</v>
      </c>
      <c r="I34" s="406">
        <f t="shared" si="1"/>
        <v>0.46781146973149373</v>
      </c>
      <c r="J34" s="407">
        <f t="shared" si="2"/>
        <v>3.315460451676072</v>
      </c>
      <c r="K34" s="407">
        <f t="shared" si="31"/>
        <v>2.7827302258380362</v>
      </c>
      <c r="L34" s="407">
        <f t="shared" si="32"/>
        <v>-0.53273022583803598</v>
      </c>
      <c r="M34" s="63">
        <f t="shared" si="3"/>
        <v>16.41695611211205</v>
      </c>
      <c r="N34" s="406">
        <f t="shared" si="4"/>
        <v>1.4770403404169463</v>
      </c>
      <c r="O34" s="406">
        <f t="shared" si="5"/>
        <v>1.9201452984883029E-3</v>
      </c>
      <c r="P34">
        <f t="shared" si="6"/>
        <v>0.2</v>
      </c>
      <c r="Q34" s="406">
        <f t="shared" si="34"/>
        <v>0.20192014529848831</v>
      </c>
      <c r="R34" s="9">
        <f t="shared" si="39"/>
        <v>0.95709099213136928</v>
      </c>
      <c r="S34" s="9">
        <f t="shared" si="7"/>
        <v>2.5648648682132251E-4</v>
      </c>
      <c r="T34" s="9">
        <f t="shared" si="40"/>
        <v>2.5648648682132251E-4</v>
      </c>
      <c r="U34" s="406">
        <f t="shared" si="8"/>
        <v>1.0102475120205663</v>
      </c>
      <c r="V34" s="408">
        <f t="shared" si="9"/>
        <v>1.0206000355437441E-3</v>
      </c>
      <c r="W34" s="406">
        <f t="shared" si="41"/>
        <v>1.0206000355437441E-3</v>
      </c>
      <c r="X34" s="406">
        <f t="shared" si="10"/>
        <v>1.0102475120205663</v>
      </c>
      <c r="Y34" s="406">
        <f t="shared" si="11"/>
        <v>5.3071201848274692E-2</v>
      </c>
      <c r="Z34" s="406">
        <f t="shared" si="12"/>
        <v>2.387839401174497E-2</v>
      </c>
      <c r="AA34" s="406">
        <f t="shared" si="13"/>
        <v>7.4541092348590604E-2</v>
      </c>
      <c r="AB34" s="406">
        <f t="shared" si="14"/>
        <v>4.2447944394774706E-3</v>
      </c>
      <c r="AC34" s="406">
        <f t="shared" si="15"/>
        <v>0.15757527872121632</v>
      </c>
      <c r="AD34" s="406">
        <f t="shared" si="16"/>
        <v>1.0775194344768286</v>
      </c>
      <c r="AE34" s="406">
        <f t="shared" si="17"/>
        <v>1.1610481316752646E-2</v>
      </c>
      <c r="AF34" s="406">
        <f t="shared" si="18"/>
        <v>2.4944393744412152E-2</v>
      </c>
      <c r="AG34" s="406">
        <f t="shared" si="19"/>
        <v>3.6622908596528815E-2</v>
      </c>
      <c r="AH34" s="406">
        <f t="shared" si="20"/>
        <v>0</v>
      </c>
      <c r="AI34">
        <f t="shared" si="21"/>
        <v>0</v>
      </c>
      <c r="AJ34" s="407">
        <f t="shared" si="22"/>
        <v>0.49702890000000005</v>
      </c>
      <c r="AK34">
        <f t="shared" si="23"/>
        <v>0.06</v>
      </c>
      <c r="AL34" s="407">
        <f t="shared" si="24"/>
        <v>4.0337999999999999E-2</v>
      </c>
      <c r="AM34" s="407">
        <f t="shared" si="25"/>
        <v>0.13814789189189189</v>
      </c>
      <c r="AN34" s="407">
        <f t="shared" si="42"/>
        <v>0.100338</v>
      </c>
      <c r="AO34" s="407">
        <f t="shared" si="26"/>
        <v>0.99476231913859858</v>
      </c>
      <c r="AP34">
        <f t="shared" si="27"/>
        <v>15.75</v>
      </c>
      <c r="AQ34" s="10">
        <f t="shared" si="43"/>
        <v>0.94059262829896229</v>
      </c>
      <c r="AR34" s="63">
        <f t="shared" si="28"/>
        <v>8.6666403296668975</v>
      </c>
      <c r="AS34" s="63">
        <f t="shared" si="44"/>
        <v>1.4649163438611525</v>
      </c>
      <c r="AT34" s="10"/>
      <c r="AU34">
        <f t="shared" si="45"/>
        <v>94.059262829896227</v>
      </c>
      <c r="BD34">
        <v>9.9986049999999995</v>
      </c>
      <c r="BE34">
        <v>0.83240000000000003</v>
      </c>
      <c r="BF34">
        <v>5.1231559999999998</v>
      </c>
      <c r="BG34">
        <v>91.678946361105133</v>
      </c>
      <c r="BH34">
        <v>387.05996035199956</v>
      </c>
    </row>
    <row r="35" spans="1:60" x14ac:dyDescent="0.2">
      <c r="A35" s="32" t="s">
        <v>249</v>
      </c>
      <c r="B35" s="5">
        <v>2</v>
      </c>
      <c r="C35" s="416" t="s">
        <v>135</v>
      </c>
      <c r="D35" s="31" t="s">
        <v>259</v>
      </c>
      <c r="G35">
        <v>26</v>
      </c>
      <c r="H35">
        <f t="shared" si="0"/>
        <v>1.17</v>
      </c>
      <c r="I35" s="406">
        <f t="shared" si="1"/>
        <v>0.46785733698464749</v>
      </c>
      <c r="J35" s="407">
        <f t="shared" si="2"/>
        <v>3.315785520798352</v>
      </c>
      <c r="K35" s="407">
        <f t="shared" si="31"/>
        <v>2.8278927603991759</v>
      </c>
      <c r="L35" s="407">
        <f t="shared" si="32"/>
        <v>-0.48789276039917606</v>
      </c>
      <c r="M35" s="63">
        <f t="shared" si="3"/>
        <v>15.03521603695458</v>
      </c>
      <c r="N35" s="406">
        <f t="shared" si="4"/>
        <v>1.5116556491679356</v>
      </c>
      <c r="O35" s="406">
        <f t="shared" si="5"/>
        <v>2.011214011948423E-3</v>
      </c>
      <c r="P35">
        <f t="shared" si="6"/>
        <v>0.2</v>
      </c>
      <c r="Q35" s="406">
        <f t="shared" si="34"/>
        <v>0.20201121401194844</v>
      </c>
      <c r="R35" s="9">
        <f t="shared" si="39"/>
        <v>0.95718483150399603</v>
      </c>
      <c r="S35" s="9">
        <f t="shared" si="7"/>
        <v>2.5653678446517335E-4</v>
      </c>
      <c r="T35" s="9">
        <f t="shared" si="40"/>
        <v>2.5653678446517335E-4</v>
      </c>
      <c r="U35" s="406">
        <f t="shared" si="8"/>
        <v>1.0339739414131424</v>
      </c>
      <c r="V35" s="408">
        <f t="shared" si="9"/>
        <v>1.0691021115214283E-3</v>
      </c>
      <c r="W35" s="406">
        <f t="shared" si="41"/>
        <v>1.0691021115214283E-3</v>
      </c>
      <c r="X35" s="406">
        <f t="shared" si="10"/>
        <v>1.0339739414131424</v>
      </c>
      <c r="Y35" s="406">
        <f t="shared" si="11"/>
        <v>5.5593309799114268E-2</v>
      </c>
      <c r="Z35" s="406">
        <f t="shared" si="12"/>
        <v>2.4265930246772989E-2</v>
      </c>
      <c r="AA35" s="406">
        <f t="shared" si="13"/>
        <v>8.036982738254532E-2</v>
      </c>
      <c r="AB35" s="406">
        <f t="shared" si="14"/>
        <v>3.8875295148606348E-3</v>
      </c>
      <c r="AC35" s="406">
        <f t="shared" si="15"/>
        <v>0.16614868308987388</v>
      </c>
      <c r="AD35" s="406">
        <f t="shared" si="16"/>
        <v>1.1027242130922421</v>
      </c>
      <c r="AE35" s="406">
        <f t="shared" si="17"/>
        <v>1.2160006901399045E-2</v>
      </c>
      <c r="AF35" s="406">
        <f t="shared" si="18"/>
        <v>2.5349230704218208E-2</v>
      </c>
      <c r="AG35" s="406">
        <f t="shared" si="19"/>
        <v>3.7582357882613E-2</v>
      </c>
      <c r="AH35" s="406">
        <f t="shared" si="20"/>
        <v>0</v>
      </c>
      <c r="AI35">
        <f t="shared" si="21"/>
        <v>0</v>
      </c>
      <c r="AJ35" s="407">
        <f t="shared" si="22"/>
        <v>0.49699005600000001</v>
      </c>
      <c r="AK35">
        <f t="shared" si="23"/>
        <v>0.06</v>
      </c>
      <c r="AL35" s="407">
        <f t="shared" si="24"/>
        <v>4.0337999999999999E-2</v>
      </c>
      <c r="AM35" s="407">
        <f t="shared" si="25"/>
        <v>0.13814789189189189</v>
      </c>
      <c r="AN35" s="407">
        <f t="shared" si="42"/>
        <v>0.100338</v>
      </c>
      <c r="AO35" s="407">
        <f t="shared" si="26"/>
        <v>1.0043959498804218</v>
      </c>
      <c r="AP35">
        <f t="shared" si="27"/>
        <v>16.38</v>
      </c>
      <c r="AQ35" s="10">
        <f t="shared" si="43"/>
        <v>0.94222428246709766</v>
      </c>
      <c r="AR35" s="63">
        <f t="shared" si="28"/>
        <v>9.1381775699430641</v>
      </c>
      <c r="AS35" s="63">
        <f t="shared" si="44"/>
        <v>1.50329431530452</v>
      </c>
      <c r="AT35" s="10"/>
      <c r="AU35">
        <f t="shared" si="45"/>
        <v>94.222428246709768</v>
      </c>
      <c r="BD35">
        <v>9.9986049999999995</v>
      </c>
      <c r="BE35">
        <v>1.0528999999999999</v>
      </c>
      <c r="BF35">
        <v>5.1218219999999999</v>
      </c>
      <c r="BG35">
        <v>92.889938966292178</v>
      </c>
      <c r="BH35">
        <v>412.77762981700039</v>
      </c>
    </row>
    <row r="36" spans="1:60" x14ac:dyDescent="0.2">
      <c r="A36" s="34" t="s">
        <v>129</v>
      </c>
      <c r="B36" s="25" t="s">
        <v>201</v>
      </c>
      <c r="C36" s="34" t="s">
        <v>148</v>
      </c>
      <c r="D36" s="27" t="s">
        <v>188</v>
      </c>
      <c r="G36">
        <v>27</v>
      </c>
      <c r="H36">
        <f t="shared" si="0"/>
        <v>1.2150000000000001</v>
      </c>
      <c r="I36" s="406">
        <f t="shared" si="1"/>
        <v>0.46790321002692248</v>
      </c>
      <c r="J36" s="407">
        <f t="shared" si="2"/>
        <v>3.3161106309491317</v>
      </c>
      <c r="K36" s="407">
        <f t="shared" si="31"/>
        <v>2.8730553154745659</v>
      </c>
      <c r="L36" s="407">
        <f t="shared" si="32"/>
        <v>-0.44305531547456578</v>
      </c>
      <c r="M36" s="63">
        <f t="shared" si="3"/>
        <v>13.653476593977375</v>
      </c>
      <c r="N36" s="406">
        <f t="shared" si="4"/>
        <v>1.5468055716188618</v>
      </c>
      <c r="O36" s="406">
        <f t="shared" si="5"/>
        <v>2.1058492875649856E-3</v>
      </c>
      <c r="P36">
        <f t="shared" si="6"/>
        <v>0.2</v>
      </c>
      <c r="Q36" s="406">
        <f t="shared" si="34"/>
        <v>0.202105849287565</v>
      </c>
      <c r="R36" s="9">
        <f t="shared" si="39"/>
        <v>0.95727868272053052</v>
      </c>
      <c r="S36" s="9">
        <f t="shared" si="7"/>
        <v>2.5658709338952318E-4</v>
      </c>
      <c r="T36" s="9">
        <f t="shared" si="40"/>
        <v>2.5658709338952318E-4</v>
      </c>
      <c r="U36" s="406">
        <f t="shared" si="8"/>
        <v>1.0580683902932906</v>
      </c>
      <c r="V36" s="408">
        <f t="shared" si="9"/>
        <v>1.1195087185378351E-3</v>
      </c>
      <c r="W36" s="406">
        <f t="shared" si="41"/>
        <v>1.1195087185378351E-3</v>
      </c>
      <c r="X36" s="406">
        <f t="shared" si="10"/>
        <v>1.0580683902932906</v>
      </c>
      <c r="Y36" s="406">
        <f t="shared" si="11"/>
        <v>5.8214453363967425E-2</v>
      </c>
      <c r="Z36" s="406">
        <f t="shared" si="12"/>
        <v>2.4653466657832215E-2</v>
      </c>
      <c r="AA36" s="406">
        <f t="shared" si="13"/>
        <v>8.5874659417559049E-2</v>
      </c>
      <c r="AB36" s="406">
        <f t="shared" si="14"/>
        <v>3.53026475370134E-3</v>
      </c>
      <c r="AC36" s="406">
        <f t="shared" si="15"/>
        <v>0.17450779691418414</v>
      </c>
      <c r="AD36" s="406">
        <f t="shared" si="16"/>
        <v>1.1283167808081731</v>
      </c>
      <c r="AE36" s="406">
        <f t="shared" si="17"/>
        <v>1.2730987578533191E-2</v>
      </c>
      <c r="AF36" s="406">
        <f t="shared" si="18"/>
        <v>2.5754067847914005E-2</v>
      </c>
      <c r="AG36" s="406">
        <f t="shared" si="19"/>
        <v>3.8563607876504667E-2</v>
      </c>
      <c r="AH36" s="406">
        <f t="shared" si="20"/>
        <v>0</v>
      </c>
      <c r="AI36">
        <f t="shared" si="21"/>
        <v>0</v>
      </c>
      <c r="AJ36" s="407">
        <f t="shared" si="22"/>
        <v>0.49695121200000003</v>
      </c>
      <c r="AK36">
        <f t="shared" si="23"/>
        <v>0.06</v>
      </c>
      <c r="AL36" s="407">
        <f t="shared" si="24"/>
        <v>4.0337999999999999E-2</v>
      </c>
      <c r="AM36" s="407">
        <f t="shared" si="25"/>
        <v>0.13814789189189189</v>
      </c>
      <c r="AN36" s="407">
        <f t="shared" si="42"/>
        <v>0.100338</v>
      </c>
      <c r="AO36" s="407">
        <f t="shared" si="26"/>
        <v>1.0138425618901812</v>
      </c>
      <c r="AP36">
        <f t="shared" si="27"/>
        <v>17.010000000000002</v>
      </c>
      <c r="AQ36" s="10">
        <f t="shared" si="43"/>
        <v>0.94374992133842406</v>
      </c>
      <c r="AR36" s="63">
        <f t="shared" si="28"/>
        <v>9.5979288302801269</v>
      </c>
      <c r="AS36" s="63">
        <f t="shared" si="44"/>
        <v>1.5425443150601867</v>
      </c>
      <c r="AT36" s="10"/>
      <c r="AU36">
        <f t="shared" si="45"/>
        <v>94.374992133842412</v>
      </c>
      <c r="BD36">
        <v>9.9986669999999993</v>
      </c>
      <c r="BE36">
        <v>1.3092999999999999</v>
      </c>
      <c r="BF36">
        <v>5.1195649999999997</v>
      </c>
      <c r="BG36">
        <v>93.690364214923264</v>
      </c>
      <c r="BH36">
        <v>451.42072788069993</v>
      </c>
    </row>
    <row r="37" spans="1:60" x14ac:dyDescent="0.2">
      <c r="A37" s="33" t="s">
        <v>142</v>
      </c>
      <c r="B37" s="5">
        <f>RdsonTop*1000</f>
        <v>52</v>
      </c>
      <c r="C37" s="416" t="s">
        <v>613</v>
      </c>
      <c r="D37" s="31" t="s">
        <v>194</v>
      </c>
      <c r="G37">
        <v>28</v>
      </c>
      <c r="H37">
        <f t="shared" si="0"/>
        <v>1.2600000000000002</v>
      </c>
      <c r="I37" s="406">
        <f t="shared" si="1"/>
        <v>0.46794908885941472</v>
      </c>
      <c r="J37" s="407">
        <f t="shared" si="2"/>
        <v>3.3164357821361778</v>
      </c>
      <c r="K37" s="407">
        <f t="shared" si="31"/>
        <v>2.9182178910680889</v>
      </c>
      <c r="L37" s="407">
        <f t="shared" si="32"/>
        <v>-0.39821789106808869</v>
      </c>
      <c r="M37" s="63">
        <f t="shared" si="3"/>
        <v>12.271737783300116</v>
      </c>
      <c r="N37" s="406">
        <f t="shared" si="4"/>
        <v>1.5824544832062102</v>
      </c>
      <c r="O37" s="406">
        <f t="shared" si="5"/>
        <v>2.2040512873029755E-3</v>
      </c>
      <c r="P37">
        <f t="shared" si="6"/>
        <v>0.2</v>
      </c>
      <c r="Q37" s="406">
        <f t="shared" si="34"/>
        <v>0.20220405128730298</v>
      </c>
      <c r="R37" s="9">
        <f t="shared" si="39"/>
        <v>0.95737254578321473</v>
      </c>
      <c r="S37" s="9">
        <f t="shared" si="7"/>
        <v>2.5663741359744144E-4</v>
      </c>
      <c r="T37" s="9">
        <f t="shared" si="40"/>
        <v>2.5663741359744144E-4</v>
      </c>
      <c r="U37" s="406">
        <f t="shared" si="8"/>
        <v>1.0825065430891951</v>
      </c>
      <c r="V37" s="408">
        <f t="shared" si="9"/>
        <v>1.1718204158309197E-3</v>
      </c>
      <c r="W37" s="406">
        <f t="shared" si="41"/>
        <v>1.1718204158309197E-3</v>
      </c>
      <c r="X37" s="406">
        <f t="shared" si="10"/>
        <v>1.0825065430891951</v>
      </c>
      <c r="Y37" s="406">
        <f t="shared" si="11"/>
        <v>6.0934661623207813E-2</v>
      </c>
      <c r="Z37" s="406">
        <f t="shared" si="12"/>
        <v>2.5041003244955957E-2</v>
      </c>
      <c r="AA37" s="406">
        <f t="shared" si="13"/>
        <v>9.1055588897774362E-2</v>
      </c>
      <c r="AB37" s="406">
        <f t="shared" si="14"/>
        <v>3.1730001560305305E-3</v>
      </c>
      <c r="AC37" s="406">
        <f t="shared" si="15"/>
        <v>0.18265282935930544</v>
      </c>
      <c r="AD37" s="406">
        <f t="shared" si="16"/>
        <v>1.1542711014265734</v>
      </c>
      <c r="AE37" s="406">
        <f t="shared" si="17"/>
        <v>1.332341775588515E-2</v>
      </c>
      <c r="AF37" s="406">
        <f t="shared" si="18"/>
        <v>2.6158905175534344E-2</v>
      </c>
      <c r="AG37" s="406">
        <f t="shared" si="19"/>
        <v>3.9566669053180195E-2</v>
      </c>
      <c r="AH37" s="406">
        <f t="shared" si="20"/>
        <v>0</v>
      </c>
      <c r="AI37">
        <f t="shared" si="21"/>
        <v>0</v>
      </c>
      <c r="AJ37" s="407">
        <f t="shared" si="22"/>
        <v>0.49691236799999999</v>
      </c>
      <c r="AK37">
        <f t="shared" si="23"/>
        <v>0.06</v>
      </c>
      <c r="AL37" s="407">
        <f t="shared" si="24"/>
        <v>4.0337999999999999E-2</v>
      </c>
      <c r="AM37" s="407">
        <f t="shared" si="25"/>
        <v>0.13814789189189189</v>
      </c>
      <c r="AN37" s="407">
        <f t="shared" si="42"/>
        <v>0.100338</v>
      </c>
      <c r="AO37" s="407">
        <f t="shared" si="26"/>
        <v>1.023102375529217</v>
      </c>
      <c r="AP37">
        <f t="shared" si="27"/>
        <v>17.640000000000004</v>
      </c>
      <c r="AQ37" s="10">
        <f t="shared" si="43"/>
        <v>0.94518047669980676</v>
      </c>
      <c r="AR37" s="63">
        <f t="shared" si="28"/>
        <v>10.045905614761798</v>
      </c>
      <c r="AS37" s="63">
        <f t="shared" si="44"/>
        <v>1.5826667621272077</v>
      </c>
      <c r="AT37" s="10"/>
      <c r="AU37">
        <f t="shared" si="45"/>
        <v>94.518047669980675</v>
      </c>
      <c r="BD37">
        <v>9.9985429999999997</v>
      </c>
      <c r="BE37">
        <v>1.6020000000000001</v>
      </c>
      <c r="BF37">
        <v>5.1182809999999996</v>
      </c>
      <c r="BG37">
        <v>93.864473327748414</v>
      </c>
      <c r="BH37">
        <v>535.96589716749952</v>
      </c>
    </row>
    <row r="38" spans="1:60" x14ac:dyDescent="0.2">
      <c r="A38" s="32" t="s">
        <v>152</v>
      </c>
      <c r="B38" s="5">
        <v>4500</v>
      </c>
      <c r="C38" s="416" t="s">
        <v>614</v>
      </c>
      <c r="D38" s="31" t="s">
        <v>193</v>
      </c>
      <c r="G38">
        <v>29</v>
      </c>
      <c r="H38">
        <f t="shared" si="0"/>
        <v>1.3049999999999999</v>
      </c>
      <c r="I38" s="406">
        <f t="shared" si="1"/>
        <v>0.4679949734832205</v>
      </c>
      <c r="J38" s="407">
        <f t="shared" si="2"/>
        <v>3.3167609743672606</v>
      </c>
      <c r="K38" s="407">
        <f t="shared" si="31"/>
        <v>2.9633804871836302</v>
      </c>
      <c r="L38" s="407">
        <f t="shared" si="32"/>
        <v>-0.35338048718363035</v>
      </c>
      <c r="M38" s="63">
        <f t="shared" si="3"/>
        <v>10.889999605042538</v>
      </c>
      <c r="N38" s="406">
        <f t="shared" si="4"/>
        <v>1.6185694136357385</v>
      </c>
      <c r="O38" s="406">
        <f t="shared" si="5"/>
        <v>2.3058201792352287E-3</v>
      </c>
      <c r="P38">
        <f t="shared" si="6"/>
        <v>0.2</v>
      </c>
      <c r="Q38" s="406">
        <f t="shared" si="34"/>
        <v>0.20230582017923524</v>
      </c>
      <c r="R38" s="9">
        <f t="shared" si="39"/>
        <v>0.95746642069429178</v>
      </c>
      <c r="S38" s="9">
        <f t="shared" si="7"/>
        <v>2.566877450919988E-4</v>
      </c>
      <c r="T38" s="9">
        <f t="shared" si="40"/>
        <v>2.566877450919988E-4</v>
      </c>
      <c r="U38" s="406">
        <f t="shared" si="8"/>
        <v>1.1072658952482122</v>
      </c>
      <c r="V38" s="408">
        <f t="shared" si="9"/>
        <v>1.2260377627798247E-3</v>
      </c>
      <c r="W38" s="406">
        <f t="shared" si="41"/>
        <v>1.2260377627798247E-3</v>
      </c>
      <c r="X38" s="406">
        <f t="shared" si="10"/>
        <v>1.1072658952482122</v>
      </c>
      <c r="Y38" s="406">
        <f t="shared" si="11"/>
        <v>6.3753963664550883E-2</v>
      </c>
      <c r="Z38" s="406">
        <f t="shared" si="12"/>
        <v>2.5428540008177562E-2</v>
      </c>
      <c r="AA38" s="406">
        <f t="shared" si="13"/>
        <v>9.5912616267445794E-2</v>
      </c>
      <c r="AB38" s="406">
        <f t="shared" si="14"/>
        <v>2.8157357218791669E-3</v>
      </c>
      <c r="AC38" s="406">
        <f t="shared" si="15"/>
        <v>0.19058396191835497</v>
      </c>
      <c r="AD38" s="406">
        <f t="shared" si="16"/>
        <v>1.1805630792030191</v>
      </c>
      <c r="AE38" s="406">
        <f t="shared" si="17"/>
        <v>1.3937291839773139E-2</v>
      </c>
      <c r="AF38" s="406">
        <f t="shared" si="18"/>
        <v>2.6563742687114054E-2</v>
      </c>
      <c r="AG38" s="406">
        <f t="shared" si="19"/>
        <v>4.0591552336670486E-2</v>
      </c>
      <c r="AH38" s="406">
        <f t="shared" si="20"/>
        <v>0</v>
      </c>
      <c r="AI38">
        <f t="shared" si="21"/>
        <v>0</v>
      </c>
      <c r="AJ38" s="407">
        <f t="shared" si="22"/>
        <v>0.49687352400000001</v>
      </c>
      <c r="AK38">
        <f t="shared" si="23"/>
        <v>0.06</v>
      </c>
      <c r="AL38" s="407">
        <f t="shared" si="24"/>
        <v>4.0337999999999999E-2</v>
      </c>
      <c r="AM38" s="407">
        <f t="shared" si="25"/>
        <v>0.13814789189189189</v>
      </c>
      <c r="AN38" s="407">
        <f t="shared" si="42"/>
        <v>0.100338</v>
      </c>
      <c r="AO38" s="407">
        <f t="shared" si="26"/>
        <v>1.0321755839421325</v>
      </c>
      <c r="AP38">
        <f t="shared" si="27"/>
        <v>18.27</v>
      </c>
      <c r="AQ38" s="10">
        <f t="shared" si="43"/>
        <v>0.94652542769319647</v>
      </c>
      <c r="AR38" s="63">
        <f t="shared" si="28"/>
        <v>10.482117905509524</v>
      </c>
      <c r="AS38" s="63">
        <f t="shared" si="44"/>
        <v>1.6236620934668196</v>
      </c>
      <c r="AT38" s="10"/>
      <c r="AU38">
        <f t="shared" si="45"/>
        <v>94.652542769319652</v>
      </c>
      <c r="BD38">
        <v>9.9985429999999997</v>
      </c>
      <c r="BE38">
        <v>1.9350000000000001</v>
      </c>
      <c r="BF38">
        <v>5.117146</v>
      </c>
      <c r="BG38">
        <v>94.224527198076927</v>
      </c>
      <c r="BH38">
        <v>606.92116405899924</v>
      </c>
    </row>
    <row r="39" spans="1:60" x14ac:dyDescent="0.2">
      <c r="A39" s="33" t="s">
        <v>141</v>
      </c>
      <c r="B39" s="5">
        <f>QgTop*1000000000</f>
        <v>3.2</v>
      </c>
      <c r="C39" s="416" t="s">
        <v>136</v>
      </c>
      <c r="D39" s="31" t="s">
        <v>180</v>
      </c>
      <c r="G39">
        <v>30</v>
      </c>
      <c r="H39">
        <f t="shared" si="0"/>
        <v>1.3499999999999999</v>
      </c>
      <c r="I39" s="406">
        <f t="shared" si="1"/>
        <v>0.46804086389943661</v>
      </c>
      <c r="J39" s="407">
        <f t="shared" si="2"/>
        <v>3.3170862076501533</v>
      </c>
      <c r="K39" s="407">
        <f t="shared" si="31"/>
        <v>3.0085431038250765</v>
      </c>
      <c r="L39" s="407">
        <f t="shared" si="32"/>
        <v>-0.30854310382507677</v>
      </c>
      <c r="M39" s="63">
        <f t="shared" si="3"/>
        <v>9.5082620593243998</v>
      </c>
      <c r="N39" s="406">
        <f t="shared" si="4"/>
        <v>1.6551198574167489</v>
      </c>
      <c r="O39" s="406">
        <f t="shared" si="5"/>
        <v>2.4111561375431577E-3</v>
      </c>
      <c r="P39">
        <f t="shared" si="6"/>
        <v>0.2</v>
      </c>
      <c r="Q39" s="406">
        <f t="shared" si="34"/>
        <v>0.20241115613754318</v>
      </c>
      <c r="R39" s="9">
        <f t="shared" si="39"/>
        <v>0.95756030745600551</v>
      </c>
      <c r="S39" s="9">
        <f t="shared" si="7"/>
        <v>2.567380878762672E-4</v>
      </c>
      <c r="T39" s="9">
        <f t="shared" si="40"/>
        <v>2.567380878762672E-4</v>
      </c>
      <c r="U39" s="406">
        <f t="shared" si="8"/>
        <v>1.1323256240609096</v>
      </c>
      <c r="V39" s="408">
        <f t="shared" si="9"/>
        <v>1.2821613189049287E-3</v>
      </c>
      <c r="W39" s="406">
        <f t="shared" si="41"/>
        <v>1.2821613189049287E-3</v>
      </c>
      <c r="X39" s="406">
        <f t="shared" si="10"/>
        <v>1.1323256240609096</v>
      </c>
      <c r="Y39" s="406">
        <f t="shared" si="11"/>
        <v>6.6672388583056283E-2</v>
      </c>
      <c r="Z39" s="406">
        <f t="shared" si="12"/>
        <v>2.5816076947530377E-2</v>
      </c>
      <c r="AA39" s="406">
        <f t="shared" si="13"/>
        <v>0.10044574197093976</v>
      </c>
      <c r="AB39" s="406">
        <f t="shared" si="14"/>
        <v>2.4584714512782117E-3</v>
      </c>
      <c r="AC39" s="406">
        <f t="shared" si="15"/>
        <v>0.19830134835469526</v>
      </c>
      <c r="AD39" s="406">
        <f t="shared" si="16"/>
        <v>1.2071704202432691</v>
      </c>
      <c r="AE39" s="406">
        <f t="shared" si="17"/>
        <v>1.457260423510311E-2</v>
      </c>
      <c r="AF39" s="406">
        <f t="shared" si="18"/>
        <v>2.6968580382687981E-2</v>
      </c>
      <c r="AG39" s="406">
        <f t="shared" si="19"/>
        <v>4.1638269100452791E-2</v>
      </c>
      <c r="AH39" s="406">
        <f t="shared" si="20"/>
        <v>0</v>
      </c>
      <c r="AI39">
        <f t="shared" si="21"/>
        <v>0</v>
      </c>
      <c r="AJ39" s="407">
        <f t="shared" si="22"/>
        <v>0.49683468000000003</v>
      </c>
      <c r="AK39">
        <f t="shared" si="23"/>
        <v>0.06</v>
      </c>
      <c r="AL39" s="407">
        <f t="shared" si="24"/>
        <v>4.0337999999999999E-2</v>
      </c>
      <c r="AM39" s="407">
        <f t="shared" si="25"/>
        <v>0.13814789189189189</v>
      </c>
      <c r="AN39" s="407">
        <f t="shared" si="42"/>
        <v>0.100338</v>
      </c>
      <c r="AO39" s="407">
        <f t="shared" si="26"/>
        <v>1.0410623529994725</v>
      </c>
      <c r="AP39">
        <f t="shared" si="27"/>
        <v>18.899999999999999</v>
      </c>
      <c r="AQ39" s="10">
        <f t="shared" si="43"/>
        <v>0.94779303456503772</v>
      </c>
      <c r="AR39" s="63">
        <f t="shared" si="28"/>
        <v>10.906574159508239</v>
      </c>
      <c r="AS39" s="63">
        <f t="shared" si="44"/>
        <v>1.6655307640181116</v>
      </c>
      <c r="AT39" s="10"/>
      <c r="AU39">
        <f t="shared" si="45"/>
        <v>94.779303456503769</v>
      </c>
      <c r="BD39">
        <v>9.9985060000000008</v>
      </c>
      <c r="BE39">
        <v>2.31</v>
      </c>
      <c r="BF39">
        <v>5.1166349999999996</v>
      </c>
      <c r="BG39">
        <v>94.492663502717292</v>
      </c>
      <c r="BH39">
        <v>688.87413060200208</v>
      </c>
    </row>
    <row r="40" spans="1:60" x14ac:dyDescent="0.2">
      <c r="A40" s="33" t="s">
        <v>218</v>
      </c>
      <c r="B40" s="5">
        <f>QgdTop*1000000000</f>
        <v>0.8</v>
      </c>
      <c r="C40" s="416" t="s">
        <v>136</v>
      </c>
      <c r="D40" s="31" t="s">
        <v>219</v>
      </c>
      <c r="G40">
        <v>31</v>
      </c>
      <c r="H40">
        <f t="shared" si="0"/>
        <v>1.395</v>
      </c>
      <c r="I40" s="406">
        <f t="shared" si="1"/>
        <v>0.46808676010915984</v>
      </c>
      <c r="J40" s="407">
        <f t="shared" si="2"/>
        <v>3.3174114819926279</v>
      </c>
      <c r="K40" s="407">
        <f t="shared" si="31"/>
        <v>3.053705740996314</v>
      </c>
      <c r="L40" s="407">
        <f t="shared" si="32"/>
        <v>-0.26370574099631394</v>
      </c>
      <c r="M40" s="63">
        <f t="shared" si="3"/>
        <v>8.126525146265454</v>
      </c>
      <c r="N40" s="406">
        <f t="shared" si="4"/>
        <v>1.6920775923120992</v>
      </c>
      <c r="O40" s="406">
        <f t="shared" si="5"/>
        <v>2.5200593425174886E-3</v>
      </c>
      <c r="P40">
        <f t="shared" si="6"/>
        <v>0.2</v>
      </c>
      <c r="Q40" s="406">
        <f t="shared" si="34"/>
        <v>0.20252005934251749</v>
      </c>
      <c r="R40" s="9">
        <f t="shared" si="39"/>
        <v>0.95765420607059959</v>
      </c>
      <c r="S40" s="9">
        <f t="shared" si="7"/>
        <v>2.5678844195331892E-4</v>
      </c>
      <c r="T40" s="9">
        <f t="shared" si="40"/>
        <v>2.5678844195331892E-4</v>
      </c>
      <c r="U40" s="406">
        <f t="shared" si="8"/>
        <v>1.1576664648627797</v>
      </c>
      <c r="V40" s="408">
        <f t="shared" si="9"/>
        <v>1.3401916438678856E-3</v>
      </c>
      <c r="W40" s="406">
        <f t="shared" si="41"/>
        <v>1.3401916438678856E-3</v>
      </c>
      <c r="X40" s="406">
        <f t="shared" si="10"/>
        <v>1.1576664648627797</v>
      </c>
      <c r="Y40" s="406">
        <f t="shared" si="11"/>
        <v>6.9689965481130045E-2</v>
      </c>
      <c r="Z40" s="406">
        <f t="shared" si="12"/>
        <v>2.6203614063047751E-2</v>
      </c>
      <c r="AA40" s="406">
        <f t="shared" si="13"/>
        <v>0.1046549664527348</v>
      </c>
      <c r="AB40" s="406">
        <f t="shared" si="14"/>
        <v>2.1012073442586293E-3</v>
      </c>
      <c r="AC40" s="406">
        <f t="shared" si="15"/>
        <v>0.20580511463481405</v>
      </c>
      <c r="AD40" s="406">
        <f t="shared" si="16"/>
        <v>1.234072499708516</v>
      </c>
      <c r="AE40" s="406">
        <f t="shared" si="17"/>
        <v>1.5229349345368251E-2</v>
      </c>
      <c r="AF40" s="406">
        <f t="shared" si="18"/>
        <v>2.7373418262290953E-2</v>
      </c>
      <c r="AG40" s="406">
        <f t="shared" si="19"/>
        <v>4.2706831167865458E-2</v>
      </c>
      <c r="AH40" s="406">
        <f t="shared" si="20"/>
        <v>0</v>
      </c>
      <c r="AI40">
        <f t="shared" si="21"/>
        <v>0</v>
      </c>
      <c r="AJ40" s="407">
        <f t="shared" si="22"/>
        <v>0.49679583599999999</v>
      </c>
      <c r="AK40">
        <f t="shared" si="23"/>
        <v>0.06</v>
      </c>
      <c r="AL40" s="407">
        <f t="shared" si="24"/>
        <v>4.0337999999999999E-2</v>
      </c>
      <c r="AM40" s="407">
        <f t="shared" si="25"/>
        <v>0.13814789189189189</v>
      </c>
      <c r="AN40" s="407">
        <f t="shared" si="42"/>
        <v>0.100338</v>
      </c>
      <c r="AO40" s="407">
        <f t="shared" si="26"/>
        <v>1.0497628212310182</v>
      </c>
      <c r="AP40">
        <f t="shared" si="27"/>
        <v>19.53</v>
      </c>
      <c r="AQ40" s="10">
        <f t="shared" si="43"/>
        <v>0.94899052868830758</v>
      </c>
      <c r="AR40" s="63">
        <f t="shared" si="28"/>
        <v>11.319281304914773</v>
      </c>
      <c r="AS40" s="63">
        <f t="shared" si="44"/>
        <v>1.7082732467146182</v>
      </c>
      <c r="AT40" s="10"/>
      <c r="AU40">
        <f t="shared" si="45"/>
        <v>94.899052868830751</v>
      </c>
      <c r="BD40">
        <v>9.9984319999999993</v>
      </c>
      <c r="BE40">
        <v>2.7269999999999999</v>
      </c>
      <c r="BF40">
        <v>5.115812</v>
      </c>
      <c r="BG40">
        <v>94.558770424517263</v>
      </c>
      <c r="BH40">
        <v>802.77694931200062</v>
      </c>
    </row>
    <row r="41" spans="1:60" x14ac:dyDescent="0.2">
      <c r="A41" s="33" t="s">
        <v>236</v>
      </c>
      <c r="B41" s="5">
        <f>QgsTop*1000000000</f>
        <v>1.6</v>
      </c>
      <c r="C41" s="416" t="s">
        <v>136</v>
      </c>
      <c r="D41" s="416" t="s">
        <v>713</v>
      </c>
      <c r="G41">
        <v>32</v>
      </c>
      <c r="H41">
        <f t="shared" si="0"/>
        <v>1.44</v>
      </c>
      <c r="I41" s="406">
        <f t="shared" si="1"/>
        <v>0.46813266211348747</v>
      </c>
      <c r="J41" s="407">
        <f t="shared" si="2"/>
        <v>3.3177367974024627</v>
      </c>
      <c r="K41" s="407">
        <f t="shared" si="31"/>
        <v>3.0988683987012315</v>
      </c>
      <c r="L41" s="407">
        <f t="shared" si="32"/>
        <v>-0.21886839870123143</v>
      </c>
      <c r="M41" s="63">
        <f t="shared" si="3"/>
        <v>6.7447888659855604</v>
      </c>
      <c r="N41" s="406">
        <f t="shared" ref="N41:N72" si="46">SQRT(H41^2+(J41^2)/12)</f>
        <v>1.7294165070151635</v>
      </c>
      <c r="O41" s="406">
        <f t="shared" si="5"/>
        <v>2.632529980559037E-3</v>
      </c>
      <c r="P41">
        <f t="shared" si="6"/>
        <v>0.2</v>
      </c>
      <c r="Q41" s="406">
        <f t="shared" si="34"/>
        <v>0.20263252998055906</v>
      </c>
      <c r="R41" s="9">
        <f t="shared" si="39"/>
        <v>0.95774811654031944</v>
      </c>
      <c r="S41" s="9">
        <f t="shared" si="7"/>
        <v>2.5683880732622823E-4</v>
      </c>
      <c r="T41" s="9">
        <f t="shared" si="40"/>
        <v>2.5683880732622823E-4</v>
      </c>
      <c r="U41" s="406">
        <f t="shared" ref="U41:U72" si="47">SQRT(I41)*SQRT(H41^2+(J41^2)/12)</f>
        <v>1.1832705935126044</v>
      </c>
      <c r="V41" s="408">
        <f t="shared" si="9"/>
        <v>1.4001292974716714E-3</v>
      </c>
      <c r="W41" s="406">
        <f t="shared" si="41"/>
        <v>1.4001292974716714E-3</v>
      </c>
      <c r="X41" s="406">
        <f t="shared" ref="X41:X72" si="48">SQRT(I41)*SQRT(H41^2+(J41^2)/12)</f>
        <v>1.1832705935126044</v>
      </c>
      <c r="Y41" s="406">
        <f t="shared" si="11"/>
        <v>7.2806723468526902E-2</v>
      </c>
      <c r="Z41" s="406">
        <f t="shared" si="12"/>
        <v>2.6591151354763063E-2</v>
      </c>
      <c r="AA41" s="406">
        <f t="shared" si="13"/>
        <v>0.10854029015742125</v>
      </c>
      <c r="AB41" s="406">
        <f t="shared" si="14"/>
        <v>1.7439434008514121E-3</v>
      </c>
      <c r="AC41" s="406">
        <f t="shared" ref="AC41:AC72" si="49">(AB41+AA41+Z41+Y41*(1+RdsonTopTc*Ta-RdsonTopTc*25))/(1-Y41*RdsonTopTc*ThetaJaTop)</f>
        <v>0.21309535885171821</v>
      </c>
      <c r="AD41" s="406">
        <f t="shared" ref="AD41:AD72" si="50">SQRT(1-I41)*SQRT(H41^2+(J41^2)/12)</f>
        <v>1.261250235783866</v>
      </c>
      <c r="AE41" s="406">
        <f t="shared" si="17"/>
        <v>1.5907521572648575E-2</v>
      </c>
      <c r="AF41" s="406">
        <f t="shared" si="18"/>
        <v>2.7778256325957835E-2</v>
      </c>
      <c r="AG41" s="406">
        <f t="shared" ref="AG41:AG72" si="51">(AF41+AE41*(1+RdsonBotTc*Ta-RdsonBotTc*25))/(1-AE41*RdsonBotTc*ThetaJaBot)</f>
        <v>4.379725081254613E-2</v>
      </c>
      <c r="AH41" s="406">
        <f t="shared" ref="AH41:AH72" si="52">IF(RDSON_sense=1, 0, AD41^2*Rshunt)</f>
        <v>0</v>
      </c>
      <c r="AI41">
        <f t="shared" si="21"/>
        <v>0</v>
      </c>
      <c r="AJ41" s="407">
        <f t="shared" si="22"/>
        <v>0.49675699200000001</v>
      </c>
      <c r="AK41">
        <f t="shared" si="23"/>
        <v>0.06</v>
      </c>
      <c r="AL41" s="407">
        <f t="shared" si="24"/>
        <v>4.0337999999999999E-2</v>
      </c>
      <c r="AM41" s="407">
        <f t="shared" si="25"/>
        <v>0.13814789189189189</v>
      </c>
      <c r="AN41" s="407">
        <f t="shared" si="42"/>
        <v>0.100338</v>
      </c>
      <c r="AO41" s="407">
        <f t="shared" ref="AO41:AO72" si="53">SUM(Q41,T41,W41,AC41,AJ41,AI41,AG41,AN41, AH41)</f>
        <v>1.0582770997496214</v>
      </c>
      <c r="AP41">
        <f t="shared" si="27"/>
        <v>20.16</v>
      </c>
      <c r="AQ41" s="10">
        <f t="shared" si="43"/>
        <v>0.95012426811213113</v>
      </c>
      <c r="AR41" s="63">
        <f t="shared" ref="AR41:AR72" si="54">ThetaJaTop*AC41</f>
        <v>11.720244736844501</v>
      </c>
      <c r="AS41" s="63">
        <f t="shared" si="44"/>
        <v>1.7518900325018452</v>
      </c>
      <c r="AT41" s="10"/>
      <c r="AU41">
        <f t="shared" si="45"/>
        <v>95.012426811213118</v>
      </c>
      <c r="BD41">
        <v>9.9985180000000007</v>
      </c>
      <c r="BE41">
        <v>3.1859999999999999</v>
      </c>
      <c r="BF41">
        <v>5.1148889999999998</v>
      </c>
      <c r="BG41">
        <v>94.58411932633652</v>
      </c>
      <c r="BH41">
        <v>933.10990806000302</v>
      </c>
    </row>
    <row r="42" spans="1:60" x14ac:dyDescent="0.2">
      <c r="A42" s="33" t="s">
        <v>168</v>
      </c>
      <c r="B42" s="5">
        <f>RGateTop</f>
        <v>4.5999999999999996</v>
      </c>
      <c r="C42" s="415" t="s">
        <v>208</v>
      </c>
      <c r="D42" s="31" t="s">
        <v>181</v>
      </c>
      <c r="G42">
        <v>33</v>
      </c>
      <c r="H42">
        <f t="shared" si="0"/>
        <v>1.4850000000000001</v>
      </c>
      <c r="I42" s="406">
        <f t="shared" si="1"/>
        <v>0.46817856991351686</v>
      </c>
      <c r="J42" s="407">
        <f t="shared" si="2"/>
        <v>3.3180621538874333</v>
      </c>
      <c r="K42" s="407">
        <f t="shared" si="31"/>
        <v>3.1440310769437168</v>
      </c>
      <c r="L42" s="407">
        <f t="shared" si="32"/>
        <v>-0.17403107694371656</v>
      </c>
      <c r="M42" s="63">
        <f t="shared" si="3"/>
        <v>5.3630532186045174</v>
      </c>
      <c r="N42" s="406">
        <f t="shared" si="46"/>
        <v>1.7671124388169748</v>
      </c>
      <c r="O42" s="406">
        <f t="shared" si="5"/>
        <v>2.7485682441795055E-3</v>
      </c>
      <c r="P42">
        <f t="shared" si="6"/>
        <v>0.2</v>
      </c>
      <c r="Q42" s="406">
        <f t="shared" si="34"/>
        <v>0.20274856824417953</v>
      </c>
      <c r="R42" s="9">
        <f t="shared" si="39"/>
        <v>0.9578420388674096</v>
      </c>
      <c r="S42" s="9">
        <f t="shared" si="7"/>
        <v>2.5688918399806933E-4</v>
      </c>
      <c r="T42" s="9">
        <f t="shared" si="40"/>
        <v>2.5688918399806933E-4</v>
      </c>
      <c r="U42" s="406">
        <f t="shared" si="47"/>
        <v>1.2091215156718658</v>
      </c>
      <c r="V42" s="408">
        <f t="shared" si="9"/>
        <v>1.4619748396606301E-3</v>
      </c>
      <c r="W42" s="406">
        <f t="shared" si="41"/>
        <v>1.4619748396606301E-3</v>
      </c>
      <c r="X42" s="406">
        <f t="shared" si="48"/>
        <v>1.2091215156718658</v>
      </c>
      <c r="Y42" s="406">
        <f t="shared" si="11"/>
        <v>7.6022691662352759E-2</v>
      </c>
      <c r="Z42" s="406">
        <f t="shared" si="12"/>
        <v>2.6978688822709651E-2</v>
      </c>
      <c r="AA42" s="406">
        <f t="shared" si="13"/>
        <v>0.11210171352970183</v>
      </c>
      <c r="AB42" s="406">
        <f t="shared" si="14"/>
        <v>1.3866796210875334E-3</v>
      </c>
      <c r="AC42" s="406">
        <f t="shared" si="49"/>
        <v>0.22017215113875666</v>
      </c>
      <c r="AD42" s="406">
        <f t="shared" si="50"/>
        <v>1.2886859709646283</v>
      </c>
      <c r="AE42" s="406">
        <f t="shared" si="17"/>
        <v>1.6607115317610468E-2</v>
      </c>
      <c r="AF42" s="406">
        <f t="shared" si="18"/>
        <v>2.818309457372347E-2</v>
      </c>
      <c r="AG42" s="406">
        <f t="shared" si="51"/>
        <v>4.4909540758892953E-2</v>
      </c>
      <c r="AH42" s="406">
        <f t="shared" si="52"/>
        <v>0</v>
      </c>
      <c r="AI42">
        <f t="shared" si="21"/>
        <v>0</v>
      </c>
      <c r="AJ42" s="407">
        <f t="shared" si="22"/>
        <v>0.49671814799999997</v>
      </c>
      <c r="AK42">
        <f t="shared" si="23"/>
        <v>0.06</v>
      </c>
      <c r="AL42" s="407">
        <f t="shared" si="24"/>
        <v>4.0337999999999999E-2</v>
      </c>
      <c r="AM42" s="407">
        <f t="shared" si="25"/>
        <v>0.13814789189189189</v>
      </c>
      <c r="AN42" s="407">
        <f t="shared" si="42"/>
        <v>0.100338</v>
      </c>
      <c r="AO42" s="407">
        <f t="shared" si="53"/>
        <v>1.0666052721654877</v>
      </c>
      <c r="AP42">
        <f t="shared" si="27"/>
        <v>20.790000000000003</v>
      </c>
      <c r="AQ42" s="10">
        <f t="shared" si="43"/>
        <v>0.95119986572096737</v>
      </c>
      <c r="AR42" s="63">
        <f t="shared" si="54"/>
        <v>12.109468312631616</v>
      </c>
      <c r="AS42" s="63">
        <f t="shared" si="44"/>
        <v>1.7963816303557181</v>
      </c>
      <c r="AT42" s="10"/>
      <c r="AU42">
        <f t="shared" si="45"/>
        <v>95.119986572096735</v>
      </c>
      <c r="BD42">
        <v>9.9984190000000002</v>
      </c>
      <c r="BE42">
        <v>3.6920000000000002</v>
      </c>
      <c r="BF42">
        <v>5.1137540000000001</v>
      </c>
      <c r="BG42">
        <v>94.441363374789603</v>
      </c>
      <c r="BH42">
        <v>1111.2391205219994</v>
      </c>
    </row>
    <row r="43" spans="1:60" x14ac:dyDescent="0.2">
      <c r="A43" s="33" t="s">
        <v>140</v>
      </c>
      <c r="B43" s="5">
        <f>GmTop</f>
        <v>45</v>
      </c>
      <c r="C43" s="416" t="s">
        <v>137</v>
      </c>
      <c r="D43" s="31" t="s">
        <v>182</v>
      </c>
      <c r="G43">
        <v>34</v>
      </c>
      <c r="H43">
        <f t="shared" si="0"/>
        <v>1.53</v>
      </c>
      <c r="I43" s="406">
        <f t="shared" si="1"/>
        <v>0.46822448351034579</v>
      </c>
      <c r="J43" s="407">
        <f t="shared" si="2"/>
        <v>3.3183875514553209</v>
      </c>
      <c r="K43" s="407">
        <f t="shared" si="31"/>
        <v>3.1891937757276603</v>
      </c>
      <c r="L43" s="407">
        <f t="shared" si="32"/>
        <v>-0.12919377572766044</v>
      </c>
      <c r="M43" s="63">
        <f t="shared" si="3"/>
        <v>3.9813182042422333</v>
      </c>
      <c r="N43" s="406">
        <f t="shared" si="46"/>
        <v>1.805143021611068</v>
      </c>
      <c r="O43" s="406">
        <f t="shared" si="5"/>
        <v>2.8681743320023057E-3</v>
      </c>
      <c r="P43">
        <f t="shared" si="6"/>
        <v>0.2</v>
      </c>
      <c r="Q43" s="406">
        <f t="shared" si="34"/>
        <v>0.20286817433200233</v>
      </c>
      <c r="R43" s="9">
        <f t="shared" si="39"/>
        <v>0.95793597305411637</v>
      </c>
      <c r="S43" s="9">
        <f t="shared" si="7"/>
        <v>2.5693957197191832E-4</v>
      </c>
      <c r="T43" s="9">
        <f t="shared" si="40"/>
        <v>2.5693957197191832E-4</v>
      </c>
      <c r="U43" s="406">
        <f t="shared" si="47"/>
        <v>1.2352039631253269</v>
      </c>
      <c r="V43" s="408">
        <f t="shared" si="9"/>
        <v>1.525728830520514E-3</v>
      </c>
      <c r="W43" s="406">
        <f t="shared" si="41"/>
        <v>1.525728830520514E-3</v>
      </c>
      <c r="X43" s="406">
        <f t="shared" si="48"/>
        <v>1.2352039631253269</v>
      </c>
      <c r="Y43" s="406">
        <f t="shared" si="11"/>
        <v>7.9337899187066713E-2</v>
      </c>
      <c r="Z43" s="406">
        <f t="shared" si="12"/>
        <v>2.7366226466920919E-2</v>
      </c>
      <c r="AA43" s="406">
        <f t="shared" si="13"/>
        <v>0.11533923701439104</v>
      </c>
      <c r="AB43" s="406">
        <f t="shared" si="14"/>
        <v>1.0294160049979983E-3</v>
      </c>
      <c r="AC43" s="406">
        <f t="shared" si="49"/>
        <v>0.22703553357377951</v>
      </c>
      <c r="AD43" s="406">
        <f t="shared" si="50"/>
        <v>1.316363360911653</v>
      </c>
      <c r="AE43" s="406">
        <f t="shared" si="17"/>
        <v>1.7328124979506226E-2</v>
      </c>
      <c r="AF43" s="406">
        <f t="shared" si="18"/>
        <v>2.8587933005622741E-2</v>
      </c>
      <c r="AG43" s="406">
        <f t="shared" si="51"/>
        <v>4.6043714182549107E-2</v>
      </c>
      <c r="AH43" s="406">
        <f t="shared" si="52"/>
        <v>0</v>
      </c>
      <c r="AI43">
        <f t="shared" si="21"/>
        <v>0</v>
      </c>
      <c r="AJ43" s="407">
        <f t="shared" si="22"/>
        <v>0.49667930399999999</v>
      </c>
      <c r="AK43">
        <f t="shared" si="23"/>
        <v>0.06</v>
      </c>
      <c r="AL43" s="407">
        <f t="shared" si="24"/>
        <v>4.0337999999999999E-2</v>
      </c>
      <c r="AM43" s="407">
        <f t="shared" si="25"/>
        <v>0.13814789189189189</v>
      </c>
      <c r="AN43" s="407">
        <f t="shared" si="42"/>
        <v>0.100338</v>
      </c>
      <c r="AO43" s="407">
        <f t="shared" si="53"/>
        <v>1.0747473944908235</v>
      </c>
      <c r="AP43">
        <f t="shared" si="27"/>
        <v>21.42</v>
      </c>
      <c r="AQ43" s="10">
        <f t="shared" si="43"/>
        <v>0.95222229547000647</v>
      </c>
      <c r="AR43" s="63">
        <f t="shared" si="54"/>
        <v>12.486954346557873</v>
      </c>
      <c r="AS43" s="63">
        <f t="shared" si="44"/>
        <v>1.8417485673019642</v>
      </c>
      <c r="AT43" s="10"/>
      <c r="AU43">
        <f t="shared" si="45"/>
        <v>95.222229547000651</v>
      </c>
      <c r="BD43">
        <v>9.998246</v>
      </c>
      <c r="BE43">
        <v>4.2430000000000003</v>
      </c>
      <c r="BF43">
        <v>5.1120590000000004</v>
      </c>
      <c r="BG43">
        <v>94.267178615859891</v>
      </c>
      <c r="BH43">
        <v>1319.0970775599953</v>
      </c>
    </row>
    <row r="44" spans="1:60" x14ac:dyDescent="0.2">
      <c r="A44" s="33" t="s">
        <v>170</v>
      </c>
      <c r="B44" s="5">
        <f>VthTop</f>
        <v>5</v>
      </c>
      <c r="C44" s="416" t="s">
        <v>0</v>
      </c>
      <c r="D44" s="31" t="s">
        <v>183</v>
      </c>
      <c r="G44">
        <v>35</v>
      </c>
      <c r="H44">
        <f t="shared" si="0"/>
        <v>1.575</v>
      </c>
      <c r="I44" s="406">
        <f t="shared" si="1"/>
        <v>0.46827040290507238</v>
      </c>
      <c r="J44" s="407">
        <f t="shared" si="2"/>
        <v>3.3187129901139079</v>
      </c>
      <c r="K44" s="407">
        <f t="shared" si="31"/>
        <v>3.2343564950569537</v>
      </c>
      <c r="L44" s="407">
        <f t="shared" si="32"/>
        <v>-8.4356495056953973E-2</v>
      </c>
      <c r="M44" s="63">
        <f t="shared" si="3"/>
        <v>2.5995838230186128</v>
      </c>
      <c r="N44" s="406">
        <f t="shared" si="46"/>
        <v>1.8434875442746825</v>
      </c>
      <c r="O44" s="406">
        <f t="shared" si="5"/>
        <v>2.9913484487634119E-3</v>
      </c>
      <c r="P44">
        <f t="shared" si="6"/>
        <v>0.2</v>
      </c>
      <c r="Q44" s="406">
        <f t="shared" si="34"/>
        <v>0.20299134844876343</v>
      </c>
      <c r="R44" s="9">
        <f t="shared" si="39"/>
        <v>0.95802991910268631</v>
      </c>
      <c r="S44" s="9">
        <f t="shared" si="7"/>
        <v>2.5698997125085194E-4</v>
      </c>
      <c r="T44" s="9">
        <f t="shared" si="40"/>
        <v>2.5698997125085194E-4</v>
      </c>
      <c r="U44" s="406">
        <f t="shared" si="47"/>
        <v>1.2615037971716676</v>
      </c>
      <c r="V44" s="408">
        <f t="shared" si="9"/>
        <v>1.591391830278536E-3</v>
      </c>
      <c r="W44" s="406">
        <f t="shared" si="41"/>
        <v>1.591391830278536E-3</v>
      </c>
      <c r="X44" s="406">
        <f t="shared" si="48"/>
        <v>1.2615037971716676</v>
      </c>
      <c r="Y44" s="406">
        <f t="shared" si="11"/>
        <v>8.2752375174483861E-2</v>
      </c>
      <c r="Z44" s="406">
        <f t="shared" si="12"/>
        <v>2.775376428743025E-2</v>
      </c>
      <c r="AA44" s="406">
        <f t="shared" si="13"/>
        <v>0.11825286105641572</v>
      </c>
      <c r="AB44" s="406">
        <f t="shared" si="14"/>
        <v>6.7215255261380918E-4</v>
      </c>
      <c r="AC44" s="406">
        <f t="shared" si="49"/>
        <v>0.23368552007353699</v>
      </c>
      <c r="AD44" s="406">
        <f t="shared" si="50"/>
        <v>1.3442672709016477</v>
      </c>
      <c r="AE44" s="406">
        <f t="shared" si="17"/>
        <v>1.8070544956173638E-2</v>
      </c>
      <c r="AF44" s="406">
        <f t="shared" si="18"/>
        <v>2.8992771621690526E-2</v>
      </c>
      <c r="AG44" s="406">
        <f t="shared" si="51"/>
        <v>4.7199784710910603E-2</v>
      </c>
      <c r="AH44" s="406">
        <f t="shared" si="52"/>
        <v>0</v>
      </c>
      <c r="AI44">
        <f t="shared" si="21"/>
        <v>0</v>
      </c>
      <c r="AJ44" s="407">
        <f t="shared" si="22"/>
        <v>0.49664046000000001</v>
      </c>
      <c r="AK44">
        <f t="shared" si="23"/>
        <v>0.06</v>
      </c>
      <c r="AL44" s="407">
        <f t="shared" si="24"/>
        <v>4.0337999999999999E-2</v>
      </c>
      <c r="AM44" s="407">
        <f t="shared" si="25"/>
        <v>0.13814789189189189</v>
      </c>
      <c r="AN44" s="407">
        <f t="shared" si="42"/>
        <v>0.100338</v>
      </c>
      <c r="AO44" s="407">
        <f t="shared" si="53"/>
        <v>1.0827034950347403</v>
      </c>
      <c r="AP44">
        <f t="shared" si="27"/>
        <v>22.05</v>
      </c>
      <c r="AQ44" s="10">
        <f t="shared" si="43"/>
        <v>0.95319598095107505</v>
      </c>
      <c r="AR44" s="63">
        <f t="shared" si="54"/>
        <v>12.852703604044535</v>
      </c>
      <c r="AS44" s="63">
        <f t="shared" si="44"/>
        <v>1.8879913884364241</v>
      </c>
      <c r="AT44" s="10"/>
      <c r="AU44">
        <f t="shared" si="45"/>
        <v>95.319598095107509</v>
      </c>
      <c r="BD44">
        <v>9.9981469999999995</v>
      </c>
      <c r="BE44">
        <v>4.8490000000000002</v>
      </c>
      <c r="BF44">
        <v>5.1107740000000002</v>
      </c>
      <c r="BG44">
        <v>93.953815994681278</v>
      </c>
      <c r="BH44">
        <v>1594.7983209009985</v>
      </c>
    </row>
    <row r="45" spans="1:60" x14ac:dyDescent="0.2">
      <c r="A45" s="38" t="s">
        <v>235</v>
      </c>
      <c r="B45" s="5">
        <f>VspTop</f>
        <v>5.2</v>
      </c>
      <c r="C45" s="417" t="s">
        <v>0</v>
      </c>
      <c r="G45">
        <v>36</v>
      </c>
      <c r="H45">
        <f t="shared" si="0"/>
        <v>1.6199999999999999</v>
      </c>
      <c r="I45" s="406">
        <f t="shared" si="1"/>
        <v>0.4683163280987947</v>
      </c>
      <c r="J45" s="407">
        <f t="shared" si="2"/>
        <v>3.3190384698709758</v>
      </c>
      <c r="K45" s="407">
        <f t="shared" si="31"/>
        <v>3.2795192349354876</v>
      </c>
      <c r="L45" s="407">
        <f t="shared" si="32"/>
        <v>-3.9519234935488035E-2</v>
      </c>
      <c r="M45" s="63">
        <f t="shared" si="3"/>
        <v>1.2178500750535606</v>
      </c>
      <c r="N45" s="406">
        <f t="shared" si="46"/>
        <v>1.8821268192411889</v>
      </c>
      <c r="O45" s="406">
        <f t="shared" si="5"/>
        <v>3.1180908053122318E-3</v>
      </c>
      <c r="P45">
        <f t="shared" si="6"/>
        <v>0.2</v>
      </c>
      <c r="Q45" s="406">
        <f t="shared" si="34"/>
        <v>0.20311809080531223</v>
      </c>
      <c r="R45" s="9">
        <f t="shared" si="39"/>
        <v>0.95812387701536583</v>
      </c>
      <c r="S45" s="9">
        <f t="shared" si="7"/>
        <v>2.5704038183794765E-4</v>
      </c>
      <c r="T45" s="9">
        <f t="shared" si="40"/>
        <v>2.5704038183794765E-4</v>
      </c>
      <c r="U45" s="406">
        <f t="shared" si="47"/>
        <v>1.2880079189598967</v>
      </c>
      <c r="V45" s="408">
        <f t="shared" si="9"/>
        <v>1.6589643993034041E-3</v>
      </c>
      <c r="W45" s="406">
        <f t="shared" si="41"/>
        <v>1.6589643993034041E-3</v>
      </c>
      <c r="X45" s="406">
        <f t="shared" si="48"/>
        <v>1.2880079189598967</v>
      </c>
      <c r="Y45" s="406">
        <f t="shared" si="11"/>
        <v>8.6266148763777001E-2</v>
      </c>
      <c r="Z45" s="406">
        <f t="shared" si="12"/>
        <v>2.8141302284271041E-2</v>
      </c>
      <c r="AA45" s="406">
        <f t="shared" si="13"/>
        <v>0.12084258610081489</v>
      </c>
      <c r="AB45" s="406">
        <f t="shared" si="14"/>
        <v>3.1488926396596866E-4</v>
      </c>
      <c r="AC45" s="406">
        <f t="shared" si="49"/>
        <v>0.24012209627821024</v>
      </c>
      <c r="AD45" s="406">
        <f t="shared" si="50"/>
        <v>1.3723836797352083</v>
      </c>
      <c r="AE45" s="406">
        <f t="shared" si="17"/>
        <v>1.8834369644035506E-2</v>
      </c>
      <c r="AF45" s="406">
        <f t="shared" si="18"/>
        <v>2.9397610421961703E-2</v>
      </c>
      <c r="AG45" s="406">
        <f t="shared" si="51"/>
        <v>4.8377766423657369E-2</v>
      </c>
      <c r="AH45" s="406">
        <f t="shared" si="52"/>
        <v>0</v>
      </c>
      <c r="AI45">
        <f t="shared" si="21"/>
        <v>0</v>
      </c>
      <c r="AJ45" s="407">
        <f t="shared" si="22"/>
        <v>0.49660161599999997</v>
      </c>
      <c r="AK45">
        <f t="shared" si="23"/>
        <v>0.06</v>
      </c>
      <c r="AL45" s="407">
        <f t="shared" si="24"/>
        <v>4.0337999999999999E-2</v>
      </c>
      <c r="AM45" s="407">
        <f t="shared" si="25"/>
        <v>0.13814789189189189</v>
      </c>
      <c r="AN45" s="407">
        <f t="shared" si="42"/>
        <v>0.100338</v>
      </c>
      <c r="AO45" s="407">
        <f t="shared" si="53"/>
        <v>1.0904735742883211</v>
      </c>
      <c r="AP45">
        <f t="shared" si="27"/>
        <v>22.68</v>
      </c>
      <c r="AQ45" s="10">
        <f t="shared" si="43"/>
        <v>0.95412486962532173</v>
      </c>
      <c r="AR45" s="63">
        <f t="shared" si="54"/>
        <v>13.206715295301564</v>
      </c>
      <c r="AS45" s="63">
        <f t="shared" si="44"/>
        <v>1.9351106569462948</v>
      </c>
      <c r="AT45" s="10"/>
      <c r="AU45">
        <f t="shared" si="45"/>
        <v>95.412486962532171</v>
      </c>
      <c r="BD45">
        <v>9.9979859999999992</v>
      </c>
      <c r="BE45">
        <v>5.4960000000000004</v>
      </c>
      <c r="BF45">
        <v>5.1097890000000001</v>
      </c>
      <c r="BG45">
        <v>93.599771362833366</v>
      </c>
      <c r="BH45">
        <v>1920.3056923499939</v>
      </c>
    </row>
    <row r="46" spans="1:60" x14ac:dyDescent="0.2">
      <c r="A46" s="118" t="s">
        <v>377</v>
      </c>
      <c r="B46" s="5">
        <f>VsdTop</f>
        <v>0.8</v>
      </c>
      <c r="C46" s="417" t="s">
        <v>0</v>
      </c>
      <c r="G46">
        <v>37</v>
      </c>
      <c r="H46">
        <f t="shared" si="0"/>
        <v>1.665</v>
      </c>
      <c r="I46" s="406">
        <f t="shared" si="1"/>
        <v>0.46836225909261159</v>
      </c>
      <c r="J46" s="407">
        <f t="shared" si="2"/>
        <v>3.3193639907343129</v>
      </c>
      <c r="K46" s="407">
        <f t="shared" si="31"/>
        <v>3.3246819953671567</v>
      </c>
      <c r="L46" s="407">
        <f t="shared" si="32"/>
        <v>5.3180046328435981E-3</v>
      </c>
      <c r="M46" s="63">
        <f t="shared" si="3"/>
        <v>0</v>
      </c>
      <c r="N46" s="406">
        <f t="shared" si="46"/>
        <v>1.9210430609216707</v>
      </c>
      <c r="O46" s="406">
        <f t="shared" si="5"/>
        <v>3.2484016186125173E-3</v>
      </c>
      <c r="P46">
        <f t="shared" si="6"/>
        <v>0.2</v>
      </c>
      <c r="Q46" s="406">
        <f t="shared" si="34"/>
        <v>0.20324840161861252</v>
      </c>
      <c r="R46" s="9">
        <f t="shared" si="39"/>
        <v>0.95821784679440303</v>
      </c>
      <c r="S46" s="9">
        <f t="shared" si="7"/>
        <v>2.5709080373628458E-4</v>
      </c>
      <c r="T46" s="9">
        <f t="shared" si="40"/>
        <v>2.5709080373628458E-4</v>
      </c>
      <c r="U46" s="406">
        <f t="shared" si="47"/>
        <v>1.3147041865398381</v>
      </c>
      <c r="V46" s="408">
        <f t="shared" si="9"/>
        <v>1.7284470981053775E-3</v>
      </c>
      <c r="W46" s="406">
        <f t="shared" si="41"/>
        <v>1.7284470981053775E-3</v>
      </c>
      <c r="X46" s="406">
        <f t="shared" si="48"/>
        <v>1.3147041865398381</v>
      </c>
      <c r="Y46" s="406">
        <f t="shared" si="11"/>
        <v>8.9879249101479625E-2</v>
      </c>
      <c r="Z46" s="406">
        <f t="shared" si="12"/>
        <v>2.8632011597094598E-2</v>
      </c>
      <c r="AA46" s="406">
        <f t="shared" si="13"/>
        <v>0.1228566</v>
      </c>
      <c r="AB46" s="406">
        <f t="shared" si="14"/>
        <v>0</v>
      </c>
      <c r="AC46" s="406">
        <f t="shared" si="49"/>
        <v>0.24623680817087373</v>
      </c>
      <c r="AD46" s="406">
        <f t="shared" si="50"/>
        <v>1.4006995908509163</v>
      </c>
      <c r="AE46" s="406">
        <f t="shared" si="17"/>
        <v>1.9619593438099242E-2</v>
      </c>
      <c r="AF46" s="406">
        <f t="shared" si="18"/>
        <v>2.9850119999999994E-2</v>
      </c>
      <c r="AG46" s="406">
        <f t="shared" si="51"/>
        <v>4.962549456249616E-2</v>
      </c>
      <c r="AH46" s="406">
        <f t="shared" si="52"/>
        <v>0</v>
      </c>
      <c r="AI46">
        <f t="shared" si="21"/>
        <v>0</v>
      </c>
      <c r="AJ46" s="407">
        <f t="shared" si="22"/>
        <v>0.49656277199999999</v>
      </c>
      <c r="AK46">
        <f t="shared" si="23"/>
        <v>0.06</v>
      </c>
      <c r="AL46" s="407">
        <f t="shared" si="24"/>
        <v>4.0337999999999999E-2</v>
      </c>
      <c r="AM46" s="407">
        <f t="shared" si="25"/>
        <v>0.13814789189189189</v>
      </c>
      <c r="AN46" s="407">
        <f t="shared" si="42"/>
        <v>0.100338</v>
      </c>
      <c r="AO46" s="407">
        <f t="shared" si="53"/>
        <v>1.097997014253824</v>
      </c>
      <c r="AP46">
        <f t="shared" si="27"/>
        <v>23.310000000000002</v>
      </c>
      <c r="AQ46" s="10">
        <f t="shared" si="43"/>
        <v>0.95501486608620056</v>
      </c>
      <c r="AR46" s="63">
        <f t="shared" si="54"/>
        <v>13.543024449398056</v>
      </c>
      <c r="AS46" s="63">
        <f t="shared" si="44"/>
        <v>1.9850197824998463</v>
      </c>
      <c r="AT46" s="10"/>
      <c r="AU46">
        <f t="shared" si="45"/>
        <v>95.501486608620056</v>
      </c>
      <c r="BD46">
        <v>9.9978999999999996</v>
      </c>
      <c r="BE46">
        <v>6.1950000000000003</v>
      </c>
      <c r="BF46">
        <v>5.109191</v>
      </c>
      <c r="BG46">
        <v>93.156651672159526</v>
      </c>
      <c r="BH46">
        <v>2325.1351758999972</v>
      </c>
    </row>
    <row r="47" spans="1:60" x14ac:dyDescent="0.2">
      <c r="A47" s="33" t="s">
        <v>161</v>
      </c>
      <c r="B47" s="5">
        <f>ThetaJaTop</f>
        <v>55</v>
      </c>
      <c r="C47" s="416" t="s">
        <v>380</v>
      </c>
      <c r="D47" s="31" t="s">
        <v>184</v>
      </c>
      <c r="G47">
        <v>38</v>
      </c>
      <c r="H47">
        <f t="shared" si="0"/>
        <v>1.71</v>
      </c>
      <c r="I47" s="406">
        <f t="shared" si="1"/>
        <v>0.46840819588762161</v>
      </c>
      <c r="J47" s="407">
        <f t="shared" si="2"/>
        <v>3.3196895527117052</v>
      </c>
      <c r="K47" s="407">
        <f t="shared" si="31"/>
        <v>3.3698447763558526</v>
      </c>
      <c r="L47" s="407">
        <f t="shared" si="32"/>
        <v>5.0155223644147373E-2</v>
      </c>
      <c r="M47" s="63">
        <f t="shared" si="3"/>
        <v>0</v>
      </c>
      <c r="N47" s="406">
        <f t="shared" si="46"/>
        <v>1.9602197735284523</v>
      </c>
      <c r="O47" s="406">
        <f t="shared" si="5"/>
        <v>3.382281111743283E-3</v>
      </c>
      <c r="P47">
        <f t="shared" si="6"/>
        <v>0.2</v>
      </c>
      <c r="Q47" s="406">
        <f t="shared" si="34"/>
        <v>0.20338228111174331</v>
      </c>
      <c r="R47" s="9">
        <f t="shared" si="39"/>
        <v>0.95831182844204577</v>
      </c>
      <c r="S47" s="9">
        <f t="shared" si="7"/>
        <v>2.5714123694894236E-4</v>
      </c>
      <c r="T47" s="9">
        <f t="shared" si="40"/>
        <v>2.5714123694894236E-4</v>
      </c>
      <c r="U47" s="406">
        <f t="shared" si="47"/>
        <v>1.3415813383229136</v>
      </c>
      <c r="V47" s="408">
        <f t="shared" si="9"/>
        <v>1.7998404873362998E-3</v>
      </c>
      <c r="W47" s="406">
        <f t="shared" si="41"/>
        <v>1.7998404873362998E-3</v>
      </c>
      <c r="X47" s="406">
        <f t="shared" si="48"/>
        <v>1.3415813383229136</v>
      </c>
      <c r="Y47" s="406">
        <f t="shared" si="11"/>
        <v>9.3591705341487585E-2</v>
      </c>
      <c r="Z47" s="406">
        <f t="shared" si="12"/>
        <v>2.9889407591072257E-2</v>
      </c>
      <c r="AA47" s="406">
        <f t="shared" si="13"/>
        <v>0.1228566</v>
      </c>
      <c r="AB47" s="406">
        <f t="shared" si="14"/>
        <v>0</v>
      </c>
      <c r="AC47" s="406">
        <f t="shared" si="49"/>
        <v>0.25151648134284055</v>
      </c>
      <c r="AD47" s="406">
        <f t="shared" si="50"/>
        <v>1.4292029503172869</v>
      </c>
      <c r="AE47" s="406">
        <f t="shared" si="17"/>
        <v>2.0426210731956378E-2</v>
      </c>
      <c r="AF47" s="406">
        <f t="shared" si="18"/>
        <v>3.0656879999999994E-2</v>
      </c>
      <c r="AG47" s="406">
        <f t="shared" si="51"/>
        <v>5.1250587580284605E-2</v>
      </c>
      <c r="AH47" s="406">
        <f t="shared" si="52"/>
        <v>0</v>
      </c>
      <c r="AI47">
        <f t="shared" si="21"/>
        <v>0</v>
      </c>
      <c r="AJ47" s="407">
        <f t="shared" si="22"/>
        <v>0.496523928</v>
      </c>
      <c r="AK47">
        <f t="shared" si="23"/>
        <v>0.06</v>
      </c>
      <c r="AL47" s="407">
        <f t="shared" si="24"/>
        <v>4.0337999999999999E-2</v>
      </c>
      <c r="AM47" s="407">
        <f t="shared" si="25"/>
        <v>0.13814789189189189</v>
      </c>
      <c r="AN47" s="407">
        <f t="shared" si="42"/>
        <v>0.100338</v>
      </c>
      <c r="AO47" s="407">
        <f t="shared" si="53"/>
        <v>1.1050682597591537</v>
      </c>
      <c r="AP47">
        <f t="shared" si="27"/>
        <v>23.939999999999998</v>
      </c>
      <c r="AQ47" s="10">
        <f t="shared" si="43"/>
        <v>0.95587681182188233</v>
      </c>
      <c r="AR47" s="63">
        <f t="shared" si="54"/>
        <v>13.833406473856231</v>
      </c>
      <c r="AS47" s="63">
        <f t="shared" si="44"/>
        <v>2.050023503211384</v>
      </c>
      <c r="AT47" s="10"/>
      <c r="AU47">
        <f t="shared" si="45"/>
        <v>95.587681182188234</v>
      </c>
      <c r="BD47">
        <v>9.9976269999999996</v>
      </c>
      <c r="BE47">
        <v>6.9470000000000001</v>
      </c>
      <c r="BF47">
        <v>5.1086669999999996</v>
      </c>
      <c r="BG47">
        <v>92.656807634751772</v>
      </c>
      <c r="BH47">
        <v>2812.6290012010018</v>
      </c>
    </row>
    <row r="48" spans="1:60" x14ac:dyDescent="0.2">
      <c r="A48" s="34" t="s">
        <v>130</v>
      </c>
      <c r="B48" s="25" t="s">
        <v>201</v>
      </c>
      <c r="C48" s="34" t="s">
        <v>148</v>
      </c>
      <c r="D48" s="27" t="s">
        <v>188</v>
      </c>
      <c r="G48">
        <v>39</v>
      </c>
      <c r="H48">
        <f t="shared" si="0"/>
        <v>1.7550000000000001</v>
      </c>
      <c r="I48" s="406">
        <f t="shared" si="1"/>
        <v>0.46845413848492412</v>
      </c>
      <c r="J48" s="407">
        <f t="shared" si="2"/>
        <v>3.3200151558109434</v>
      </c>
      <c r="K48" s="407">
        <f t="shared" si="31"/>
        <v>3.415007577905472</v>
      </c>
      <c r="L48" s="407">
        <f t="shared" si="32"/>
        <v>9.4992422094528406E-2</v>
      </c>
      <c r="M48" s="63">
        <f t="shared" si="3"/>
        <v>0</v>
      </c>
      <c r="N48" s="406">
        <f t="shared" si="46"/>
        <v>1.9996416477878891</v>
      </c>
      <c r="O48" s="406">
        <f t="shared" si="5"/>
        <v>3.5197295138997705E-3</v>
      </c>
      <c r="P48">
        <f t="shared" si="6"/>
        <v>0.2</v>
      </c>
      <c r="Q48" s="406">
        <f t="shared" si="34"/>
        <v>0.20351972951389979</v>
      </c>
      <c r="R48" s="9">
        <f t="shared" si="39"/>
        <v>0.9584058219605428</v>
      </c>
      <c r="S48" s="9">
        <f t="shared" si="7"/>
        <v>2.5719168147900185E-4</v>
      </c>
      <c r="T48" s="9">
        <f t="shared" si="40"/>
        <v>2.5719168147900185E-4</v>
      </c>
      <c r="U48" s="406">
        <f t="shared" si="47"/>
        <v>1.3686289226045361</v>
      </c>
      <c r="V48" s="408">
        <f t="shared" si="9"/>
        <v>1.8731451277896531E-3</v>
      </c>
      <c r="W48" s="406">
        <f t="shared" si="41"/>
        <v>1.8731451277896531E-3</v>
      </c>
      <c r="X48" s="406">
        <f t="shared" si="48"/>
        <v>1.3686289226045361</v>
      </c>
      <c r="Y48" s="406">
        <f t="shared" si="11"/>
        <v>9.7403546645061956E-2</v>
      </c>
      <c r="Z48" s="406">
        <f t="shared" si="12"/>
        <v>3.1146803362592568E-2</v>
      </c>
      <c r="AA48" s="406">
        <f t="shared" si="13"/>
        <v>0.1228566</v>
      </c>
      <c r="AB48" s="406">
        <f t="shared" si="14"/>
        <v>0</v>
      </c>
      <c r="AC48" s="406">
        <f t="shared" si="49"/>
        <v>0.25691226651335947</v>
      </c>
      <c r="AD48" s="406">
        <f t="shared" si="50"/>
        <v>1.4578825713267209</v>
      </c>
      <c r="AE48" s="406">
        <f t="shared" si="17"/>
        <v>2.1254215917782118E-2</v>
      </c>
      <c r="AF48" s="406">
        <f t="shared" si="18"/>
        <v>3.1463640000000001E-2</v>
      </c>
      <c r="AG48" s="406">
        <f t="shared" si="51"/>
        <v>5.2897743929147506E-2</v>
      </c>
      <c r="AH48" s="406">
        <f t="shared" si="52"/>
        <v>0</v>
      </c>
      <c r="AI48">
        <f t="shared" si="21"/>
        <v>0</v>
      </c>
      <c r="AJ48" s="407">
        <f t="shared" si="22"/>
        <v>0.49648508400000002</v>
      </c>
      <c r="AK48">
        <f t="shared" si="23"/>
        <v>0.06</v>
      </c>
      <c r="AL48" s="407">
        <f t="shared" si="24"/>
        <v>4.0337999999999999E-2</v>
      </c>
      <c r="AM48" s="407">
        <f t="shared" si="25"/>
        <v>0.13814789189189189</v>
      </c>
      <c r="AN48" s="407">
        <f t="shared" si="42"/>
        <v>0.100338</v>
      </c>
      <c r="AO48" s="407">
        <f t="shared" si="53"/>
        <v>1.1122831607656756</v>
      </c>
      <c r="AP48">
        <f t="shared" si="27"/>
        <v>24.57</v>
      </c>
      <c r="AQ48" s="10">
        <f t="shared" si="43"/>
        <v>0.95669064335896403</v>
      </c>
      <c r="AR48" s="63">
        <f t="shared" si="54"/>
        <v>14.13017465823477</v>
      </c>
      <c r="AS48" s="63">
        <f t="shared" si="44"/>
        <v>2.1159097571659</v>
      </c>
      <c r="AT48" s="10"/>
      <c r="AU48">
        <f t="shared" si="45"/>
        <v>95.669064335896408</v>
      </c>
      <c r="BD48">
        <v>9.9975280000000009</v>
      </c>
      <c r="BE48">
        <v>7.7530000000000001</v>
      </c>
      <c r="BF48">
        <v>5.10853</v>
      </c>
      <c r="BG48">
        <v>92.034336419785248</v>
      </c>
      <c r="BH48">
        <v>3427.976173640001</v>
      </c>
    </row>
    <row r="49" spans="1:60" x14ac:dyDescent="0.2">
      <c r="A49" s="33" t="s">
        <v>139</v>
      </c>
      <c r="B49" s="5">
        <f>RdsonBot*1000</f>
        <v>10</v>
      </c>
      <c r="C49" s="416" t="s">
        <v>613</v>
      </c>
      <c r="D49" s="31" t="s">
        <v>192</v>
      </c>
      <c r="G49">
        <v>40</v>
      </c>
      <c r="H49">
        <f t="shared" si="0"/>
        <v>1.8</v>
      </c>
      <c r="I49" s="406">
        <f t="shared" si="1"/>
        <v>0.46850008688561839</v>
      </c>
      <c r="J49" s="407">
        <f t="shared" si="2"/>
        <v>3.3203408000398182</v>
      </c>
      <c r="K49" s="407">
        <f t="shared" si="31"/>
        <v>3.4601704000199094</v>
      </c>
      <c r="L49" s="407">
        <f t="shared" si="32"/>
        <v>0.13982959998009092</v>
      </c>
      <c r="M49" s="63">
        <f t="shared" si="3"/>
        <v>0</v>
      </c>
      <c r="N49" s="406">
        <f t="shared" si="46"/>
        <v>2.0392944659940824</v>
      </c>
      <c r="O49" s="406">
        <f t="shared" si="5"/>
        <v>3.6607470603944223E-3</v>
      </c>
      <c r="P49">
        <f t="shared" si="6"/>
        <v>0.2</v>
      </c>
      <c r="Q49" s="406">
        <f t="shared" si="34"/>
        <v>0.20366074706039444</v>
      </c>
      <c r="R49" s="9">
        <f t="shared" si="39"/>
        <v>0.95849982735214323</v>
      </c>
      <c r="S49" s="9">
        <f t="shared" si="7"/>
        <v>2.5724213732954479E-4</v>
      </c>
      <c r="T49" s="9">
        <f t="shared" si="40"/>
        <v>2.5724213732954479E-4</v>
      </c>
      <c r="U49" s="406">
        <f t="shared" si="47"/>
        <v>1.3958372327748665</v>
      </c>
      <c r="V49" s="408">
        <f t="shared" si="9"/>
        <v>1.9483615804005967E-3</v>
      </c>
      <c r="W49" s="406">
        <f t="shared" si="41"/>
        <v>1.9483615804005967E-3</v>
      </c>
      <c r="X49" s="406">
        <f t="shared" si="48"/>
        <v>1.3958372327748665</v>
      </c>
      <c r="Y49" s="406">
        <f t="shared" si="11"/>
        <v>0.10131480218083103</v>
      </c>
      <c r="Z49" s="406">
        <f t="shared" si="12"/>
        <v>3.2404198911613356E-2</v>
      </c>
      <c r="AA49" s="406">
        <f t="shared" si="13"/>
        <v>0.1228566</v>
      </c>
      <c r="AB49" s="406">
        <f t="shared" si="14"/>
        <v>0</v>
      </c>
      <c r="AC49" s="406">
        <f t="shared" si="49"/>
        <v>0.26242485601482896</v>
      </c>
      <c r="AD49" s="406">
        <f t="shared" si="50"/>
        <v>1.4867280647897558</v>
      </c>
      <c r="AE49" s="406">
        <f t="shared" si="17"/>
        <v>2.2103603386334925E-2</v>
      </c>
      <c r="AF49" s="406">
        <f t="shared" si="18"/>
        <v>3.2270399999999998E-2</v>
      </c>
      <c r="AG49" s="406">
        <f t="shared" si="51"/>
        <v>5.4566983700848871E-2</v>
      </c>
      <c r="AH49" s="406">
        <f t="shared" si="52"/>
        <v>0</v>
      </c>
      <c r="AI49">
        <f t="shared" si="21"/>
        <v>0</v>
      </c>
      <c r="AJ49" s="407">
        <f t="shared" si="22"/>
        <v>0.49644624000000004</v>
      </c>
      <c r="AK49">
        <f t="shared" si="23"/>
        <v>0.06</v>
      </c>
      <c r="AL49" s="407">
        <f t="shared" si="24"/>
        <v>4.0337999999999999E-2</v>
      </c>
      <c r="AM49" s="407">
        <f t="shared" si="25"/>
        <v>0.13814789189189189</v>
      </c>
      <c r="AN49" s="407">
        <f t="shared" si="42"/>
        <v>0.100338</v>
      </c>
      <c r="AO49" s="407">
        <f t="shared" si="53"/>
        <v>1.1196424304938024</v>
      </c>
      <c r="AP49">
        <f t="shared" si="27"/>
        <v>25.2</v>
      </c>
      <c r="AQ49" s="10">
        <f t="shared" si="43"/>
        <v>0.95745981604990993</v>
      </c>
      <c r="AR49" s="63">
        <f t="shared" si="54"/>
        <v>14.433367080815593</v>
      </c>
      <c r="AS49" s="63">
        <f t="shared" si="44"/>
        <v>2.1826793480339548</v>
      </c>
      <c r="AT49" s="10"/>
      <c r="AU49">
        <f t="shared" si="45"/>
        <v>95.745981604990988</v>
      </c>
      <c r="BD49">
        <v>9.9970090000000003</v>
      </c>
      <c r="BE49">
        <v>8.6120000000000001</v>
      </c>
      <c r="BF49">
        <v>5.1085419999999999</v>
      </c>
      <c r="BG49">
        <v>91.346378256658895</v>
      </c>
      <c r="BH49">
        <v>4167.8065612820019</v>
      </c>
    </row>
    <row r="50" spans="1:60" x14ac:dyDescent="0.2">
      <c r="A50" s="33" t="s">
        <v>153</v>
      </c>
      <c r="B50" s="5">
        <v>4500</v>
      </c>
      <c r="C50" s="416" t="s">
        <v>614</v>
      </c>
      <c r="D50" s="31" t="s">
        <v>185</v>
      </c>
      <c r="G50">
        <v>41</v>
      </c>
      <c r="H50">
        <f t="shared" si="0"/>
        <v>1.845</v>
      </c>
      <c r="I50" s="406">
        <f t="shared" si="1"/>
        <v>0.46854604109080417</v>
      </c>
      <c r="J50" s="407">
        <f t="shared" si="2"/>
        <v>3.3206664854061243</v>
      </c>
      <c r="K50" s="407">
        <f t="shared" si="31"/>
        <v>3.5053332427030623</v>
      </c>
      <c r="L50" s="407">
        <f t="shared" si="32"/>
        <v>0.18466675729693782</v>
      </c>
      <c r="M50" s="63">
        <f t="shared" si="3"/>
        <v>0</v>
      </c>
      <c r="N50" s="406">
        <f t="shared" si="46"/>
        <v>2.0791650148416845</v>
      </c>
      <c r="O50" s="406">
        <f t="shared" si="5"/>
        <v>3.8053339926578927E-3</v>
      </c>
      <c r="P50">
        <f t="shared" si="6"/>
        <v>0.2</v>
      </c>
      <c r="Q50" s="406">
        <f t="shared" si="34"/>
        <v>0.20380533399265791</v>
      </c>
      <c r="R50" s="9">
        <f t="shared" si="39"/>
        <v>0.95859384461909725</v>
      </c>
      <c r="S50" s="9">
        <f t="shared" si="7"/>
        <v>2.5729260450365417E-4</v>
      </c>
      <c r="T50" s="9">
        <f t="shared" si="40"/>
        <v>2.5729260450365417E-4</v>
      </c>
      <c r="U50" s="406">
        <f t="shared" si="47"/>
        <v>1.423197247835315</v>
      </c>
      <c r="V50" s="408">
        <f t="shared" si="9"/>
        <v>2.0254904062460151E-3</v>
      </c>
      <c r="W50" s="406">
        <f t="shared" si="41"/>
        <v>2.0254904062460151E-3</v>
      </c>
      <c r="X50" s="406">
        <f t="shared" si="48"/>
        <v>1.423197247835315</v>
      </c>
      <c r="Y50" s="406">
        <f t="shared" si="11"/>
        <v>0.10532550112479278</v>
      </c>
      <c r="Z50" s="406">
        <f t="shared" si="12"/>
        <v>3.3661594238092486E-2</v>
      </c>
      <c r="AA50" s="406">
        <f t="shared" si="13"/>
        <v>0.1228566</v>
      </c>
      <c r="AB50" s="406">
        <f t="shared" si="14"/>
        <v>0</v>
      </c>
      <c r="AC50" s="406">
        <f t="shared" si="49"/>
        <v>0.26805496043088656</v>
      </c>
      <c r="AD50" s="406">
        <f t="shared" si="50"/>
        <v>1.5157297756182029</v>
      </c>
      <c r="AE50" s="406">
        <f t="shared" si="17"/>
        <v>2.2974367526956075E-2</v>
      </c>
      <c r="AF50" s="406">
        <f t="shared" si="18"/>
        <v>3.3077159999999994E-2</v>
      </c>
      <c r="AG50" s="406">
        <f t="shared" si="51"/>
        <v>5.6258327445545792E-2</v>
      </c>
      <c r="AH50" s="406">
        <f t="shared" si="52"/>
        <v>0</v>
      </c>
      <c r="AI50">
        <f t="shared" si="21"/>
        <v>0</v>
      </c>
      <c r="AJ50" s="407">
        <f t="shared" si="22"/>
        <v>0.496407396</v>
      </c>
      <c r="AK50">
        <f t="shared" si="23"/>
        <v>0.06</v>
      </c>
      <c r="AL50" s="407">
        <f t="shared" si="24"/>
        <v>4.0337999999999999E-2</v>
      </c>
      <c r="AM50" s="407">
        <f t="shared" si="25"/>
        <v>0.13814789189189189</v>
      </c>
      <c r="AN50" s="407">
        <f t="shared" si="42"/>
        <v>0.100338</v>
      </c>
      <c r="AO50" s="407">
        <f t="shared" si="53"/>
        <v>1.12714680087984</v>
      </c>
      <c r="AP50">
        <f t="shared" si="27"/>
        <v>25.83</v>
      </c>
      <c r="AQ50" s="10">
        <f t="shared" si="43"/>
        <v>0.95818745918455095</v>
      </c>
      <c r="AR50" s="63">
        <f t="shared" si="54"/>
        <v>14.743022823698761</v>
      </c>
      <c r="AS50" s="63">
        <f t="shared" si="44"/>
        <v>2.2503330978218319</v>
      </c>
      <c r="AT50" s="10"/>
      <c r="AU50">
        <f t="shared" si="45"/>
        <v>95.818745918455093</v>
      </c>
      <c r="BD50">
        <v>9.9969590000000004</v>
      </c>
      <c r="BE50">
        <v>9.5229999999999997</v>
      </c>
      <c r="BF50">
        <v>5.1087540000000002</v>
      </c>
      <c r="BG50">
        <v>90.547826191651922</v>
      </c>
      <c r="BH50">
        <v>5078.5816240809982</v>
      </c>
    </row>
    <row r="51" spans="1:60" x14ac:dyDescent="0.2">
      <c r="A51" s="33" t="s">
        <v>138</v>
      </c>
      <c r="B51" s="5">
        <f>QgBot*1000000000</f>
        <v>13</v>
      </c>
      <c r="C51" s="416" t="s">
        <v>136</v>
      </c>
      <c r="D51" s="31" t="s">
        <v>180</v>
      </c>
      <c r="G51">
        <v>42</v>
      </c>
      <c r="H51">
        <f t="shared" si="0"/>
        <v>1.89</v>
      </c>
      <c r="I51" s="406">
        <f t="shared" si="1"/>
        <v>0.46859200110158145</v>
      </c>
      <c r="J51" s="407">
        <f t="shared" si="2"/>
        <v>3.3209922119176571</v>
      </c>
      <c r="K51" s="407">
        <f t="shared" si="31"/>
        <v>3.5504961059588283</v>
      </c>
      <c r="L51" s="407">
        <f t="shared" si="32"/>
        <v>0.22950389404117133</v>
      </c>
      <c r="M51" s="63">
        <f t="shared" si="3"/>
        <v>0</v>
      </c>
      <c r="N51" s="406">
        <f t="shared" si="46"/>
        <v>2.1192410054784889</v>
      </c>
      <c r="O51" s="406">
        <f t="shared" si="5"/>
        <v>3.9534905582400848E-3</v>
      </c>
      <c r="P51">
        <f t="shared" si="6"/>
        <v>0.2</v>
      </c>
      <c r="Q51" s="406">
        <f t="shared" si="34"/>
        <v>0.20395349055824011</v>
      </c>
      <c r="R51" s="9">
        <f t="shared" si="39"/>
        <v>0.95868787376365505</v>
      </c>
      <c r="S51" s="9">
        <f t="shared" si="7"/>
        <v>2.5734308300441383E-4</v>
      </c>
      <c r="T51" s="9">
        <f t="shared" si="40"/>
        <v>2.5734308300441383E-4</v>
      </c>
      <c r="U51" s="406">
        <f t="shared" si="47"/>
        <v>1.4507005778397419</v>
      </c>
      <c r="V51" s="408">
        <f t="shared" si="9"/>
        <v>2.1045321665445612E-3</v>
      </c>
      <c r="W51" s="406">
        <f t="shared" si="41"/>
        <v>2.1045321665445612E-3</v>
      </c>
      <c r="X51" s="406">
        <f t="shared" si="48"/>
        <v>1.4507005778397419</v>
      </c>
      <c r="Y51" s="406">
        <f t="shared" si="11"/>
        <v>0.10943567266031717</v>
      </c>
      <c r="Z51" s="406">
        <f t="shared" si="12"/>
        <v>3.4918989341987762E-2</v>
      </c>
      <c r="AA51" s="406">
        <f t="shared" si="13"/>
        <v>0.1228566</v>
      </c>
      <c r="AB51" s="406">
        <f t="shared" si="14"/>
        <v>0</v>
      </c>
      <c r="AC51" s="406">
        <f t="shared" si="49"/>
        <v>0.27380330884389442</v>
      </c>
      <c r="AD51" s="406">
        <f t="shared" si="50"/>
        <v>1.5448787242877404</v>
      </c>
      <c r="AE51" s="406">
        <f t="shared" si="17"/>
        <v>2.3866502727569162E-2</v>
      </c>
      <c r="AF51" s="406">
        <f t="shared" si="18"/>
        <v>3.3883919999999984E-2</v>
      </c>
      <c r="AG51" s="406">
        <f t="shared" si="51"/>
        <v>5.7971796172605242E-2</v>
      </c>
      <c r="AH51" s="406">
        <f t="shared" si="52"/>
        <v>0</v>
      </c>
      <c r="AI51">
        <f t="shared" si="21"/>
        <v>0</v>
      </c>
      <c r="AJ51" s="407">
        <f t="shared" si="22"/>
        <v>0.49636855200000002</v>
      </c>
      <c r="AK51">
        <f t="shared" si="23"/>
        <v>0.06</v>
      </c>
      <c r="AL51" s="407">
        <f t="shared" si="24"/>
        <v>4.0337999999999999E-2</v>
      </c>
      <c r="AM51" s="407">
        <f t="shared" si="25"/>
        <v>0.13814789189189189</v>
      </c>
      <c r="AN51" s="407">
        <f t="shared" si="42"/>
        <v>0.100338</v>
      </c>
      <c r="AO51" s="407">
        <f t="shared" si="53"/>
        <v>1.1347970228242887</v>
      </c>
      <c r="AP51">
        <f t="shared" si="27"/>
        <v>26.459999999999997</v>
      </c>
      <c r="AQ51" s="10">
        <f t="shared" si="43"/>
        <v>0.95887641348165487</v>
      </c>
      <c r="AR51" s="63">
        <f t="shared" si="54"/>
        <v>15.059181986414194</v>
      </c>
      <c r="AS51" s="63">
        <f t="shared" si="44"/>
        <v>2.3188718469042096</v>
      </c>
      <c r="AT51" s="10"/>
      <c r="AU51">
        <f t="shared" si="45"/>
        <v>95.887641348165488</v>
      </c>
      <c r="BD51">
        <v>9.9964639999999996</v>
      </c>
      <c r="BE51">
        <v>10.493</v>
      </c>
      <c r="BF51">
        <v>5.1092279999999999</v>
      </c>
      <c r="BG51">
        <v>89.626660259106615</v>
      </c>
      <c r="BH51">
        <v>6204.9221585439973</v>
      </c>
    </row>
    <row r="52" spans="1:60" x14ac:dyDescent="0.2">
      <c r="A52" s="33" t="s">
        <v>169</v>
      </c>
      <c r="B52" s="5">
        <f>RGateBot</f>
        <v>1</v>
      </c>
      <c r="C52" s="415" t="s">
        <v>208</v>
      </c>
      <c r="D52" s="31" t="s">
        <v>181</v>
      </c>
      <c r="G52">
        <v>43</v>
      </c>
      <c r="H52">
        <f t="shared" si="0"/>
        <v>1.9350000000000001</v>
      </c>
      <c r="I52" s="406">
        <f t="shared" si="1"/>
        <v>0.46863796691905035</v>
      </c>
      <c r="J52" s="407">
        <f t="shared" si="2"/>
        <v>3.3213179795822136</v>
      </c>
      <c r="K52" s="407">
        <f t="shared" si="31"/>
        <v>3.5956589897911071</v>
      </c>
      <c r="L52" s="407">
        <f t="shared" si="32"/>
        <v>0.27434101020889323</v>
      </c>
      <c r="M52" s="63">
        <f t="shared" si="3"/>
        <v>0</v>
      </c>
      <c r="N52" s="406">
        <f t="shared" si="46"/>
        <v>2.1595110002323845</v>
      </c>
      <c r="O52" s="406">
        <f t="shared" si="5"/>
        <v>4.1052170108112065E-3</v>
      </c>
      <c r="P52">
        <f t="shared" si="6"/>
        <v>0.2</v>
      </c>
      <c r="Q52" s="406">
        <f t="shared" si="34"/>
        <v>0.20410521701081122</v>
      </c>
      <c r="R52" s="9">
        <f t="shared" si="39"/>
        <v>0.95878191478806751</v>
      </c>
      <c r="S52" s="9">
        <f t="shared" si="7"/>
        <v>2.5739357283490849E-4</v>
      </c>
      <c r="T52" s="9">
        <f t="shared" si="40"/>
        <v>2.5739357283490849E-4</v>
      </c>
      <c r="U52" s="406">
        <f t="shared" si="47"/>
        <v>1.4783394138886723</v>
      </c>
      <c r="V52" s="408">
        <f t="shared" si="9"/>
        <v>2.1854874226567033E-3</v>
      </c>
      <c r="W52" s="406">
        <f t="shared" si="41"/>
        <v>2.1854874226567033E-3</v>
      </c>
      <c r="X52" s="406">
        <f t="shared" si="48"/>
        <v>1.4783394138886723</v>
      </c>
      <c r="Y52" s="406">
        <f t="shared" si="11"/>
        <v>0.11364534597814856</v>
      </c>
      <c r="Z52" s="406">
        <f t="shared" si="12"/>
        <v>3.617638422325703E-2</v>
      </c>
      <c r="AA52" s="406">
        <f t="shared" si="13"/>
        <v>0.1228566</v>
      </c>
      <c r="AB52" s="406">
        <f t="shared" si="14"/>
        <v>0</v>
      </c>
      <c r="AC52" s="406">
        <f t="shared" si="49"/>
        <v>0.27967064909007611</v>
      </c>
      <c r="AD52" s="406">
        <f t="shared" si="50"/>
        <v>1.5741665532808053</v>
      </c>
      <c r="AE52" s="406">
        <f t="shared" si="17"/>
        <v>2.4780003374679706E-2</v>
      </c>
      <c r="AF52" s="406">
        <f t="shared" si="18"/>
        <v>3.4690679999999995E-2</v>
      </c>
      <c r="AG52" s="406">
        <f t="shared" si="51"/>
        <v>5.9707411351444847E-2</v>
      </c>
      <c r="AH52" s="406">
        <f t="shared" si="52"/>
        <v>0</v>
      </c>
      <c r="AI52">
        <f t="shared" si="21"/>
        <v>0</v>
      </c>
      <c r="AJ52" s="407">
        <f t="shared" si="22"/>
        <v>0.49632970800000004</v>
      </c>
      <c r="AK52">
        <f t="shared" si="23"/>
        <v>0.06</v>
      </c>
      <c r="AL52" s="407">
        <f t="shared" si="24"/>
        <v>4.0337999999999999E-2</v>
      </c>
      <c r="AM52" s="407">
        <f t="shared" si="25"/>
        <v>0.13814789189189189</v>
      </c>
      <c r="AN52" s="407">
        <f t="shared" si="42"/>
        <v>0.100338</v>
      </c>
      <c r="AO52" s="407">
        <f t="shared" si="53"/>
        <v>1.1425938664478239</v>
      </c>
      <c r="AP52">
        <f t="shared" si="27"/>
        <v>27.09</v>
      </c>
      <c r="AQ52" s="10">
        <f t="shared" si="43"/>
        <v>0.9595292635224103</v>
      </c>
      <c r="AR52" s="63">
        <f t="shared" si="54"/>
        <v>15.381885699954186</v>
      </c>
      <c r="AS52" s="63">
        <f t="shared" si="44"/>
        <v>2.388296454057794</v>
      </c>
      <c r="AT52" s="10"/>
      <c r="AU52">
        <f t="shared" si="45"/>
        <v>95.952926352241036</v>
      </c>
      <c r="BD52">
        <v>9.9959819999999997</v>
      </c>
      <c r="BE52">
        <v>11.519</v>
      </c>
      <c r="BF52">
        <v>5.1101260000000002</v>
      </c>
      <c r="BG52">
        <v>88.591390420220321</v>
      </c>
      <c r="BH52">
        <v>7580.3207309739973</v>
      </c>
    </row>
    <row r="53" spans="1:60" x14ac:dyDescent="0.2">
      <c r="A53" s="33" t="s">
        <v>144</v>
      </c>
      <c r="B53" s="5">
        <f>VsdBot</f>
        <v>0.9</v>
      </c>
      <c r="C53" s="416" t="s">
        <v>0</v>
      </c>
      <c r="D53" s="31" t="s">
        <v>186</v>
      </c>
      <c r="G53">
        <v>44</v>
      </c>
      <c r="H53">
        <f t="shared" si="0"/>
        <v>1.98</v>
      </c>
      <c r="I53" s="406">
        <f t="shared" si="1"/>
        <v>0.46868393854431145</v>
      </c>
      <c r="J53" s="407">
        <f t="shared" si="2"/>
        <v>3.3216437884075933</v>
      </c>
      <c r="K53" s="407">
        <f t="shared" si="31"/>
        <v>3.6408218942037966</v>
      </c>
      <c r="L53" s="407">
        <f t="shared" si="32"/>
        <v>0.31917810579620332</v>
      </c>
      <c r="M53" s="63">
        <f t="shared" si="3"/>
        <v>0</v>
      </c>
      <c r="N53" s="406">
        <f t="shared" si="46"/>
        <v>2.1999643454888602</v>
      </c>
      <c r="O53" s="406">
        <f t="shared" si="5"/>
        <v>4.2605136101628478E-3</v>
      </c>
      <c r="P53">
        <f t="shared" si="6"/>
        <v>0.2</v>
      </c>
      <c r="Q53" s="406">
        <f t="shared" si="34"/>
        <v>0.20426051361016287</v>
      </c>
      <c r="R53" s="9">
        <f t="shared" si="39"/>
        <v>0.95887596769458627</v>
      </c>
      <c r="S53" s="9">
        <f t="shared" si="7"/>
        <v>2.5744407399822423E-4</v>
      </c>
      <c r="T53" s="9">
        <f t="shared" si="40"/>
        <v>2.5744407399822423E-4</v>
      </c>
      <c r="U53" s="406">
        <f t="shared" si="47"/>
        <v>1.5061064823194821</v>
      </c>
      <c r="V53" s="408">
        <f t="shared" si="9"/>
        <v>2.2683567360847648E-3</v>
      </c>
      <c r="W53" s="406">
        <f t="shared" si="41"/>
        <v>2.2683567360847648E-3</v>
      </c>
      <c r="X53" s="406">
        <f t="shared" si="48"/>
        <v>1.5061064823194821</v>
      </c>
      <c r="Y53" s="406">
        <f t="shared" si="11"/>
        <v>0.11795455027640775</v>
      </c>
      <c r="Z53" s="406">
        <f t="shared" si="12"/>
        <v>3.7433778881858074E-2</v>
      </c>
      <c r="AA53" s="406">
        <f t="shared" si="13"/>
        <v>0.1228566</v>
      </c>
      <c r="AB53" s="406">
        <f t="shared" si="14"/>
        <v>0</v>
      </c>
      <c r="AC53" s="406">
        <f t="shared" si="49"/>
        <v>0.28565774802247762</v>
      </c>
      <c r="AD53" s="406">
        <f t="shared" si="50"/>
        <v>1.6035854780264958</v>
      </c>
      <c r="AE53" s="406">
        <f t="shared" si="17"/>
        <v>2.571486385337465E-2</v>
      </c>
      <c r="AF53" s="406">
        <f t="shared" si="18"/>
        <v>3.5497439999999991E-2</v>
      </c>
      <c r="AG53" s="406">
        <f t="shared" si="51"/>
        <v>6.1465194912397596E-2</v>
      </c>
      <c r="AH53" s="406">
        <f t="shared" si="52"/>
        <v>0</v>
      </c>
      <c r="AI53">
        <f t="shared" si="21"/>
        <v>0</v>
      </c>
      <c r="AJ53" s="407">
        <f t="shared" si="22"/>
        <v>0.496290864</v>
      </c>
      <c r="AK53">
        <f t="shared" si="23"/>
        <v>0.06</v>
      </c>
      <c r="AL53" s="407">
        <f t="shared" si="24"/>
        <v>4.0337999999999999E-2</v>
      </c>
      <c r="AM53" s="407">
        <f t="shared" si="25"/>
        <v>0.13814789189189189</v>
      </c>
      <c r="AN53" s="407">
        <f t="shared" si="42"/>
        <v>0.100338</v>
      </c>
      <c r="AO53" s="407">
        <f t="shared" si="53"/>
        <v>1.1505381213551211</v>
      </c>
      <c r="AP53">
        <f t="shared" si="27"/>
        <v>27.72</v>
      </c>
      <c r="AQ53" s="10">
        <f t="shared" si="43"/>
        <v>0.96014836590440666</v>
      </c>
      <c r="AR53" s="63">
        <f t="shared" si="54"/>
        <v>15.711176141236269</v>
      </c>
      <c r="AS53" s="63">
        <f t="shared" si="44"/>
        <v>2.4586077964959037</v>
      </c>
      <c r="AT53" s="10"/>
      <c r="AU53">
        <f t="shared" si="45"/>
        <v>96.014836590440666</v>
      </c>
      <c r="BD53">
        <v>9.9955739999999995</v>
      </c>
      <c r="BE53">
        <v>12.605</v>
      </c>
      <c r="BF53">
        <v>5.1111979999999999</v>
      </c>
      <c r="BG53">
        <v>87.386508098290477</v>
      </c>
      <c r="BH53">
        <v>9299.4335961019988</v>
      </c>
    </row>
    <row r="54" spans="1:60" x14ac:dyDescent="0.2">
      <c r="A54" s="33" t="s">
        <v>145</v>
      </c>
      <c r="B54" s="5">
        <f>QrrBot*1000000000</f>
        <v>50</v>
      </c>
      <c r="C54" s="416" t="s">
        <v>136</v>
      </c>
      <c r="D54" s="31" t="s">
        <v>196</v>
      </c>
      <c r="G54">
        <v>45</v>
      </c>
      <c r="H54">
        <f t="shared" si="0"/>
        <v>2.0249999999999999</v>
      </c>
      <c r="I54" s="406">
        <f t="shared" si="1"/>
        <v>0.46872991597846564</v>
      </c>
      <c r="J54" s="407">
        <f t="shared" si="2"/>
        <v>3.3219696384015989</v>
      </c>
      <c r="K54" s="407">
        <f t="shared" si="31"/>
        <v>3.6859848192007991</v>
      </c>
      <c r="L54" s="407">
        <f t="shared" si="32"/>
        <v>0.36401518079920048</v>
      </c>
      <c r="M54" s="63">
        <f t="shared" si="3"/>
        <v>0</v>
      </c>
      <c r="N54" s="406">
        <f t="shared" si="46"/>
        <v>2.2405911102218474</v>
      </c>
      <c r="O54" s="406">
        <f t="shared" si="5"/>
        <v>4.4193806222091172E-3</v>
      </c>
      <c r="P54">
        <f t="shared" si="6"/>
        <v>0.2</v>
      </c>
      <c r="Q54" s="406">
        <f t="shared" si="34"/>
        <v>0.20441938062220913</v>
      </c>
      <c r="R54" s="9">
        <f t="shared" si="39"/>
        <v>0.95897003248546353</v>
      </c>
      <c r="S54" s="9">
        <f t="shared" si="7"/>
        <v>2.5749458649744787E-4</v>
      </c>
      <c r="T54" s="9">
        <f t="shared" si="40"/>
        <v>2.5749458649744787E-4</v>
      </c>
      <c r="U54" s="406">
        <f t="shared" si="47"/>
        <v>1.5339950027535867</v>
      </c>
      <c r="V54" s="408">
        <f t="shared" si="9"/>
        <v>2.3531406684729763E-3</v>
      </c>
      <c r="W54" s="406">
        <f t="shared" si="41"/>
        <v>2.3531406684729763E-3</v>
      </c>
      <c r="X54" s="406">
        <f t="shared" si="48"/>
        <v>1.5339950027535867</v>
      </c>
      <c r="Y54" s="406">
        <f t="shared" si="11"/>
        <v>0.12236331476059477</v>
      </c>
      <c r="Z54" s="406">
        <f t="shared" si="12"/>
        <v>3.8691173317748691E-2</v>
      </c>
      <c r="AA54" s="406">
        <f t="shared" si="13"/>
        <v>0.1228566</v>
      </c>
      <c r="AB54" s="406">
        <f t="shared" si="14"/>
        <v>0</v>
      </c>
      <c r="AC54" s="406">
        <f t="shared" si="49"/>
        <v>0.29176539178193289</v>
      </c>
      <c r="AD54" s="406">
        <f t="shared" si="50"/>
        <v>1.6331282419737265</v>
      </c>
      <c r="AE54" s="406">
        <f t="shared" si="17"/>
        <v>2.6671078547321946E-2</v>
      </c>
      <c r="AF54" s="406">
        <f t="shared" si="18"/>
        <v>3.6304199999999988E-2</v>
      </c>
      <c r="AG54" s="406">
        <f t="shared" si="51"/>
        <v>6.3245169247600555E-2</v>
      </c>
      <c r="AH54" s="406">
        <f t="shared" si="52"/>
        <v>0</v>
      </c>
      <c r="AI54">
        <f t="shared" si="21"/>
        <v>0</v>
      </c>
      <c r="AJ54" s="407">
        <f t="shared" si="22"/>
        <v>0.49625202000000002</v>
      </c>
      <c r="AK54">
        <f t="shared" si="23"/>
        <v>0.06</v>
      </c>
      <c r="AL54" s="407">
        <f t="shared" si="24"/>
        <v>4.0337999999999999E-2</v>
      </c>
      <c r="AM54" s="407">
        <f t="shared" si="25"/>
        <v>0.13814789189189189</v>
      </c>
      <c r="AN54" s="407">
        <f t="shared" si="42"/>
        <v>0.100338</v>
      </c>
      <c r="AO54" s="407">
        <f t="shared" si="53"/>
        <v>1.158630596906713</v>
      </c>
      <c r="AP54">
        <f t="shared" si="27"/>
        <v>28.349999999999998</v>
      </c>
      <c r="AQ54" s="10">
        <f t="shared" si="43"/>
        <v>0.96073587376066949</v>
      </c>
      <c r="AR54" s="63">
        <f t="shared" si="54"/>
        <v>16.047096548006309</v>
      </c>
      <c r="AS54" s="63">
        <f t="shared" si="44"/>
        <v>2.5298067699040221</v>
      </c>
      <c r="AT54" s="10"/>
      <c r="AU54">
        <f t="shared" si="45"/>
        <v>96.073587376066953</v>
      </c>
      <c r="BD54">
        <v>9.9949670000000008</v>
      </c>
      <c r="BE54">
        <v>13.75</v>
      </c>
      <c r="BF54">
        <v>5.1122329999999998</v>
      </c>
      <c r="BG54">
        <v>85.985113444924963</v>
      </c>
      <c r="BH54">
        <v>11457.230537720005</v>
      </c>
    </row>
    <row r="55" spans="1:60" x14ac:dyDescent="0.2">
      <c r="A55" s="33" t="s">
        <v>146</v>
      </c>
      <c r="B55" s="5">
        <f>TrrBot*1000000000</f>
        <v>40</v>
      </c>
      <c r="C55" s="416" t="s">
        <v>147</v>
      </c>
      <c r="D55" s="31" t="s">
        <v>187</v>
      </c>
      <c r="G55">
        <v>46</v>
      </c>
      <c r="H55">
        <f t="shared" si="0"/>
        <v>2.0700000000000003</v>
      </c>
      <c r="I55" s="406">
        <f t="shared" si="1"/>
        <v>0.46877589922261376</v>
      </c>
      <c r="J55" s="407">
        <f t="shared" si="2"/>
        <v>3.322295529572032</v>
      </c>
      <c r="K55" s="407">
        <f t="shared" si="31"/>
        <v>3.7311477647860163</v>
      </c>
      <c r="L55" s="407">
        <f t="shared" si="32"/>
        <v>0.40885223521398428</v>
      </c>
      <c r="M55" s="63">
        <f t="shared" si="3"/>
        <v>0</v>
      </c>
      <c r="N55" s="406">
        <f t="shared" si="46"/>
        <v>2.2813820297101772</v>
      </c>
      <c r="O55" s="406">
        <f t="shared" si="5"/>
        <v>4.5818183189877525E-3</v>
      </c>
      <c r="P55">
        <f t="shared" si="6"/>
        <v>0.2</v>
      </c>
      <c r="Q55" s="406">
        <f t="shared" si="34"/>
        <v>0.20458181831898775</v>
      </c>
      <c r="R55" s="9">
        <f t="shared" si="39"/>
        <v>0.95906410916295148</v>
      </c>
      <c r="S55" s="9">
        <f t="shared" si="7"/>
        <v>2.5754511033566723E-4</v>
      </c>
      <c r="T55" s="9">
        <f t="shared" si="40"/>
        <v>2.5754511033566723E-4</v>
      </c>
      <c r="U55" s="406">
        <f t="shared" si="47"/>
        <v>1.5619986496817191</v>
      </c>
      <c r="V55" s="408">
        <f t="shared" si="9"/>
        <v>2.439839781607514E-3</v>
      </c>
      <c r="W55" s="406">
        <f t="shared" si="41"/>
        <v>2.439839781607514E-3</v>
      </c>
      <c r="X55" s="406">
        <f t="shared" si="48"/>
        <v>1.5619986496817191</v>
      </c>
      <c r="Y55" s="406">
        <f t="shared" si="11"/>
        <v>0.12687166864359073</v>
      </c>
      <c r="Z55" s="406">
        <f t="shared" si="12"/>
        <v>3.9948567530886693E-2</v>
      </c>
      <c r="AA55" s="406">
        <f t="shared" si="13"/>
        <v>0.1228566</v>
      </c>
      <c r="AB55" s="406">
        <f t="shared" si="14"/>
        <v>0</v>
      </c>
      <c r="AC55" s="406">
        <f t="shared" si="49"/>
        <v>0.29799438607621809</v>
      </c>
      <c r="AD55" s="406">
        <f t="shared" si="50"/>
        <v>1.6627880754555027</v>
      </c>
      <c r="AE55" s="406">
        <f t="shared" si="17"/>
        <v>2.7648641838770142E-2</v>
      </c>
      <c r="AF55" s="406">
        <f t="shared" si="18"/>
        <v>3.7110959999999998E-2</v>
      </c>
      <c r="AG55" s="406">
        <f t="shared" si="51"/>
        <v>6.5047357211907825E-2</v>
      </c>
      <c r="AH55" s="406">
        <f t="shared" si="52"/>
        <v>0</v>
      </c>
      <c r="AI55">
        <f t="shared" si="21"/>
        <v>0</v>
      </c>
      <c r="AJ55" s="407">
        <f t="shared" si="22"/>
        <v>0.49621317600000003</v>
      </c>
      <c r="AK55">
        <f t="shared" si="23"/>
        <v>0.06</v>
      </c>
      <c r="AL55" s="407">
        <f t="shared" si="24"/>
        <v>4.0337999999999999E-2</v>
      </c>
      <c r="AM55" s="407">
        <f t="shared" si="25"/>
        <v>0.13814789189189189</v>
      </c>
      <c r="AN55" s="407">
        <f t="shared" si="42"/>
        <v>0.100338</v>
      </c>
      <c r="AO55" s="407">
        <f t="shared" si="53"/>
        <v>1.166872122499057</v>
      </c>
      <c r="AP55">
        <f t="shared" si="27"/>
        <v>28.980000000000004</v>
      </c>
      <c r="AQ55" s="10">
        <f t="shared" si="43"/>
        <v>0.96129375817970175</v>
      </c>
      <c r="AR55" s="63">
        <f t="shared" si="54"/>
        <v>16.389691234191996</v>
      </c>
      <c r="AS55" s="63">
        <f t="shared" si="44"/>
        <v>2.6018942884763128</v>
      </c>
      <c r="AT55" s="10"/>
      <c r="AU55">
        <f t="shared" si="45"/>
        <v>96.129375817970171</v>
      </c>
      <c r="BD55">
        <v>9.9943860000000004</v>
      </c>
      <c r="BE55">
        <v>14.954000000000001</v>
      </c>
      <c r="BF55">
        <v>5.1130310000000003</v>
      </c>
      <c r="BG55">
        <v>84.352650264578628</v>
      </c>
      <c r="BH55">
        <v>14183.318533699994</v>
      </c>
    </row>
    <row r="56" spans="1:60" x14ac:dyDescent="0.2">
      <c r="A56" s="33" t="s">
        <v>160</v>
      </c>
      <c r="B56" s="5">
        <f>ThetaJaBot</f>
        <v>40</v>
      </c>
      <c r="C56" s="416" t="s">
        <v>380</v>
      </c>
      <c r="D56" s="31" t="s">
        <v>184</v>
      </c>
      <c r="E56" s="2"/>
      <c r="G56">
        <v>47</v>
      </c>
      <c r="H56">
        <f t="shared" si="0"/>
        <v>2.1149999999999998</v>
      </c>
      <c r="I56" s="406">
        <f t="shared" si="1"/>
        <v>0.46882188827785748</v>
      </c>
      <c r="J56" s="407">
        <f t="shared" si="2"/>
        <v>3.3226214619267007</v>
      </c>
      <c r="K56" s="407">
        <f t="shared" si="31"/>
        <v>3.7763107309633499</v>
      </c>
      <c r="L56" s="407">
        <f t="shared" si="32"/>
        <v>0.45368926903664941</v>
      </c>
      <c r="M56" s="63">
        <f t="shared" si="3"/>
        <v>0</v>
      </c>
      <c r="N56" s="406">
        <f t="shared" si="46"/>
        <v>2.3223284540028626</v>
      </c>
      <c r="O56" s="406">
        <f t="shared" si="5"/>
        <v>4.7478269786612997E-3</v>
      </c>
      <c r="P56">
        <f t="shared" si="6"/>
        <v>0.2</v>
      </c>
      <c r="Q56" s="406">
        <f t="shared" si="34"/>
        <v>0.20474782697866131</v>
      </c>
      <c r="R56" s="9">
        <f t="shared" si="39"/>
        <v>0.95915819772930433</v>
      </c>
      <c r="S56" s="9">
        <f t="shared" si="7"/>
        <v>2.5759564551597168E-4</v>
      </c>
      <c r="T56" s="9">
        <f t="shared" si="40"/>
        <v>2.5759564551597168E-4</v>
      </c>
      <c r="U56" s="406">
        <f t="shared" si="47"/>
        <v>1.5901115172894462</v>
      </c>
      <c r="V56" s="408">
        <f t="shared" si="9"/>
        <v>2.5284546374165448E-3</v>
      </c>
      <c r="W56" s="406">
        <f t="shared" si="41"/>
        <v>2.5284546374165448E-3</v>
      </c>
      <c r="X56" s="406">
        <f t="shared" si="48"/>
        <v>1.5901115172894462</v>
      </c>
      <c r="Y56" s="406">
        <f t="shared" si="11"/>
        <v>0.13147964114566033</v>
      </c>
      <c r="Z56" s="406">
        <f t="shared" si="12"/>
        <v>4.1205961521229802E-2</v>
      </c>
      <c r="AA56" s="406">
        <f t="shared" si="13"/>
        <v>0.1228566</v>
      </c>
      <c r="AB56" s="406">
        <f t="shared" si="14"/>
        <v>0</v>
      </c>
      <c r="AC56" s="406">
        <f t="shared" si="49"/>
        <v>0.30434555646758982</v>
      </c>
      <c r="AD56" s="406">
        <f t="shared" si="50"/>
        <v>1.6925586580248206</v>
      </c>
      <c r="AE56" s="406">
        <f t="shared" si="17"/>
        <v>2.8647548108547815E-2</v>
      </c>
      <c r="AF56" s="406">
        <f t="shared" si="18"/>
        <v>3.7917719999999988E-2</v>
      </c>
      <c r="AG56" s="406">
        <f t="shared" si="51"/>
        <v>6.6871782123827272E-2</v>
      </c>
      <c r="AH56" s="406">
        <f t="shared" si="52"/>
        <v>0</v>
      </c>
      <c r="AI56">
        <f t="shared" si="21"/>
        <v>0</v>
      </c>
      <c r="AJ56" s="407">
        <f t="shared" si="22"/>
        <v>0.496174332</v>
      </c>
      <c r="AK56">
        <f t="shared" si="23"/>
        <v>0.06</v>
      </c>
      <c r="AL56" s="407">
        <f t="shared" si="24"/>
        <v>4.0337999999999999E-2</v>
      </c>
      <c r="AM56" s="407">
        <f t="shared" si="25"/>
        <v>0.13814789189189189</v>
      </c>
      <c r="AN56" s="407">
        <f t="shared" si="42"/>
        <v>0.100338</v>
      </c>
      <c r="AO56" s="407">
        <f t="shared" si="53"/>
        <v>1.1752635478530109</v>
      </c>
      <c r="AP56">
        <f t="shared" si="27"/>
        <v>29.609999999999996</v>
      </c>
      <c r="AQ56" s="10">
        <f t="shared" si="43"/>
        <v>0.96182382697402713</v>
      </c>
      <c r="AR56" s="63">
        <f t="shared" si="54"/>
        <v>16.739005605717441</v>
      </c>
      <c r="AS56" s="63">
        <f t="shared" si="44"/>
        <v>2.6748712849530909</v>
      </c>
      <c r="AT56" s="10"/>
      <c r="AU56">
        <f t="shared" si="45"/>
        <v>96.182382697402716</v>
      </c>
      <c r="BE56" s="28"/>
      <c r="BF56" s="29"/>
    </row>
    <row r="57" spans="1:60" x14ac:dyDescent="0.2">
      <c r="A57" s="34" t="s">
        <v>363</v>
      </c>
      <c r="B57" s="25" t="s">
        <v>201</v>
      </c>
      <c r="C57" s="34" t="s">
        <v>148</v>
      </c>
      <c r="D57" s="476" t="s">
        <v>390</v>
      </c>
      <c r="G57">
        <v>48</v>
      </c>
      <c r="H57">
        <f t="shared" si="0"/>
        <v>2.16</v>
      </c>
      <c r="I57" s="406">
        <f t="shared" si="1"/>
        <v>0.46886788314529804</v>
      </c>
      <c r="J57" s="407">
        <f t="shared" si="2"/>
        <v>3.322947435473409</v>
      </c>
      <c r="K57" s="407">
        <f t="shared" si="31"/>
        <v>3.8214737177367049</v>
      </c>
      <c r="L57" s="407">
        <f t="shared" si="32"/>
        <v>0.49852628226329565</v>
      </c>
      <c r="M57" s="63">
        <f t="shared" si="3"/>
        <v>0</v>
      </c>
      <c r="N57" s="406">
        <f t="shared" si="46"/>
        <v>2.3634223007276143</v>
      </c>
      <c r="O57" s="406">
        <f t="shared" si="5"/>
        <v>4.9174068855183184E-3</v>
      </c>
      <c r="P57">
        <f t="shared" si="6"/>
        <v>0.2</v>
      </c>
      <c r="Q57" s="406">
        <f t="shared" si="34"/>
        <v>0.20491740688551832</v>
      </c>
      <c r="R57" s="9">
        <f t="shared" si="39"/>
        <v>0.95925229818677471</v>
      </c>
      <c r="S57" s="9">
        <f t="shared" si="7"/>
        <v>2.5764619204145055E-4</v>
      </c>
      <c r="T57" s="9">
        <f t="shared" si="40"/>
        <v>2.5764619204145055E-4</v>
      </c>
      <c r="U57" s="406">
        <f t="shared" si="47"/>
        <v>1.6183280872463039</v>
      </c>
      <c r="V57" s="408">
        <f t="shared" si="9"/>
        <v>2.6189857979702809E-3</v>
      </c>
      <c r="W57" s="406">
        <f t="shared" si="41"/>
        <v>2.6189857979702809E-3</v>
      </c>
      <c r="X57" s="406">
        <f t="shared" si="48"/>
        <v>1.6183280872463039</v>
      </c>
      <c r="Y57" s="406">
        <f t="shared" si="11"/>
        <v>0.13618726149445459</v>
      </c>
      <c r="Z57" s="406">
        <f t="shared" si="12"/>
        <v>4.2463355288735856E-2</v>
      </c>
      <c r="AA57" s="406">
        <f t="shared" si="13"/>
        <v>0.1228566</v>
      </c>
      <c r="AB57" s="406">
        <f t="shared" si="14"/>
        <v>0</v>
      </c>
      <c r="AC57" s="406">
        <f t="shared" si="49"/>
        <v>0.31081974866890533</v>
      </c>
      <c r="AD57" s="406">
        <f t="shared" si="50"/>
        <v>1.7224340839655747</v>
      </c>
      <c r="AE57" s="406">
        <f t="shared" si="17"/>
        <v>2.9667791736063289E-2</v>
      </c>
      <c r="AF57" s="406">
        <f t="shared" si="18"/>
        <v>3.8724479999999992E-2</v>
      </c>
      <c r="AG57" s="406">
        <f t="shared" si="51"/>
        <v>6.8718467766482064E-2</v>
      </c>
      <c r="AH57" s="406">
        <f t="shared" si="52"/>
        <v>0</v>
      </c>
      <c r="AI57">
        <f t="shared" si="21"/>
        <v>0</v>
      </c>
      <c r="AJ57" s="407">
        <f t="shared" si="22"/>
        <v>0.49613548800000001</v>
      </c>
      <c r="AK57">
        <f t="shared" si="23"/>
        <v>0.06</v>
      </c>
      <c r="AL57" s="407">
        <f t="shared" si="24"/>
        <v>4.0337999999999999E-2</v>
      </c>
      <c r="AM57" s="407">
        <f t="shared" si="25"/>
        <v>0.13814789189189189</v>
      </c>
      <c r="AN57" s="407">
        <f t="shared" si="42"/>
        <v>0.100338</v>
      </c>
      <c r="AO57" s="407">
        <f t="shared" si="53"/>
        <v>1.1838057433109175</v>
      </c>
      <c r="AP57">
        <f t="shared" si="27"/>
        <v>30.240000000000002</v>
      </c>
      <c r="AQ57" s="10">
        <f t="shared" si="43"/>
        <v>0.96232774117237818</v>
      </c>
      <c r="AR57" s="63">
        <f t="shared" si="54"/>
        <v>17.095086176789792</v>
      </c>
      <c r="AS57" s="63">
        <f t="shared" si="44"/>
        <v>2.7487387106592824</v>
      </c>
      <c r="AT57" s="10"/>
      <c r="AU57">
        <f t="shared" si="45"/>
        <v>96.232774117237824</v>
      </c>
      <c r="BE57" s="28"/>
      <c r="BF57" s="29"/>
    </row>
    <row r="58" spans="1:60" x14ac:dyDescent="0.2">
      <c r="A58" s="33" t="s">
        <v>364</v>
      </c>
      <c r="B58" s="115">
        <f>VfdSky</f>
        <v>0</v>
      </c>
      <c r="C58" s="416" t="s">
        <v>0</v>
      </c>
      <c r="D58" s="31" t="s">
        <v>367</v>
      </c>
      <c r="G58">
        <v>49</v>
      </c>
      <c r="H58">
        <f t="shared" si="0"/>
        <v>2.2050000000000001</v>
      </c>
      <c r="I58" s="406">
        <f t="shared" si="1"/>
        <v>0.46891388382603766</v>
      </c>
      <c r="J58" s="407">
        <f t="shared" si="2"/>
        <v>3.3232734502199692</v>
      </c>
      <c r="K58" s="407">
        <f t="shared" si="31"/>
        <v>3.8666367251099847</v>
      </c>
      <c r="L58" s="407">
        <f t="shared" si="32"/>
        <v>0.54336327489001546</v>
      </c>
      <c r="M58" s="63">
        <f t="shared" si="3"/>
        <v>0</v>
      </c>
      <c r="N58" s="406">
        <f t="shared" si="46"/>
        <v>2.4046560118676874</v>
      </c>
      <c r="O58" s="406">
        <f t="shared" si="5"/>
        <v>5.0905583299745627E-3</v>
      </c>
      <c r="P58">
        <f t="shared" si="6"/>
        <v>0.2</v>
      </c>
      <c r="Q58" s="406">
        <f t="shared" si="34"/>
        <v>0.20509055832997458</v>
      </c>
      <c r="R58" s="9">
        <f t="shared" si="39"/>
        <v>0.95934641053761782</v>
      </c>
      <c r="S58" s="9">
        <f t="shared" si="7"/>
        <v>2.5769674991519523E-4</v>
      </c>
      <c r="T58" s="9">
        <f t="shared" si="40"/>
        <v>2.5769674991519523E-4</v>
      </c>
      <c r="U58" s="406">
        <f t="shared" si="47"/>
        <v>1.6466431992028538</v>
      </c>
      <c r="V58" s="408">
        <f t="shared" si="9"/>
        <v>2.7114338254810096E-3</v>
      </c>
      <c r="W58" s="406">
        <f t="shared" si="41"/>
        <v>2.7114338254810096E-3</v>
      </c>
      <c r="X58" s="406">
        <f t="shared" si="48"/>
        <v>1.6466431992028538</v>
      </c>
      <c r="Y58" s="406">
        <f t="shared" si="11"/>
        <v>0.14099455892501248</v>
      </c>
      <c r="Z58" s="406">
        <f t="shared" si="12"/>
        <v>4.3720748833362542E-2</v>
      </c>
      <c r="AA58" s="406">
        <f t="shared" si="13"/>
        <v>0.1228566</v>
      </c>
      <c r="AB58" s="406">
        <f t="shared" si="14"/>
        <v>0</v>
      </c>
      <c r="AC58" s="406">
        <f t="shared" si="49"/>
        <v>0.31741782884853043</v>
      </c>
      <c r="AD58" s="406">
        <f t="shared" si="50"/>
        <v>1.7524088307042973</v>
      </c>
      <c r="AE58" s="406">
        <f t="shared" si="17"/>
        <v>3.0709367099304028E-2</v>
      </c>
      <c r="AF58" s="406">
        <f t="shared" si="18"/>
        <v>3.9531239999999995E-2</v>
      </c>
      <c r="AG58" s="406">
        <f t="shared" si="51"/>
        <v>7.0587438388596005E-2</v>
      </c>
      <c r="AH58" s="406">
        <f t="shared" si="52"/>
        <v>0</v>
      </c>
      <c r="AI58">
        <f t="shared" si="21"/>
        <v>0</v>
      </c>
      <c r="AJ58" s="407">
        <f t="shared" si="22"/>
        <v>0.49609664399999998</v>
      </c>
      <c r="AK58">
        <f t="shared" si="23"/>
        <v>0.06</v>
      </c>
      <c r="AL58" s="407">
        <f t="shared" si="24"/>
        <v>4.0337999999999999E-2</v>
      </c>
      <c r="AM58" s="407">
        <f t="shared" si="25"/>
        <v>0.13814789189189189</v>
      </c>
      <c r="AN58" s="407">
        <f t="shared" si="42"/>
        <v>0.100338</v>
      </c>
      <c r="AO58" s="407">
        <f t="shared" si="53"/>
        <v>1.1924996001424972</v>
      </c>
      <c r="AP58">
        <f t="shared" si="27"/>
        <v>30.87</v>
      </c>
      <c r="AQ58" s="10">
        <f t="shared" si="43"/>
        <v>0.96280702955120812</v>
      </c>
      <c r="AR58" s="63">
        <f t="shared" si="54"/>
        <v>17.457980586669173</v>
      </c>
      <c r="AS58" s="63">
        <f t="shared" si="44"/>
        <v>2.8234975355438401</v>
      </c>
      <c r="AT58" s="10"/>
      <c r="AU58">
        <f t="shared" si="45"/>
        <v>96.280702955120816</v>
      </c>
      <c r="BE58" s="28"/>
      <c r="BF58" s="29"/>
    </row>
    <row r="59" spans="1:60" x14ac:dyDescent="0.2">
      <c r="A59" s="33" t="s">
        <v>365</v>
      </c>
      <c r="B59" s="115">
        <f>QrrSky</f>
        <v>0</v>
      </c>
      <c r="C59" s="416" t="s">
        <v>136</v>
      </c>
      <c r="D59" s="31" t="s">
        <v>368</v>
      </c>
      <c r="G59">
        <v>50</v>
      </c>
      <c r="H59">
        <f t="shared" si="0"/>
        <v>2.25</v>
      </c>
      <c r="I59" s="406">
        <f t="shared" si="1"/>
        <v>0.46895989032117841</v>
      </c>
      <c r="J59" s="407">
        <f t="shared" si="2"/>
        <v>3.3235995061741912</v>
      </c>
      <c r="K59" s="407">
        <f t="shared" si="31"/>
        <v>3.9117997530870956</v>
      </c>
      <c r="L59" s="407">
        <f t="shared" si="32"/>
        <v>0.5882002469129044</v>
      </c>
      <c r="M59" s="63">
        <f t="shared" si="3"/>
        <v>0</v>
      </c>
      <c r="N59" s="406">
        <f t="shared" si="46"/>
        <v>2.4460225141618746</v>
      </c>
      <c r="O59" s="406">
        <f t="shared" si="5"/>
        <v>5.2672816085742643E-3</v>
      </c>
      <c r="P59">
        <f t="shared" si="6"/>
        <v>0.2</v>
      </c>
      <c r="Q59" s="406">
        <f t="shared" si="34"/>
        <v>0.20526728160857427</v>
      </c>
      <c r="R59" s="9">
        <f t="shared" si="39"/>
        <v>0.95944053478408831</v>
      </c>
      <c r="S59" s="9">
        <f t="shared" si="7"/>
        <v>2.577473191402977E-4</v>
      </c>
      <c r="T59" s="9">
        <f t="shared" si="40"/>
        <v>2.577473191402977E-4</v>
      </c>
      <c r="U59" s="406">
        <f t="shared" si="47"/>
        <v>1.6750520237602027</v>
      </c>
      <c r="V59" s="408">
        <f t="shared" si="9"/>
        <v>2.8057992823031508E-3</v>
      </c>
      <c r="W59" s="406">
        <f t="shared" si="41"/>
        <v>2.8057992823031508E-3</v>
      </c>
      <c r="X59" s="406">
        <f t="shared" si="48"/>
        <v>1.6750520237602027</v>
      </c>
      <c r="Y59" s="406">
        <f t="shared" si="11"/>
        <v>0.14590156267976381</v>
      </c>
      <c r="Z59" s="406">
        <f t="shared" si="12"/>
        <v>4.4978142155067631E-2</v>
      </c>
      <c r="AA59" s="406">
        <f t="shared" si="13"/>
        <v>0.1228566</v>
      </c>
      <c r="AB59" s="406">
        <f t="shared" si="14"/>
        <v>0</v>
      </c>
      <c r="AC59" s="406">
        <f t="shared" si="49"/>
        <v>0.32414068394425333</v>
      </c>
      <c r="AD59" s="406">
        <f t="shared" si="50"/>
        <v>1.7824777298703136</v>
      </c>
      <c r="AE59" s="406">
        <f t="shared" si="17"/>
        <v>3.1772268574836268E-2</v>
      </c>
      <c r="AF59" s="406">
        <f t="shared" si="18"/>
        <v>4.0337999999999992E-2</v>
      </c>
      <c r="AG59" s="406">
        <f t="shared" si="51"/>
        <v>7.2478718705503667E-2</v>
      </c>
      <c r="AH59" s="406">
        <f t="shared" si="52"/>
        <v>0</v>
      </c>
      <c r="AI59">
        <f t="shared" si="21"/>
        <v>0</v>
      </c>
      <c r="AJ59" s="407">
        <f t="shared" si="22"/>
        <v>0.49605779999999999</v>
      </c>
      <c r="AK59">
        <f t="shared" si="23"/>
        <v>0.06</v>
      </c>
      <c r="AL59" s="407">
        <f t="shared" si="24"/>
        <v>4.0337999999999999E-2</v>
      </c>
      <c r="AM59" s="407">
        <f t="shared" si="25"/>
        <v>0.13814789189189189</v>
      </c>
      <c r="AN59" s="407">
        <f t="shared" si="42"/>
        <v>0.100338</v>
      </c>
      <c r="AO59" s="407">
        <f t="shared" si="53"/>
        <v>1.2013460308597748</v>
      </c>
      <c r="AP59">
        <f t="shared" si="27"/>
        <v>31.5</v>
      </c>
      <c r="AQ59" s="10">
        <f t="shared" si="43"/>
        <v>0.963263101472151</v>
      </c>
      <c r="AR59" s="63">
        <f t="shared" si="54"/>
        <v>17.827737616933934</v>
      </c>
      <c r="AS59" s="63">
        <f t="shared" si="44"/>
        <v>2.8991487482201466</v>
      </c>
      <c r="AT59" s="10"/>
      <c r="AU59">
        <f t="shared" si="45"/>
        <v>96.326310147215096</v>
      </c>
      <c r="BE59" s="28"/>
      <c r="BF59" s="29"/>
    </row>
    <row r="60" spans="1:60" x14ac:dyDescent="0.2">
      <c r="A60" s="33" t="s">
        <v>366</v>
      </c>
      <c r="B60" s="115">
        <f>Ireverse</f>
        <v>0</v>
      </c>
      <c r="C60" s="416" t="s">
        <v>135</v>
      </c>
      <c r="D60" s="31" t="s">
        <v>369</v>
      </c>
      <c r="E60" s="2"/>
      <c r="G60">
        <v>51</v>
      </c>
      <c r="H60">
        <f t="shared" si="0"/>
        <v>2.2949999999999999</v>
      </c>
      <c r="I60" s="406">
        <f t="shared" si="1"/>
        <v>0.46900590263182274</v>
      </c>
      <c r="J60" s="407">
        <f t="shared" si="2"/>
        <v>3.3239256033438891</v>
      </c>
      <c r="K60" s="407">
        <f t="shared" si="31"/>
        <v>3.9569628016719447</v>
      </c>
      <c r="L60" s="407">
        <f t="shared" si="32"/>
        <v>0.63303719832805538</v>
      </c>
      <c r="M60" s="63">
        <f t="shared" si="3"/>
        <v>0</v>
      </c>
      <c r="N60" s="406">
        <f t="shared" si="46"/>
        <v>2.4875151828107005</v>
      </c>
      <c r="O60" s="406">
        <f t="shared" si="5"/>
        <v>5.4475770239913752E-3</v>
      </c>
      <c r="P60">
        <f t="shared" si="6"/>
        <v>0.2</v>
      </c>
      <c r="Q60" s="406">
        <f t="shared" si="34"/>
        <v>0.20544757702399138</v>
      </c>
      <c r="R60" s="9">
        <f t="shared" si="39"/>
        <v>0.9595346709284418</v>
      </c>
      <c r="S60" s="9">
        <f t="shared" si="7"/>
        <v>2.5779789971985091E-4</v>
      </c>
      <c r="T60" s="9">
        <f t="shared" si="40"/>
        <v>2.5779789971985091E-4</v>
      </c>
      <c r="U60" s="406">
        <f t="shared" si="47"/>
        <v>1.70355003769578</v>
      </c>
      <c r="V60" s="408">
        <f t="shared" si="9"/>
        <v>2.9020827309332938E-3</v>
      </c>
      <c r="W60" s="406">
        <f t="shared" si="41"/>
        <v>2.9020827309332938E-3</v>
      </c>
      <c r="X60" s="406">
        <f t="shared" si="48"/>
        <v>1.70355003769578</v>
      </c>
      <c r="Y60" s="406">
        <f t="shared" si="11"/>
        <v>0.15090830200853125</v>
      </c>
      <c r="Z60" s="406">
        <f t="shared" si="12"/>
        <v>4.6235535253808843E-2</v>
      </c>
      <c r="AA60" s="406">
        <f t="shared" si="13"/>
        <v>0.1228566</v>
      </c>
      <c r="AB60" s="406">
        <f t="shared" si="14"/>
        <v>0</v>
      </c>
      <c r="AC60" s="406">
        <f t="shared" si="49"/>
        <v>0.33098922198642111</v>
      </c>
      <c r="AD60" s="406">
        <f t="shared" si="50"/>
        <v>1.8126359407725698</v>
      </c>
      <c r="AE60" s="406">
        <f t="shared" si="17"/>
        <v>3.2856490537804595E-2</v>
      </c>
      <c r="AF60" s="406">
        <f t="shared" si="18"/>
        <v>4.1144759999999989E-2</v>
      </c>
      <c r="AG60" s="406">
        <f t="shared" si="51"/>
        <v>7.4392333900184848E-2</v>
      </c>
      <c r="AH60" s="406">
        <f t="shared" si="52"/>
        <v>0</v>
      </c>
      <c r="AI60">
        <f t="shared" si="21"/>
        <v>0</v>
      </c>
      <c r="AJ60" s="407">
        <f t="shared" si="22"/>
        <v>0.49601895600000001</v>
      </c>
      <c r="AK60">
        <f t="shared" si="23"/>
        <v>0.06</v>
      </c>
      <c r="AL60" s="407">
        <f t="shared" si="24"/>
        <v>4.0337999999999999E-2</v>
      </c>
      <c r="AM60" s="407">
        <f t="shared" si="25"/>
        <v>0.13814789189189189</v>
      </c>
      <c r="AN60" s="407">
        <f t="shared" si="42"/>
        <v>0.100338</v>
      </c>
      <c r="AO60" s="407">
        <f t="shared" si="53"/>
        <v>1.2103459695412504</v>
      </c>
      <c r="AP60">
        <f t="shared" si="27"/>
        <v>32.129999999999995</v>
      </c>
      <c r="AQ60" s="10">
        <f t="shared" si="43"/>
        <v>0.9636972582513994</v>
      </c>
      <c r="AR60" s="63">
        <f t="shared" si="54"/>
        <v>18.204407209253162</v>
      </c>
      <c r="AS60" s="63">
        <f t="shared" si="44"/>
        <v>2.9756933560073939</v>
      </c>
      <c r="AT60" s="10"/>
      <c r="AU60">
        <f t="shared" si="45"/>
        <v>96.369725825139938</v>
      </c>
      <c r="BE60" s="28"/>
      <c r="BF60" s="29"/>
    </row>
    <row r="61" spans="1:60" x14ac:dyDescent="0.2">
      <c r="A61" s="34" t="s">
        <v>209</v>
      </c>
      <c r="B61" s="25" t="s">
        <v>201</v>
      </c>
      <c r="C61" s="34" t="s">
        <v>148</v>
      </c>
      <c r="D61" s="476" t="s">
        <v>390</v>
      </c>
      <c r="G61">
        <v>52</v>
      </c>
      <c r="H61">
        <f t="shared" si="0"/>
        <v>2.34</v>
      </c>
      <c r="I61" s="406">
        <f t="shared" si="1"/>
        <v>0.46905192075907343</v>
      </c>
      <c r="J61" s="407">
        <f t="shared" si="2"/>
        <v>3.3242517417368775</v>
      </c>
      <c r="K61" s="407">
        <f t="shared" si="31"/>
        <v>4.0021258708684382</v>
      </c>
      <c r="L61" s="407">
        <f t="shared" si="32"/>
        <v>0.67787412913156109</v>
      </c>
      <c r="M61" s="63">
        <f t="shared" si="3"/>
        <v>0</v>
      </c>
      <c r="N61" s="406">
        <f t="shared" si="46"/>
        <v>2.5291278081985866</v>
      </c>
      <c r="O61" s="406">
        <f t="shared" si="5"/>
        <v>5.631444885030876E-3</v>
      </c>
      <c r="P61">
        <f t="shared" si="6"/>
        <v>0.2</v>
      </c>
      <c r="Q61" s="406">
        <f t="shared" si="34"/>
        <v>0.20563144488503088</v>
      </c>
      <c r="R61" s="9">
        <f t="shared" si="39"/>
        <v>0.95962881897293428</v>
      </c>
      <c r="S61" s="9">
        <f t="shared" si="7"/>
        <v>2.5784849165694885E-4</v>
      </c>
      <c r="T61" s="9">
        <f t="shared" si="40"/>
        <v>2.5784849165694885E-4</v>
      </c>
      <c r="U61" s="406">
        <f t="shared" si="47"/>
        <v>1.7321330012473768</v>
      </c>
      <c r="V61" s="408">
        <f t="shared" si="9"/>
        <v>3.0002847340102451E-3</v>
      </c>
      <c r="W61" s="406">
        <f t="shared" si="41"/>
        <v>3.0002847340102451E-3</v>
      </c>
      <c r="X61" s="406">
        <f t="shared" si="48"/>
        <v>1.7321330012473768</v>
      </c>
      <c r="Y61" s="406">
        <f t="shared" si="11"/>
        <v>0.15601480616853275</v>
      </c>
      <c r="Z61" s="406">
        <f t="shared" si="12"/>
        <v>4.7492928129543921E-2</v>
      </c>
      <c r="AA61" s="406">
        <f t="shared" si="13"/>
        <v>0.1228566</v>
      </c>
      <c r="AB61" s="406">
        <f t="shared" si="14"/>
        <v>0</v>
      </c>
      <c r="AC61" s="406">
        <f t="shared" si="49"/>
        <v>0.3379643724305329</v>
      </c>
      <c r="AD61" s="406">
        <f t="shared" si="50"/>
        <v>1.8428789260809135</v>
      </c>
      <c r="AE61" s="406">
        <f t="shared" si="17"/>
        <v>3.3962027361931414E-2</v>
      </c>
      <c r="AF61" s="406">
        <f t="shared" si="18"/>
        <v>4.1951519999999985E-2</v>
      </c>
      <c r="AG61" s="406">
        <f t="shared" si="51"/>
        <v>7.6328309624323604E-2</v>
      </c>
      <c r="AH61" s="406">
        <f t="shared" si="52"/>
        <v>0</v>
      </c>
      <c r="AI61">
        <f t="shared" si="21"/>
        <v>0</v>
      </c>
      <c r="AJ61" s="407">
        <f t="shared" si="22"/>
        <v>0.49598011199999997</v>
      </c>
      <c r="AK61">
        <f t="shared" si="23"/>
        <v>0.06</v>
      </c>
      <c r="AL61" s="407">
        <f t="shared" si="24"/>
        <v>4.0337999999999999E-2</v>
      </c>
      <c r="AM61" s="407">
        <f t="shared" si="25"/>
        <v>0.13814789189189189</v>
      </c>
      <c r="AN61" s="407">
        <f t="shared" si="42"/>
        <v>0.100338</v>
      </c>
      <c r="AO61" s="407">
        <f t="shared" si="53"/>
        <v>1.2195003721655546</v>
      </c>
      <c r="AP61">
        <f t="shared" si="27"/>
        <v>32.76</v>
      </c>
      <c r="AQ61" s="10">
        <f t="shared" si="43"/>
        <v>0.96411070325317338</v>
      </c>
      <c r="AR61" s="63">
        <f t="shared" si="54"/>
        <v>18.588040483679311</v>
      </c>
      <c r="AS61" s="63">
        <f t="shared" si="44"/>
        <v>3.0531323849729439</v>
      </c>
      <c r="AT61" s="10"/>
      <c r="AU61">
        <f t="shared" si="45"/>
        <v>96.41107032531734</v>
      </c>
      <c r="BE61" s="28"/>
      <c r="BF61" s="29"/>
    </row>
    <row r="62" spans="1:60" x14ac:dyDescent="0.2">
      <c r="A62" s="33" t="s">
        <v>210</v>
      </c>
      <c r="B62" s="116">
        <v>20</v>
      </c>
      <c r="C62" s="416" t="s">
        <v>380</v>
      </c>
      <c r="D62" s="31" t="s">
        <v>184</v>
      </c>
      <c r="G62">
        <v>53</v>
      </c>
      <c r="H62">
        <f t="shared" si="0"/>
        <v>2.3850000000000002</v>
      </c>
      <c r="I62" s="406">
        <f t="shared" si="1"/>
        <v>0.46909794470403349</v>
      </c>
      <c r="J62" s="407">
        <f t="shared" si="2"/>
        <v>3.3245779213609743</v>
      </c>
      <c r="K62" s="407">
        <f t="shared" si="31"/>
        <v>4.0472889606804872</v>
      </c>
      <c r="L62" s="407">
        <f t="shared" si="32"/>
        <v>0.72271103931951308</v>
      </c>
      <c r="M62" s="63">
        <f t="shared" si="3"/>
        <v>0</v>
      </c>
      <c r="N62" s="406">
        <f t="shared" si="46"/>
        <v>2.5708545653666874</v>
      </c>
      <c r="O62" s="406">
        <f t="shared" si="5"/>
        <v>5.8188855066301035E-3</v>
      </c>
      <c r="P62">
        <f t="shared" si="6"/>
        <v>0.2</v>
      </c>
      <c r="Q62" s="406">
        <f t="shared" si="34"/>
        <v>0.20581888550663011</v>
      </c>
      <c r="R62" s="9">
        <f t="shared" si="39"/>
        <v>0.9597229789198225</v>
      </c>
      <c r="S62" s="9">
        <f t="shared" si="7"/>
        <v>2.5789909495468671E-4</v>
      </c>
      <c r="T62" s="9">
        <f t="shared" si="40"/>
        <v>2.5789909495468671E-4</v>
      </c>
      <c r="U62" s="406">
        <f t="shared" si="47"/>
        <v>1.760796937274449</v>
      </c>
      <c r="V62" s="408">
        <f t="shared" si="9"/>
        <v>3.1004058543150801E-3</v>
      </c>
      <c r="W62" s="406">
        <f t="shared" si="41"/>
        <v>3.1004058543150801E-3</v>
      </c>
      <c r="X62" s="406">
        <f t="shared" si="48"/>
        <v>1.760796937274449</v>
      </c>
      <c r="Y62" s="406">
        <f t="shared" si="11"/>
        <v>0.16122110442438414</v>
      </c>
      <c r="Z62" s="406">
        <f t="shared" si="12"/>
        <v>4.8750320782230572E-2</v>
      </c>
      <c r="AA62" s="406">
        <f t="shared" si="13"/>
        <v>0.1228566</v>
      </c>
      <c r="AB62" s="406">
        <f t="shared" si="14"/>
        <v>0</v>
      </c>
      <c r="AC62" s="406">
        <f t="shared" si="49"/>
        <v>0.34506708649952544</v>
      </c>
      <c r="AD62" s="406">
        <f t="shared" si="50"/>
        <v>1.8732024295178724</v>
      </c>
      <c r="AE62" s="406">
        <f t="shared" si="17"/>
        <v>3.5088873419516602E-2</v>
      </c>
      <c r="AF62" s="406">
        <f t="shared" si="18"/>
        <v>4.2758279999999996E-2</v>
      </c>
      <c r="AG62" s="406">
        <f t="shared" si="51"/>
        <v>7.8286671999392085E-2</v>
      </c>
      <c r="AH62" s="406">
        <f t="shared" si="52"/>
        <v>0</v>
      </c>
      <c r="AI62">
        <f t="shared" si="21"/>
        <v>0</v>
      </c>
      <c r="AJ62" s="407">
        <f t="shared" si="22"/>
        <v>0.49594126799999999</v>
      </c>
      <c r="AK62">
        <f t="shared" si="23"/>
        <v>0.06</v>
      </c>
      <c r="AL62" s="407">
        <f t="shared" si="24"/>
        <v>4.0337999999999999E-2</v>
      </c>
      <c r="AM62" s="407">
        <f t="shared" si="25"/>
        <v>0.13814789189189189</v>
      </c>
      <c r="AN62" s="407">
        <f t="shared" si="42"/>
        <v>0.100338</v>
      </c>
      <c r="AO62" s="407">
        <f t="shared" si="53"/>
        <v>1.2288102169548174</v>
      </c>
      <c r="AP62">
        <f t="shared" si="27"/>
        <v>33.39</v>
      </c>
      <c r="AQ62" s="10">
        <f t="shared" si="43"/>
        <v>0.96450455087121967</v>
      </c>
      <c r="AR62" s="63">
        <f t="shared" si="54"/>
        <v>18.978689757473898</v>
      </c>
      <c r="AS62" s="63">
        <f t="shared" si="44"/>
        <v>3.1314668799756835</v>
      </c>
      <c r="AT62" s="10"/>
      <c r="AU62">
        <f t="shared" si="45"/>
        <v>96.450455087121966</v>
      </c>
      <c r="BE62" s="28"/>
      <c r="BF62" s="29"/>
    </row>
    <row r="63" spans="1:60" x14ac:dyDescent="0.2">
      <c r="A63" s="33" t="s">
        <v>210</v>
      </c>
      <c r="B63" s="116">
        <v>2</v>
      </c>
      <c r="C63" s="416" t="s">
        <v>278</v>
      </c>
      <c r="D63" s="31" t="s">
        <v>184</v>
      </c>
      <c r="G63">
        <v>54</v>
      </c>
      <c r="H63">
        <f t="shared" si="0"/>
        <v>2.4300000000000002</v>
      </c>
      <c r="I63" s="406">
        <f t="shared" si="1"/>
        <v>0.46914397446780609</v>
      </c>
      <c r="J63" s="407">
        <f t="shared" si="2"/>
        <v>3.3249041422239975</v>
      </c>
      <c r="K63" s="407">
        <f t="shared" si="31"/>
        <v>4.0924520711119987</v>
      </c>
      <c r="L63" s="407">
        <f t="shared" si="32"/>
        <v>0.76754792888800139</v>
      </c>
      <c r="M63" s="63">
        <f t="shared" si="3"/>
        <v>0</v>
      </c>
      <c r="N63" s="406">
        <f t="shared" si="46"/>
        <v>2.6126899859942929</v>
      </c>
      <c r="O63" s="406">
        <f t="shared" si="5"/>
        <v>6.0098992098600815E-3</v>
      </c>
      <c r="P63">
        <f t="shared" si="6"/>
        <v>0.2</v>
      </c>
      <c r="Q63" s="406">
        <f t="shared" si="34"/>
        <v>0.2060098992098601</v>
      </c>
      <c r="R63" s="9">
        <f t="shared" si="39"/>
        <v>0.95981715077136343</v>
      </c>
      <c r="S63" s="9">
        <f t="shared" si="7"/>
        <v>2.5794970961616031E-4</v>
      </c>
      <c r="T63" s="9">
        <f t="shared" si="40"/>
        <v>2.5794970961616031E-4</v>
      </c>
      <c r="U63" s="406">
        <f t="shared" si="47"/>
        <v>1.7895381121314988</v>
      </c>
      <c r="V63" s="408">
        <f t="shared" si="9"/>
        <v>3.202446654771169E-3</v>
      </c>
      <c r="W63" s="406">
        <f t="shared" si="41"/>
        <v>3.202446654771169E-3</v>
      </c>
      <c r="X63" s="406">
        <f t="shared" si="48"/>
        <v>1.7895381121314988</v>
      </c>
      <c r="Y63" s="406">
        <f t="shared" si="11"/>
        <v>0.16652722604810077</v>
      </c>
      <c r="Z63" s="406">
        <f t="shared" si="12"/>
        <v>5.0007713211826475E-2</v>
      </c>
      <c r="AA63" s="406">
        <f t="shared" si="13"/>
        <v>0.1228566</v>
      </c>
      <c r="AB63" s="406">
        <f t="shared" si="14"/>
        <v>0</v>
      </c>
      <c r="AC63" s="406">
        <f t="shared" si="49"/>
        <v>0.35229833753599721</v>
      </c>
      <c r="AD63" s="406">
        <f t="shared" si="50"/>
        <v>1.9036024553839201</v>
      </c>
      <c r="AE63" s="406">
        <f t="shared" si="17"/>
        <v>3.6237023081436899E-2</v>
      </c>
      <c r="AF63" s="406">
        <f t="shared" si="18"/>
        <v>4.3565039999999992E-2</v>
      </c>
      <c r="AG63" s="406">
        <f t="shared" si="51"/>
        <v>8.0267447617758933E-2</v>
      </c>
      <c r="AH63" s="406">
        <f t="shared" si="52"/>
        <v>0</v>
      </c>
      <c r="AI63">
        <f t="shared" si="21"/>
        <v>0</v>
      </c>
      <c r="AJ63" s="407">
        <f t="shared" si="22"/>
        <v>0.49590242400000001</v>
      </c>
      <c r="AK63">
        <f t="shared" si="23"/>
        <v>0.06</v>
      </c>
      <c r="AL63" s="407">
        <f t="shared" si="24"/>
        <v>4.0337999999999999E-2</v>
      </c>
      <c r="AM63" s="407">
        <f t="shared" si="25"/>
        <v>0.13814789189189189</v>
      </c>
      <c r="AN63" s="407">
        <f t="shared" si="42"/>
        <v>0.100338</v>
      </c>
      <c r="AO63" s="407">
        <f t="shared" si="53"/>
        <v>1.2382765047280035</v>
      </c>
      <c r="AP63">
        <f t="shared" si="27"/>
        <v>34.020000000000003</v>
      </c>
      <c r="AQ63" s="10">
        <f t="shared" si="43"/>
        <v>0.964879834538652</v>
      </c>
      <c r="AR63" s="63">
        <f t="shared" si="54"/>
        <v>19.376408564479846</v>
      </c>
      <c r="AS63" s="63">
        <f t="shared" si="44"/>
        <v>3.2106979047103574</v>
      </c>
      <c r="AT63" s="10"/>
      <c r="AU63">
        <f t="shared" si="45"/>
        <v>96.487983453865198</v>
      </c>
      <c r="BE63" s="28"/>
      <c r="BF63" s="29"/>
    </row>
    <row r="64" spans="1:60" x14ac:dyDescent="0.2">
      <c r="A64" s="117"/>
      <c r="B64" s="40"/>
      <c r="G64">
        <v>55</v>
      </c>
      <c r="H64">
        <f t="shared" si="0"/>
        <v>2.4750000000000001</v>
      </c>
      <c r="I64" s="406">
        <f t="shared" si="1"/>
        <v>0.46919001005149508</v>
      </c>
      <c r="J64" s="407">
        <f t="shared" si="2"/>
        <v>3.3252304043337708</v>
      </c>
      <c r="K64" s="407">
        <f t="shared" si="31"/>
        <v>4.1376152021668853</v>
      </c>
      <c r="L64" s="407">
        <f t="shared" si="32"/>
        <v>0.81238479783311468</v>
      </c>
      <c r="M64" s="63">
        <f t="shared" si="3"/>
        <v>0</v>
      </c>
      <c r="N64" s="406">
        <f t="shared" si="46"/>
        <v>2.6546289326681443</v>
      </c>
      <c r="O64" s="406">
        <f t="shared" si="5"/>
        <v>6.2044863219269187E-3</v>
      </c>
      <c r="P64">
        <f t="shared" si="6"/>
        <v>0.2</v>
      </c>
      <c r="Q64" s="406">
        <f t="shared" si="34"/>
        <v>0.20620448632192692</v>
      </c>
      <c r="R64" s="9">
        <f t="shared" si="39"/>
        <v>0.95991133452981536</v>
      </c>
      <c r="S64" s="9">
        <f t="shared" si="7"/>
        <v>2.5800033564446712E-4</v>
      </c>
      <c r="T64" s="9">
        <f t="shared" si="40"/>
        <v>2.5800033564446712E-4</v>
      </c>
      <c r="U64" s="406">
        <f t="shared" si="47"/>
        <v>1.818353018102989</v>
      </c>
      <c r="V64" s="408">
        <f t="shared" si="9"/>
        <v>3.3064076984442494E-3</v>
      </c>
      <c r="W64" s="406">
        <f t="shared" si="41"/>
        <v>3.3064076984442494E-3</v>
      </c>
      <c r="X64" s="406">
        <f t="shared" si="48"/>
        <v>1.818353018102989</v>
      </c>
      <c r="Y64" s="406">
        <f t="shared" si="11"/>
        <v>0.17193320031910095</v>
      </c>
      <c r="Z64" s="406">
        <f t="shared" si="12"/>
        <v>5.1265105418289325E-2</v>
      </c>
      <c r="AA64" s="406">
        <f t="shared" si="13"/>
        <v>0.1228566</v>
      </c>
      <c r="AB64" s="406">
        <f t="shared" si="14"/>
        <v>0</v>
      </c>
      <c r="AC64" s="406">
        <f t="shared" si="49"/>
        <v>0.35965912136462913</v>
      </c>
      <c r="AD64" s="406">
        <f t="shared" si="50"/>
        <v>1.9340752497549216</v>
      </c>
      <c r="AE64" s="406">
        <f t="shared" si="17"/>
        <v>3.7406470717145625E-2</v>
      </c>
      <c r="AF64" s="406">
        <f t="shared" si="18"/>
        <v>4.4371799999999989E-2</v>
      </c>
      <c r="AG64" s="406">
        <f t="shared" si="51"/>
        <v>8.2270663543822745E-2</v>
      </c>
      <c r="AH64" s="406">
        <f t="shared" si="52"/>
        <v>0</v>
      </c>
      <c r="AI64">
        <f t="shared" si="21"/>
        <v>0</v>
      </c>
      <c r="AJ64" s="407">
        <f t="shared" si="22"/>
        <v>0.49586358000000003</v>
      </c>
      <c r="AK64">
        <f t="shared" si="23"/>
        <v>0.06</v>
      </c>
      <c r="AL64" s="407">
        <f t="shared" si="24"/>
        <v>4.0337999999999999E-2</v>
      </c>
      <c r="AM64" s="407">
        <f t="shared" si="25"/>
        <v>0.13814789189189189</v>
      </c>
      <c r="AN64" s="407">
        <f t="shared" si="42"/>
        <v>0.100338</v>
      </c>
      <c r="AO64" s="407">
        <f t="shared" si="53"/>
        <v>1.2479002592644677</v>
      </c>
      <c r="AP64">
        <f t="shared" si="27"/>
        <v>34.65</v>
      </c>
      <c r="AQ64" s="10">
        <f t="shared" si="43"/>
        <v>0.96523751388655632</v>
      </c>
      <c r="AR64" s="63">
        <f t="shared" si="54"/>
        <v>19.781251675054602</v>
      </c>
      <c r="AS64" s="63">
        <f t="shared" si="44"/>
        <v>3.2908265417529097</v>
      </c>
      <c r="AT64" s="10"/>
      <c r="AU64">
        <f t="shared" si="45"/>
        <v>96.523751388655626</v>
      </c>
      <c r="BE64" s="28"/>
      <c r="BF64" s="29"/>
    </row>
    <row r="65" spans="1:58" x14ac:dyDescent="0.2">
      <c r="G65">
        <v>56</v>
      </c>
      <c r="H65">
        <f t="shared" si="0"/>
        <v>2.5200000000000005</v>
      </c>
      <c r="I65" s="406">
        <f t="shared" si="1"/>
        <v>0.46923605145620412</v>
      </c>
      <c r="J65" s="407">
        <f t="shared" si="2"/>
        <v>3.3255567076981154</v>
      </c>
      <c r="K65" s="407">
        <f t="shared" si="31"/>
        <v>4.1827783538490584</v>
      </c>
      <c r="L65" s="407">
        <f t="shared" si="32"/>
        <v>0.85722164615094276</v>
      </c>
      <c r="M65" s="63">
        <f t="shared" si="3"/>
        <v>0</v>
      </c>
      <c r="N65" s="406">
        <f t="shared" si="46"/>
        <v>2.6966665752387082</v>
      </c>
      <c r="O65" s="406">
        <f t="shared" si="5"/>
        <v>6.4026471761731993E-3</v>
      </c>
      <c r="P65">
        <f t="shared" si="6"/>
        <v>0.2</v>
      </c>
      <c r="Q65" s="406">
        <f t="shared" si="34"/>
        <v>0.20640264717617321</v>
      </c>
      <c r="R65" s="9">
        <f t="shared" si="39"/>
        <v>0.96000553019743629</v>
      </c>
      <c r="S65" s="9">
        <f t="shared" si="7"/>
        <v>2.5805097304270502E-4</v>
      </c>
      <c r="T65" s="9">
        <f t="shared" si="40"/>
        <v>2.5805097304270502E-4</v>
      </c>
      <c r="U65" s="406">
        <f t="shared" si="47"/>
        <v>1.8472383572626585</v>
      </c>
      <c r="V65" s="408">
        <f t="shared" si="9"/>
        <v>3.4122895485424452E-3</v>
      </c>
      <c r="W65" s="406">
        <f t="shared" si="41"/>
        <v>3.4122895485424452E-3</v>
      </c>
      <c r="X65" s="406">
        <f t="shared" si="48"/>
        <v>1.8472383572626585</v>
      </c>
      <c r="Y65" s="406">
        <f t="shared" si="11"/>
        <v>0.17743905652420713</v>
      </c>
      <c r="Z65" s="406">
        <f t="shared" si="12"/>
        <v>5.2522497401576829E-2</v>
      </c>
      <c r="AA65" s="406">
        <f t="shared" si="13"/>
        <v>0.1228566</v>
      </c>
      <c r="AB65" s="406">
        <f t="shared" si="14"/>
        <v>0</v>
      </c>
      <c r="AC65" s="406">
        <f t="shared" si="49"/>
        <v>0.36715045666506163</v>
      </c>
      <c r="AD65" s="406">
        <f t="shared" si="50"/>
        <v>1.964617283204853</v>
      </c>
      <c r="AE65" s="406">
        <f t="shared" si="17"/>
        <v>3.8597210694672174E-2</v>
      </c>
      <c r="AF65" s="406">
        <f t="shared" si="18"/>
        <v>4.517856E-2</v>
      </c>
      <c r="AG65" s="406">
        <f t="shared" si="51"/>
        <v>8.4296347315170564E-2</v>
      </c>
      <c r="AH65" s="406">
        <f t="shared" si="52"/>
        <v>0</v>
      </c>
      <c r="AI65">
        <f t="shared" si="21"/>
        <v>0</v>
      </c>
      <c r="AJ65" s="407">
        <f t="shared" si="22"/>
        <v>0.49582473600000004</v>
      </c>
      <c r="AK65">
        <f t="shared" si="23"/>
        <v>0.06</v>
      </c>
      <c r="AL65" s="407">
        <f t="shared" si="24"/>
        <v>4.0337999999999999E-2</v>
      </c>
      <c r="AM65" s="407">
        <f t="shared" si="25"/>
        <v>0.13814789189189189</v>
      </c>
      <c r="AN65" s="407">
        <f t="shared" si="42"/>
        <v>0.100338</v>
      </c>
      <c r="AO65" s="407">
        <f t="shared" si="53"/>
        <v>1.2576825276779906</v>
      </c>
      <c r="AP65">
        <f t="shared" si="27"/>
        <v>35.280000000000008</v>
      </c>
      <c r="AQ65" s="10">
        <f t="shared" si="43"/>
        <v>0.9655784811550302</v>
      </c>
      <c r="AR65" s="63">
        <f t="shared" si="54"/>
        <v>20.193275116578391</v>
      </c>
      <c r="AS65" s="63">
        <f t="shared" si="44"/>
        <v>3.3718538926068224</v>
      </c>
      <c r="AT65" s="10"/>
      <c r="AU65">
        <f t="shared" si="45"/>
        <v>96.55784811550302</v>
      </c>
      <c r="BE65" s="28"/>
      <c r="BF65" s="29"/>
    </row>
    <row r="66" spans="1:58" x14ac:dyDescent="0.2">
      <c r="A66" s="12" t="s">
        <v>149</v>
      </c>
      <c r="B66" s="41"/>
      <c r="C66" s="41"/>
      <c r="G66">
        <v>57</v>
      </c>
      <c r="H66">
        <f t="shared" si="0"/>
        <v>2.5649999999999999</v>
      </c>
      <c r="I66" s="406">
        <f t="shared" si="1"/>
        <v>0.4692820986830375</v>
      </c>
      <c r="J66" s="407">
        <f t="shared" si="2"/>
        <v>3.3258830523248584</v>
      </c>
      <c r="K66" s="407">
        <f t="shared" si="31"/>
        <v>4.2279415261624287</v>
      </c>
      <c r="L66" s="407">
        <f t="shared" si="32"/>
        <v>0.90205847383757076</v>
      </c>
      <c r="M66" s="63">
        <f t="shared" si="3"/>
        <v>0</v>
      </c>
      <c r="N66" s="406">
        <f t="shared" si="46"/>
        <v>2.7387983690805857</v>
      </c>
      <c r="O66" s="406">
        <f t="shared" si="5"/>
        <v>6.6043821120794002E-3</v>
      </c>
      <c r="P66">
        <f t="shared" si="6"/>
        <v>0.2</v>
      </c>
      <c r="Q66" s="406">
        <f t="shared" si="34"/>
        <v>0.2066043821120794</v>
      </c>
      <c r="R66" s="9">
        <f t="shared" si="39"/>
        <v>0.96009973777648561</v>
      </c>
      <c r="S66" s="9">
        <f t="shared" si="7"/>
        <v>2.5810162181397341E-4</v>
      </c>
      <c r="T66" s="9">
        <f t="shared" si="40"/>
        <v>2.5810162181397341E-4</v>
      </c>
      <c r="U66" s="406">
        <f t="shared" si="47"/>
        <v>1.876191026632503</v>
      </c>
      <c r="V66" s="408">
        <f t="shared" si="9"/>
        <v>3.5200927684163256E-3</v>
      </c>
      <c r="W66" s="406">
        <f t="shared" si="41"/>
        <v>3.5200927684163256E-3</v>
      </c>
      <c r="X66" s="406">
        <f t="shared" si="48"/>
        <v>1.876191026632503</v>
      </c>
      <c r="Y66" s="406">
        <f t="shared" si="11"/>
        <v>0.18304482395764893</v>
      </c>
      <c r="Z66" s="406">
        <f t="shared" si="12"/>
        <v>5.3779889161646596E-2</v>
      </c>
      <c r="AA66" s="406">
        <f t="shared" si="13"/>
        <v>0.1228566</v>
      </c>
      <c r="AB66" s="406">
        <f t="shared" si="14"/>
        <v>0</v>
      </c>
      <c r="AC66" s="406">
        <f t="shared" si="49"/>
        <v>0.37477338535550586</v>
      </c>
      <c r="AD66" s="406">
        <f t="shared" si="50"/>
        <v>1.9952252349201458</v>
      </c>
      <c r="AE66" s="406">
        <f t="shared" si="17"/>
        <v>3.9809237380621511E-2</v>
      </c>
      <c r="AF66" s="406">
        <f t="shared" si="18"/>
        <v>4.5985319999999982E-2</v>
      </c>
      <c r="AG66" s="406">
        <f t="shared" si="51"/>
        <v>8.6344526943760963E-2</v>
      </c>
      <c r="AH66" s="406">
        <f t="shared" si="52"/>
        <v>0</v>
      </c>
      <c r="AI66">
        <f t="shared" si="21"/>
        <v>0</v>
      </c>
      <c r="AJ66" s="407">
        <f t="shared" si="22"/>
        <v>0.49578589200000001</v>
      </c>
      <c r="AK66">
        <f t="shared" si="23"/>
        <v>0.06</v>
      </c>
      <c r="AL66" s="407">
        <f t="shared" si="24"/>
        <v>4.0337999999999999E-2</v>
      </c>
      <c r="AM66" s="407">
        <f t="shared" si="25"/>
        <v>0.13814789189189189</v>
      </c>
      <c r="AN66" s="407">
        <f t="shared" si="42"/>
        <v>0.100338</v>
      </c>
      <c r="AO66" s="407">
        <f t="shared" si="53"/>
        <v>1.2676243808015768</v>
      </c>
      <c r="AP66">
        <f t="shared" si="27"/>
        <v>35.909999999999997</v>
      </c>
      <c r="AQ66" s="10">
        <f t="shared" si="43"/>
        <v>0.96590356694613932</v>
      </c>
      <c r="AR66" s="63">
        <f t="shared" si="54"/>
        <v>20.612536194552824</v>
      </c>
      <c r="AS66" s="63">
        <f t="shared" si="44"/>
        <v>3.4537810777504383</v>
      </c>
      <c r="AT66" s="10"/>
      <c r="AU66">
        <f t="shared" si="45"/>
        <v>96.590356694613931</v>
      </c>
      <c r="BE66" s="28"/>
      <c r="BF66" s="29"/>
    </row>
    <row r="67" spans="1:58" x14ac:dyDescent="0.2">
      <c r="A67" s="24" t="s">
        <v>125</v>
      </c>
      <c r="B67" s="25" t="s">
        <v>8</v>
      </c>
      <c r="C67" s="25" t="s">
        <v>148</v>
      </c>
      <c r="G67">
        <v>58</v>
      </c>
      <c r="H67">
        <f t="shared" si="0"/>
        <v>2.61</v>
      </c>
      <c r="I67" s="406">
        <f t="shared" si="1"/>
        <v>0.46932815173309939</v>
      </c>
      <c r="J67" s="407">
        <f t="shared" si="2"/>
        <v>3.3262094382218241</v>
      </c>
      <c r="K67" s="407">
        <f t="shared" si="31"/>
        <v>4.2731047191109122</v>
      </c>
      <c r="L67" s="407">
        <f t="shared" si="32"/>
        <v>0.94689528088908781</v>
      </c>
      <c r="M67" s="63">
        <f t="shared" si="3"/>
        <v>0</v>
      </c>
      <c r="N67" s="406">
        <f t="shared" si="46"/>
        <v>2.7810200350907808</v>
      </c>
      <c r="O67" s="406">
        <f t="shared" si="5"/>
        <v>6.8096914752653762E-3</v>
      </c>
      <c r="P67">
        <f t="shared" si="6"/>
        <v>0.2</v>
      </c>
      <c r="Q67" s="406">
        <f t="shared" si="34"/>
        <v>0.2068096914752654</v>
      </c>
      <c r="R67" s="9">
        <f t="shared" si="39"/>
        <v>0.96019395726922208</v>
      </c>
      <c r="S67" s="9">
        <f t="shared" si="7"/>
        <v>2.5815228196137205E-4</v>
      </c>
      <c r="T67" s="9">
        <f t="shared" si="40"/>
        <v>2.5815228196137205E-4</v>
      </c>
      <c r="U67" s="406">
        <f t="shared" si="47"/>
        <v>1.9052081045279405</v>
      </c>
      <c r="V67" s="408">
        <f t="shared" si="9"/>
        <v>3.6298179215589481E-3</v>
      </c>
      <c r="W67" s="406">
        <f t="shared" si="41"/>
        <v>3.6298179215589481E-3</v>
      </c>
      <c r="X67" s="406">
        <f t="shared" si="48"/>
        <v>1.9052081045279405</v>
      </c>
      <c r="Y67" s="406">
        <f t="shared" si="11"/>
        <v>0.18875053192106528</v>
      </c>
      <c r="Z67" s="406">
        <f t="shared" si="12"/>
        <v>5.5037280698456342E-2</v>
      </c>
      <c r="AA67" s="406">
        <f t="shared" si="13"/>
        <v>0.1228566</v>
      </c>
      <c r="AB67" s="406">
        <f t="shared" si="14"/>
        <v>0</v>
      </c>
      <c r="AC67" s="406">
        <f t="shared" si="49"/>
        <v>0.38252897298737032</v>
      </c>
      <c r="AD67" s="406">
        <f t="shared" si="50"/>
        <v>2.0258959780841117</v>
      </c>
      <c r="AE67" s="406">
        <f t="shared" si="17"/>
        <v>4.1042545140173796E-2</v>
      </c>
      <c r="AF67" s="406">
        <f t="shared" si="18"/>
        <v>4.6792079999999986E-2</v>
      </c>
      <c r="AG67" s="406">
        <f t="shared" si="51"/>
        <v>8.8415230917133047E-2</v>
      </c>
      <c r="AH67" s="406">
        <f t="shared" si="52"/>
        <v>0</v>
      </c>
      <c r="AI67">
        <f t="shared" si="21"/>
        <v>0</v>
      </c>
      <c r="AJ67" s="407">
        <f t="shared" si="22"/>
        <v>0.49574704800000002</v>
      </c>
      <c r="AK67">
        <f t="shared" si="23"/>
        <v>0.06</v>
      </c>
      <c r="AL67" s="407">
        <f t="shared" si="24"/>
        <v>4.0337999999999999E-2</v>
      </c>
      <c r="AM67" s="407">
        <f t="shared" si="25"/>
        <v>0.13814789189189189</v>
      </c>
      <c r="AN67" s="407">
        <f t="shared" si="42"/>
        <v>0.100338</v>
      </c>
      <c r="AO67" s="407">
        <f t="shared" si="53"/>
        <v>1.2777269135832894</v>
      </c>
      <c r="AP67">
        <f t="shared" si="27"/>
        <v>36.54</v>
      </c>
      <c r="AQ67" s="10">
        <f t="shared" si="43"/>
        <v>0.96621354539623705</v>
      </c>
      <c r="AR67" s="63">
        <f t="shared" si="54"/>
        <v>21.039093514305367</v>
      </c>
      <c r="AS67" s="63">
        <f t="shared" si="44"/>
        <v>3.5366092366853219</v>
      </c>
      <c r="AT67" s="10"/>
      <c r="AU67">
        <f t="shared" si="45"/>
        <v>96.621354539623709</v>
      </c>
      <c r="BE67" s="28"/>
      <c r="BF67" s="29"/>
    </row>
    <row r="68" spans="1:58" x14ac:dyDescent="0.2">
      <c r="A68" s="42" t="s">
        <v>385</v>
      </c>
      <c r="B68" s="409">
        <f>I109</f>
        <v>0.47126765287980943</v>
      </c>
      <c r="C68" s="31" t="s">
        <v>23</v>
      </c>
      <c r="G68">
        <v>59</v>
      </c>
      <c r="H68">
        <f t="shared" si="0"/>
        <v>2.6549999999999998</v>
      </c>
      <c r="I68" s="406">
        <f t="shared" si="1"/>
        <v>0.46937421060749474</v>
      </c>
      <c r="J68" s="407">
        <f t="shared" si="2"/>
        <v>3.3265358653968442</v>
      </c>
      <c r="K68" s="407">
        <f t="shared" si="31"/>
        <v>4.3182679326984221</v>
      </c>
      <c r="L68" s="407">
        <f t="shared" si="32"/>
        <v>0.9917320673015777</v>
      </c>
      <c r="M68" s="63">
        <f t="shared" si="3"/>
        <v>0</v>
      </c>
      <c r="N68" s="406">
        <f t="shared" si="46"/>
        <v>2.8233275412736463</v>
      </c>
      <c r="O68" s="406">
        <f t="shared" si="5"/>
        <v>7.018575617491812E-3</v>
      </c>
      <c r="P68">
        <f t="shared" si="6"/>
        <v>0.2</v>
      </c>
      <c r="Q68" s="406">
        <f t="shared" si="34"/>
        <v>0.20701857561749182</v>
      </c>
      <c r="R68" s="9">
        <f t="shared" si="39"/>
        <v>0.96028818867790644</v>
      </c>
      <c r="S68" s="9">
        <f t="shared" si="7"/>
        <v>2.5820295348800249E-4</v>
      </c>
      <c r="T68" s="9">
        <f t="shared" si="40"/>
        <v>2.5820295348800249E-4</v>
      </c>
      <c r="U68" s="406">
        <f t="shared" si="47"/>
        <v>1.934286837986007</v>
      </c>
      <c r="V68" s="408">
        <f t="shared" si="9"/>
        <v>3.7414655716059052E-3</v>
      </c>
      <c r="W68" s="406">
        <f t="shared" si="41"/>
        <v>3.7414655716059052E-3</v>
      </c>
      <c r="X68" s="406">
        <f t="shared" si="48"/>
        <v>1.934286837986007</v>
      </c>
      <c r="Y68" s="406">
        <f t="shared" si="11"/>
        <v>0.19455620972350707</v>
      </c>
      <c r="Z68" s="406">
        <f t="shared" si="12"/>
        <v>5.6294672011963691E-2</v>
      </c>
      <c r="AA68" s="406">
        <f t="shared" si="13"/>
        <v>0.1228566</v>
      </c>
      <c r="AB68" s="406">
        <f t="shared" si="14"/>
        <v>0</v>
      </c>
      <c r="AC68" s="406">
        <f t="shared" si="49"/>
        <v>0.39041830915119652</v>
      </c>
      <c r="AD68" s="406">
        <f t="shared" si="50"/>
        <v>2.0566265664209409</v>
      </c>
      <c r="AE68" s="406">
        <f t="shared" si="17"/>
        <v>4.2297128337083885E-2</v>
      </c>
      <c r="AF68" s="406">
        <f t="shared" si="18"/>
        <v>4.7598839999999983E-2</v>
      </c>
      <c r="AG68" s="406">
        <f t="shared" si="51"/>
        <v>9.0508488199639969E-2</v>
      </c>
      <c r="AH68" s="406">
        <f t="shared" si="52"/>
        <v>0</v>
      </c>
      <c r="AI68">
        <f t="shared" si="21"/>
        <v>0</v>
      </c>
      <c r="AJ68" s="407">
        <f t="shared" si="22"/>
        <v>0.49570820400000004</v>
      </c>
      <c r="AK68">
        <f t="shared" si="23"/>
        <v>0.06</v>
      </c>
      <c r="AL68" s="407">
        <f t="shared" si="24"/>
        <v>4.0337999999999999E-2</v>
      </c>
      <c r="AM68" s="407">
        <f t="shared" si="25"/>
        <v>0.13814789189189189</v>
      </c>
      <c r="AN68" s="407">
        <f t="shared" si="42"/>
        <v>0.100338</v>
      </c>
      <c r="AO68" s="407">
        <f t="shared" si="53"/>
        <v>1.2879912454934221</v>
      </c>
      <c r="AP68">
        <f t="shared" si="27"/>
        <v>37.169999999999995</v>
      </c>
      <c r="AQ68" s="10">
        <f t="shared" si="43"/>
        <v>0.96650913883484868</v>
      </c>
      <c r="AR68" s="63">
        <f t="shared" si="54"/>
        <v>21.473007003315807</v>
      </c>
      <c r="AS68" s="63">
        <f t="shared" si="44"/>
        <v>3.6203395279855988</v>
      </c>
      <c r="AT68" s="10"/>
      <c r="AU68">
        <f t="shared" si="45"/>
        <v>96.650913883484861</v>
      </c>
      <c r="BE68" s="28"/>
      <c r="BF68" s="29"/>
    </row>
    <row r="69" spans="1:58" x14ac:dyDescent="0.2">
      <c r="A69" s="33" t="s">
        <v>151</v>
      </c>
      <c r="B69" s="409">
        <f>1-B68</f>
        <v>0.52873234712019057</v>
      </c>
      <c r="C69" s="31" t="s">
        <v>23</v>
      </c>
      <c r="G69">
        <v>60</v>
      </c>
      <c r="H69">
        <f t="shared" si="0"/>
        <v>2.6999999999999997</v>
      </c>
      <c r="I69" s="406">
        <f t="shared" si="1"/>
        <v>0.46942027530732833</v>
      </c>
      <c r="J69" s="407">
        <f t="shared" si="2"/>
        <v>3.3268623338577483</v>
      </c>
      <c r="K69" s="407">
        <f t="shared" si="31"/>
        <v>4.3634311669288737</v>
      </c>
      <c r="L69" s="407">
        <f t="shared" si="32"/>
        <v>1.0365688330711256</v>
      </c>
      <c r="M69" s="63">
        <f t="shared" si="3"/>
        <v>0</v>
      </c>
      <c r="N69" s="406">
        <f t="shared" si="46"/>
        <v>2.8657170857751209</v>
      </c>
      <c r="O69" s="406">
        <f t="shared" si="5"/>
        <v>7.2310348966617439E-3</v>
      </c>
      <c r="P69">
        <f t="shared" si="6"/>
        <v>0.2</v>
      </c>
      <c r="Q69" s="406">
        <f t="shared" si="34"/>
        <v>0.20723103489666175</v>
      </c>
      <c r="R69" s="9">
        <f t="shared" si="39"/>
        <v>0.96038243200479889</v>
      </c>
      <c r="S69" s="9">
        <f t="shared" si="7"/>
        <v>2.5825363639696665E-4</v>
      </c>
      <c r="T69" s="9">
        <f t="shared" si="40"/>
        <v>2.5825363639696665E-4</v>
      </c>
      <c r="U69" s="406">
        <f t="shared" si="47"/>
        <v>1.9634246311828119</v>
      </c>
      <c r="V69" s="408">
        <f t="shared" si="9"/>
        <v>3.8550362823353604E-3</v>
      </c>
      <c r="W69" s="406">
        <f t="shared" si="41"/>
        <v>3.8550362823353604E-3</v>
      </c>
      <c r="X69" s="406">
        <f t="shared" si="48"/>
        <v>1.9634246311828119</v>
      </c>
      <c r="Y69" s="406">
        <f t="shared" si="11"/>
        <v>0.20046188668143874</v>
      </c>
      <c r="Z69" s="406">
        <f t="shared" si="12"/>
        <v>5.7552063102126266E-2</v>
      </c>
      <c r="AA69" s="406">
        <f t="shared" si="13"/>
        <v>0.1228566</v>
      </c>
      <c r="AB69" s="406">
        <f t="shared" si="14"/>
        <v>0</v>
      </c>
      <c r="AC69" s="406">
        <f t="shared" si="49"/>
        <v>0.39844250789420754</v>
      </c>
      <c r="AD69" s="406">
        <f t="shared" si="50"/>
        <v>2.0874142217988481</v>
      </c>
      <c r="AE69" s="406">
        <f t="shared" si="17"/>
        <v>4.3572981333680899E-2</v>
      </c>
      <c r="AF69" s="406">
        <f t="shared" si="18"/>
        <v>4.8405599999999986E-2</v>
      </c>
      <c r="AG69" s="406">
        <f t="shared" si="51"/>
        <v>9.2624328233708433E-2</v>
      </c>
      <c r="AH69" s="406">
        <f t="shared" si="52"/>
        <v>0</v>
      </c>
      <c r="AI69">
        <f t="shared" si="21"/>
        <v>0</v>
      </c>
      <c r="AJ69" s="407">
        <f t="shared" si="22"/>
        <v>0.49566936</v>
      </c>
      <c r="AK69">
        <f t="shared" si="23"/>
        <v>0.06</v>
      </c>
      <c r="AL69" s="407">
        <f t="shared" si="24"/>
        <v>4.0337999999999999E-2</v>
      </c>
      <c r="AM69" s="407">
        <f t="shared" si="25"/>
        <v>0.13814789189189189</v>
      </c>
      <c r="AN69" s="407">
        <f t="shared" si="42"/>
        <v>0.100338</v>
      </c>
      <c r="AO69" s="407">
        <f t="shared" si="53"/>
        <v>1.2984185209433101</v>
      </c>
      <c r="AP69">
        <f t="shared" si="27"/>
        <v>37.799999999999997</v>
      </c>
      <c r="AQ69" s="10">
        <f t="shared" si="43"/>
        <v>0.96679102198857991</v>
      </c>
      <c r="AR69" s="63">
        <f t="shared" si="54"/>
        <v>21.914337934181415</v>
      </c>
      <c r="AS69" s="63">
        <f t="shared" si="44"/>
        <v>3.7049731293483372</v>
      </c>
      <c r="AT69" s="10"/>
      <c r="AU69">
        <f t="shared" si="45"/>
        <v>96.67910219885799</v>
      </c>
      <c r="BE69" s="28"/>
      <c r="BF69" s="29"/>
    </row>
    <row r="70" spans="1:58" x14ac:dyDescent="0.2">
      <c r="A70" s="43" t="s">
        <v>386</v>
      </c>
      <c r="B70" s="409">
        <f>Ipp</f>
        <v>0.52873234712019057</v>
      </c>
      <c r="C70" s="31" t="s">
        <v>2</v>
      </c>
      <c r="G70">
        <v>61</v>
      </c>
      <c r="H70">
        <f t="shared" si="0"/>
        <v>2.7450000000000001</v>
      </c>
      <c r="I70" s="406">
        <f t="shared" si="1"/>
        <v>0.46946634583370561</v>
      </c>
      <c r="J70" s="407">
        <f t="shared" si="2"/>
        <v>3.3271888436123715</v>
      </c>
      <c r="K70" s="407">
        <f t="shared" si="31"/>
        <v>4.4085944218061854</v>
      </c>
      <c r="L70" s="407">
        <f t="shared" si="32"/>
        <v>1.0814055781938143</v>
      </c>
      <c r="M70" s="63">
        <f t="shared" si="3"/>
        <v>0</v>
      </c>
      <c r="N70" s="406">
        <f t="shared" si="46"/>
        <v>2.9081850812413723</v>
      </c>
      <c r="O70" s="406">
        <f t="shared" si="5"/>
        <v>7.4470696768220938E-3</v>
      </c>
      <c r="P70">
        <f t="shared" si="6"/>
        <v>0.2</v>
      </c>
      <c r="Q70" s="406">
        <f t="shared" si="34"/>
        <v>0.20744706967682211</v>
      </c>
      <c r="R70" s="9">
        <f t="shared" si="39"/>
        <v>0.96047668725216129</v>
      </c>
      <c r="S70" s="9">
        <f t="shared" si="7"/>
        <v>2.5830433069136811E-4</v>
      </c>
      <c r="T70" s="9">
        <f t="shared" si="40"/>
        <v>2.5830433069136811E-4</v>
      </c>
      <c r="U70" s="406">
        <f t="shared" si="47"/>
        <v>1.9926190347550405</v>
      </c>
      <c r="V70" s="408">
        <f t="shared" si="9"/>
        <v>3.9705306176681101E-3</v>
      </c>
      <c r="W70" s="406">
        <f t="shared" si="41"/>
        <v>3.9705306176681101E-3</v>
      </c>
      <c r="X70" s="406">
        <f t="shared" si="48"/>
        <v>1.9926190347550405</v>
      </c>
      <c r="Y70" s="406">
        <f t="shared" si="11"/>
        <v>0.20646759211874169</v>
      </c>
      <c r="Z70" s="406">
        <f t="shared" si="12"/>
        <v>5.8809453968901727E-2</v>
      </c>
      <c r="AA70" s="406">
        <f t="shared" si="13"/>
        <v>0.1228566</v>
      </c>
      <c r="AB70" s="406">
        <f t="shared" si="14"/>
        <v>0</v>
      </c>
      <c r="AC70" s="406">
        <f t="shared" si="49"/>
        <v>0.4066027081497855</v>
      </c>
      <c r="AD70" s="406">
        <f t="shared" si="50"/>
        <v>2.1182563228010856</v>
      </c>
      <c r="AE70" s="406">
        <f t="shared" si="17"/>
        <v>4.4870098490867767E-2</v>
      </c>
      <c r="AF70" s="406">
        <f t="shared" si="18"/>
        <v>4.921235999999999E-2</v>
      </c>
      <c r="AG70" s="406">
        <f t="shared" si="51"/>
        <v>9.476278094112324E-2</v>
      </c>
      <c r="AH70" s="406">
        <f t="shared" si="52"/>
        <v>0</v>
      </c>
      <c r="AI70">
        <f t="shared" si="21"/>
        <v>0</v>
      </c>
      <c r="AJ70" s="407">
        <f t="shared" si="22"/>
        <v>0.49563051600000002</v>
      </c>
      <c r="AK70">
        <f t="shared" si="23"/>
        <v>0.06</v>
      </c>
      <c r="AL70" s="407">
        <f t="shared" si="24"/>
        <v>4.0337999999999999E-2</v>
      </c>
      <c r="AM70" s="407">
        <f t="shared" si="25"/>
        <v>0.13814789189189189</v>
      </c>
      <c r="AN70" s="407">
        <f t="shared" si="42"/>
        <v>0.100338</v>
      </c>
      <c r="AO70" s="407">
        <f t="shared" si="53"/>
        <v>1.3090099097160905</v>
      </c>
      <c r="AP70">
        <f t="shared" si="27"/>
        <v>38.43</v>
      </c>
      <c r="AQ70" s="10">
        <f t="shared" si="43"/>
        <v>0.96705982578101324</v>
      </c>
      <c r="AR70" s="63">
        <f t="shared" si="54"/>
        <v>22.363148948238202</v>
      </c>
      <c r="AS70" s="63">
        <f t="shared" si="44"/>
        <v>3.7905112376449295</v>
      </c>
      <c r="AT70" s="10"/>
      <c r="AU70">
        <f t="shared" si="45"/>
        <v>96.705982578101327</v>
      </c>
      <c r="BE70" s="28"/>
      <c r="BF70" s="29"/>
    </row>
    <row r="71" spans="1:58" x14ac:dyDescent="0.2">
      <c r="A71" s="24" t="s">
        <v>129</v>
      </c>
      <c r="B71" s="25" t="s">
        <v>8</v>
      </c>
      <c r="C71" s="27" t="s">
        <v>148</v>
      </c>
      <c r="G71">
        <v>62</v>
      </c>
      <c r="H71">
        <f t="shared" si="0"/>
        <v>2.79</v>
      </c>
      <c r="I71" s="406">
        <f t="shared" si="1"/>
        <v>0.46951242218773198</v>
      </c>
      <c r="J71" s="407">
        <f t="shared" si="2"/>
        <v>3.3275153946685467</v>
      </c>
      <c r="K71" s="407">
        <f t="shared" si="31"/>
        <v>4.4537576973342734</v>
      </c>
      <c r="L71" s="407">
        <f t="shared" si="32"/>
        <v>1.1262423026657267</v>
      </c>
      <c r="M71" s="63">
        <f t="shared" si="3"/>
        <v>0</v>
      </c>
      <c r="N71" s="406">
        <f t="shared" si="46"/>
        <v>2.9507281403883483</v>
      </c>
      <c r="O71" s="406">
        <f t="shared" si="5"/>
        <v>7.6666803281652141E-3</v>
      </c>
      <c r="P71">
        <f t="shared" si="6"/>
        <v>0.2</v>
      </c>
      <c r="Q71" s="406">
        <f t="shared" si="34"/>
        <v>0.20766668032816524</v>
      </c>
      <c r="R71" s="9">
        <f t="shared" si="39"/>
        <v>0.96057095442225471</v>
      </c>
      <c r="S71" s="9">
        <f t="shared" si="7"/>
        <v>2.5835503637431078E-4</v>
      </c>
      <c r="T71" s="9">
        <f t="shared" si="40"/>
        <v>2.5835503637431078E-4</v>
      </c>
      <c r="U71" s="406">
        <f t="shared" si="47"/>
        <v>2.0218677359480277</v>
      </c>
      <c r="V71" s="408">
        <f t="shared" si="9"/>
        <v>4.0879491416676043E-3</v>
      </c>
      <c r="W71" s="406">
        <f t="shared" si="41"/>
        <v>4.0879491416676043E-3</v>
      </c>
      <c r="X71" s="406">
        <f t="shared" si="48"/>
        <v>2.0218677359480277</v>
      </c>
      <c r="Y71" s="406">
        <f t="shared" si="11"/>
        <v>0.2125733553667154</v>
      </c>
      <c r="Z71" s="406">
        <f t="shared" si="12"/>
        <v>6.0066844612247657E-2</v>
      </c>
      <c r="AA71" s="406">
        <f t="shared" si="13"/>
        <v>0.1228566</v>
      </c>
      <c r="AB71" s="406">
        <f t="shared" si="14"/>
        <v>0</v>
      </c>
      <c r="AC71" s="406">
        <f t="shared" si="49"/>
        <v>0.41490007417920083</v>
      </c>
      <c r="AD71" s="406">
        <f t="shared" si="50"/>
        <v>2.1491503941818673</v>
      </c>
      <c r="AE71" s="406">
        <f t="shared" si="17"/>
        <v>4.6188474168120754E-2</v>
      </c>
      <c r="AF71" s="406">
        <f t="shared" si="18"/>
        <v>5.0019119999999986E-2</v>
      </c>
      <c r="AG71" s="406">
        <f t="shared" si="51"/>
        <v>9.6923876724337735E-2</v>
      </c>
      <c r="AH71" s="406">
        <f t="shared" si="52"/>
        <v>0</v>
      </c>
      <c r="AI71">
        <f t="shared" si="21"/>
        <v>0</v>
      </c>
      <c r="AJ71" s="407">
        <f t="shared" si="22"/>
        <v>0.49559167199999998</v>
      </c>
      <c r="AK71">
        <f t="shared" si="23"/>
        <v>0.06</v>
      </c>
      <c r="AL71" s="407">
        <f t="shared" si="24"/>
        <v>4.0337999999999999E-2</v>
      </c>
      <c r="AM71" s="407">
        <f t="shared" si="25"/>
        <v>0.13814789189189189</v>
      </c>
      <c r="AN71" s="407">
        <f t="shared" si="42"/>
        <v>0.100338</v>
      </c>
      <c r="AO71" s="407">
        <f t="shared" si="53"/>
        <v>1.3197666074097456</v>
      </c>
      <c r="AP71">
        <f t="shared" si="27"/>
        <v>39.06</v>
      </c>
      <c r="AQ71" s="10">
        <f t="shared" si="43"/>
        <v>0.96731614077314731</v>
      </c>
      <c r="AR71" s="63">
        <f t="shared" si="54"/>
        <v>22.819504079856046</v>
      </c>
      <c r="AS71" s="63">
        <f t="shared" si="44"/>
        <v>3.8769550689735093</v>
      </c>
      <c r="AT71" s="10"/>
      <c r="AU71">
        <f t="shared" si="45"/>
        <v>96.731614077314731</v>
      </c>
      <c r="BE71" s="28"/>
      <c r="BF71" s="29"/>
    </row>
    <row r="72" spans="1:58" x14ac:dyDescent="0.2">
      <c r="A72" s="42" t="s">
        <v>166</v>
      </c>
      <c r="B72" s="409">
        <f>(QgdTop+QgsTop/2)*(RdsonDRT+RGateTop)/(Vdd-VspTop)*1000000000</f>
        <v>3.8956521739130445</v>
      </c>
      <c r="C72" s="31" t="s">
        <v>147</v>
      </c>
      <c r="G72">
        <v>63</v>
      </c>
      <c r="H72">
        <f t="shared" si="0"/>
        <v>2.835</v>
      </c>
      <c r="I72" s="406">
        <f t="shared" si="1"/>
        <v>0.46955850437051322</v>
      </c>
      <c r="J72" s="407">
        <f t="shared" si="2"/>
        <v>3.327841987034112</v>
      </c>
      <c r="K72" s="407">
        <f t="shared" si="31"/>
        <v>4.4989209935170562</v>
      </c>
      <c r="L72" s="407">
        <f t="shared" si="32"/>
        <v>1.1710790064829439</v>
      </c>
      <c r="M72" s="63">
        <f t="shared" si="3"/>
        <v>0</v>
      </c>
      <c r="N72" s="406">
        <f t="shared" si="46"/>
        <v>2.993343062679072</v>
      </c>
      <c r="O72" s="406">
        <f t="shared" si="5"/>
        <v>7.8898672270305021E-3</v>
      </c>
      <c r="P72">
        <f t="shared" si="6"/>
        <v>0.2</v>
      </c>
      <c r="Q72" s="406">
        <f t="shared" si="34"/>
        <v>0.20788986722703051</v>
      </c>
      <c r="R72" s="9">
        <f t="shared" si="39"/>
        <v>0.9606652335173419</v>
      </c>
      <c r="S72" s="9">
        <f t="shared" si="7"/>
        <v>2.5840575344890013E-4</v>
      </c>
      <c r="T72" s="9">
        <f t="shared" si="40"/>
        <v>2.5840575344890013E-4</v>
      </c>
      <c r="U72" s="406">
        <f t="shared" si="47"/>
        <v>2.0511685495200087</v>
      </c>
      <c r="V72" s="408">
        <f t="shared" si="9"/>
        <v>4.2072924185400165E-3</v>
      </c>
      <c r="W72" s="406">
        <f t="shared" si="41"/>
        <v>4.2072924185400165E-3</v>
      </c>
      <c r="X72" s="406">
        <f t="shared" si="48"/>
        <v>2.0511685495200087</v>
      </c>
      <c r="Y72" s="406">
        <f t="shared" si="11"/>
        <v>0.21877920576408086</v>
      </c>
      <c r="Z72" s="406">
        <f t="shared" si="12"/>
        <v>6.132423503212165E-2</v>
      </c>
      <c r="AA72" s="406">
        <f t="shared" si="13"/>
        <v>0.1228566</v>
      </c>
      <c r="AB72" s="406">
        <f t="shared" si="14"/>
        <v>0</v>
      </c>
      <c r="AC72" s="406">
        <f t="shared" si="49"/>
        <v>0.42333579602593552</v>
      </c>
      <c r="AD72" s="406">
        <f t="shared" si="50"/>
        <v>2.1800940971317981</v>
      </c>
      <c r="AE72" s="406">
        <f t="shared" si="17"/>
        <v>4.7528102723489098E-2</v>
      </c>
      <c r="AF72" s="406">
        <f t="shared" si="18"/>
        <v>5.082587999999999E-2</v>
      </c>
      <c r="AG72" s="406">
        <f t="shared" si="51"/>
        <v>9.9107646467809923E-2</v>
      </c>
      <c r="AH72" s="406">
        <f t="shared" si="52"/>
        <v>0</v>
      </c>
      <c r="AI72">
        <f t="shared" si="21"/>
        <v>0</v>
      </c>
      <c r="AJ72" s="407">
        <f t="shared" si="22"/>
        <v>0.495552828</v>
      </c>
      <c r="AK72">
        <f t="shared" si="23"/>
        <v>0.06</v>
      </c>
      <c r="AL72" s="407">
        <f t="shared" si="24"/>
        <v>4.0337999999999999E-2</v>
      </c>
      <c r="AM72" s="407">
        <f t="shared" si="25"/>
        <v>0.13814789189189189</v>
      </c>
      <c r="AN72" s="407">
        <f t="shared" si="42"/>
        <v>0.100338</v>
      </c>
      <c r="AO72" s="407">
        <f t="shared" si="53"/>
        <v>1.330689835892765</v>
      </c>
      <c r="AP72">
        <f t="shared" si="27"/>
        <v>39.69</v>
      </c>
      <c r="AQ72" s="10">
        <f t="shared" si="43"/>
        <v>0.96756052028339079</v>
      </c>
      <c r="AR72" s="63">
        <f t="shared" si="54"/>
        <v>23.283468781426453</v>
      </c>
      <c r="AS72" s="63">
        <f t="shared" si="44"/>
        <v>3.9643058587123967</v>
      </c>
      <c r="AT72" s="10"/>
      <c r="AU72">
        <f t="shared" si="45"/>
        <v>96.756052028339084</v>
      </c>
      <c r="BE72" s="28"/>
      <c r="BF72" s="29"/>
    </row>
    <row r="73" spans="1:58" x14ac:dyDescent="0.2">
      <c r="A73" s="43" t="s">
        <v>167</v>
      </c>
      <c r="B73" s="409">
        <f>(QgdTop+QgsTop/2)*(RdsonDRT+RGateTop)/(VspTop)*1000000000</f>
        <v>1.723076923076923</v>
      </c>
      <c r="C73" s="31" t="s">
        <v>147</v>
      </c>
      <c r="G73">
        <v>64</v>
      </c>
      <c r="H73">
        <f t="shared" ref="H73:H136" si="55">Iout*(G73/200)</f>
        <v>2.88</v>
      </c>
      <c r="I73" s="406">
        <f t="shared" si="1"/>
        <v>0.46960459238315555</v>
      </c>
      <c r="J73" s="407">
        <f t="shared" ref="J73:J136" si="56">(Vin-Vout)*I73/(Fsw*Lout2)</f>
        <v>3.3281686207169066</v>
      </c>
      <c r="K73" s="407">
        <f t="shared" si="31"/>
        <v>4.5440843103584534</v>
      </c>
      <c r="L73" s="407">
        <f t="shared" si="32"/>
        <v>1.2159156896415466</v>
      </c>
      <c r="M73" s="63">
        <f t="shared" ref="M73:M136" si="57">IF(MIN(Vin, -L73/(CossTop+CossBot)*0.00000002)&lt;0, 0, MIN(Vin, -L73/(CossTop+CossBot)*0.00000002))</f>
        <v>0</v>
      </c>
      <c r="N73" s="406">
        <f t="shared" ref="N73:N109" si="58">SQRT(H73^2+(J73^2)/12)</f>
        <v>3.0360268220148718</v>
      </c>
      <c r="O73" s="406">
        <f t="shared" si="5"/>
        <v>8.1166307559059937E-3</v>
      </c>
      <c r="P73">
        <f t="shared" ref="P73:P136" si="59">Core_Loss</f>
        <v>0.2</v>
      </c>
      <c r="Q73" s="406">
        <f t="shared" si="34"/>
        <v>0.208116630755906</v>
      </c>
      <c r="R73" s="9">
        <f t="shared" si="39"/>
        <v>0.96075952453968583</v>
      </c>
      <c r="S73" s="9">
        <f t="shared" si="7"/>
        <v>2.5845648191824252E-4</v>
      </c>
      <c r="T73" s="9">
        <f t="shared" si="40"/>
        <v>2.5845648191824252E-4</v>
      </c>
      <c r="U73" s="406">
        <f t="shared" ref="U73:U109" si="60">SQRT(I73)*SQRT(H73^2+(J73^2)/12)</f>
        <v>2.0805194093385135</v>
      </c>
      <c r="V73" s="408">
        <f t="shared" si="9"/>
        <v>4.3285610126342772E-3</v>
      </c>
      <c r="W73" s="406">
        <f t="shared" si="41"/>
        <v>4.3285610126342772E-3</v>
      </c>
      <c r="X73" s="406">
        <f t="shared" ref="X73:X109" si="61">SQRT(I73)*SQRT(H73^2+(J73^2)/12)</f>
        <v>2.0805194093385135</v>
      </c>
      <c r="Y73" s="406">
        <f t="shared" si="11"/>
        <v>0.22508517265698241</v>
      </c>
      <c r="Z73" s="406">
        <f t="shared" ref="Z73:Z136" si="62">IF(L73&lt;0, (Vin*K73*Tf/2)*Fsw, (Vin*L73*Tr/2+Vin*K73*Tf/2)*Fsw)</f>
        <v>6.2581625228481333E-2</v>
      </c>
      <c r="AA73" s="406">
        <f t="shared" ref="AA73:AA136" si="63">(0.5*CossTop*(Vin-M73)^2-0.5*CossBot*(Vin-M73)^2+(QossBot*(Vin-M73)/Vin)*Vin)*Fsw</f>
        <v>0.1228566</v>
      </c>
      <c r="AB73" s="406">
        <f t="shared" ref="AB73:AB136" si="64">IF(L73&gt;0,0,-L73*VsdTop*Deadtime*Fsw)</f>
        <v>0</v>
      </c>
      <c r="AC73" s="406">
        <f t="shared" ref="AC73:AC104" si="65">(AB73+AA73+Z73+Y73*(1+RdsonTopTc*Ta-RdsonTopTc*25))/(1-Y73*RdsonTopTc*ThetaJaTop)</f>
        <v>0.43191108998294458</v>
      </c>
      <c r="AD73" s="406">
        <f t="shared" ref="AD73:AD109" si="66">SQRT(1-I73)*SQRT(H73^2+(J73^2)/12)</f>
        <v>2.2110852202842493</v>
      </c>
      <c r="AE73" s="406">
        <f t="shared" si="17"/>
        <v>4.8888978513594472E-2</v>
      </c>
      <c r="AF73" s="406">
        <f t="shared" ref="AF73:AF136" si="67">IF(L73&lt;0, Deadtime*Fsw*IF(VfdSky&gt;0,0,VsdBot)*K73, Deadtime*Fsw*IF(VfdSky&gt;0,0,VsdBot)*(K73+L73))</f>
        <v>5.1632639999999987E-2</v>
      </c>
      <c r="AG73" s="406">
        <f t="shared" ref="AG73:AG104" si="68">(AF73+AE73*(1+RdsonBotTc*Ta-RdsonBotTc*25))/(1-AE73*RdsonBotTc*ThetaJaBot)</f>
        <v>0.10131412153936431</v>
      </c>
      <c r="AH73" s="406">
        <f t="shared" ref="AH73:AH109" si="69">IF(RDSON_sense=1, 0, AD73^2*Rshunt)</f>
        <v>0</v>
      </c>
      <c r="AI73">
        <f t="shared" ref="AI73:AI136" si="70">2*Deadtime*Fsw*IF(VfdSky&gt;0,VfdSky,0)*H73</f>
        <v>0</v>
      </c>
      <c r="AJ73" s="407">
        <f t="shared" ref="AJ73:AJ136" si="71">IF(QrrSky&gt;0,QrrSky,QrrBot)*Fsw*(Vin-H73*RdsonTop)</f>
        <v>0.49551398400000002</v>
      </c>
      <c r="AK73">
        <f t="shared" si="23"/>
        <v>0.06</v>
      </c>
      <c r="AL73" s="407">
        <f t="shared" ref="AL73:AL136" si="72">IF(Ext_VCC=1, Vdd*(QgTop+QgBot)*Fsw, Vin*(QgTop+QgBot)*Fsw)</f>
        <v>4.0337999999999999E-2</v>
      </c>
      <c r="AM73" s="407">
        <f t="shared" si="25"/>
        <v>0.13814789189189189</v>
      </c>
      <c r="AN73" s="407">
        <f t="shared" si="42"/>
        <v>0.100338</v>
      </c>
      <c r="AO73" s="407">
        <f t="shared" ref="AO73:AO104" si="73">SUM(Q73,T73,W73,AC73,AJ73,AI73,AG73,AN73, AH73)</f>
        <v>1.3417808437727674</v>
      </c>
      <c r="AP73">
        <f t="shared" ref="AP73:AP136" si="74">Vout*H73</f>
        <v>40.32</v>
      </c>
      <c r="AQ73" s="10">
        <f t="shared" si="43"/>
        <v>0.96779348322136538</v>
      </c>
      <c r="AR73" s="63">
        <f t="shared" ref="AR73:AR109" si="75">ThetaJaTop*AC73</f>
        <v>23.755109949061954</v>
      </c>
      <c r="AS73" s="63">
        <f t="shared" si="44"/>
        <v>4.052564861574572</v>
      </c>
      <c r="AT73" s="10"/>
      <c r="AU73">
        <f t="shared" si="45"/>
        <v>96.779348322136542</v>
      </c>
      <c r="BE73" s="28"/>
      <c r="BF73" s="29"/>
    </row>
    <row r="74" spans="1:58" x14ac:dyDescent="0.2">
      <c r="A74" s="24" t="s">
        <v>206</v>
      </c>
      <c r="B74" s="25" t="s">
        <v>8</v>
      </c>
      <c r="C74" s="27" t="s">
        <v>148</v>
      </c>
      <c r="G74">
        <v>65</v>
      </c>
      <c r="H74">
        <f t="shared" si="55"/>
        <v>2.9250000000000003</v>
      </c>
      <c r="I74" s="406">
        <f t="shared" ref="I74:I109" si="76">(Vout+Rdcr*H74+RdsonBot*H74)/(Vin-RdsonTop*H74+RdsonBot*H74)</f>
        <v>0.4696506862267652</v>
      </c>
      <c r="J74" s="407">
        <f t="shared" si="56"/>
        <v>3.3284952957247711</v>
      </c>
      <c r="K74" s="407">
        <f t="shared" ref="K74:K137" si="77">H74+J74/2</f>
        <v>4.5892476478623863</v>
      </c>
      <c r="L74" s="407">
        <f t="shared" ref="L74:L109" si="78">H74-J74/2</f>
        <v>1.2607523521376147</v>
      </c>
      <c r="M74" s="63">
        <f t="shared" si="57"/>
        <v>0</v>
      </c>
      <c r="N74" s="406">
        <f t="shared" si="58"/>
        <v>3.0787765553552537</v>
      </c>
      <c r="O74" s="406">
        <f t="shared" ref="O74:O109" si="79">(N74^2*Rdcr*(1+Ltc*Ta-Ltc*25))/(1-N74^2*Rdcr*Ltc*ThetaCa)</f>
        <v>8.3469713034300067E-3</v>
      </c>
      <c r="P74">
        <f t="shared" si="59"/>
        <v>0.2</v>
      </c>
      <c r="Q74" s="406">
        <f t="shared" ref="Q74:Q137" si="80">O74+P74</f>
        <v>0.20834697130343002</v>
      </c>
      <c r="R74" s="9">
        <f t="shared" si="39"/>
        <v>0.96085382749154991</v>
      </c>
      <c r="S74" s="9">
        <f t="shared" ref="S74:S109" si="81">RCoutEsr*R74^2</f>
        <v>2.5850722178544515E-4</v>
      </c>
      <c r="T74" s="9">
        <f t="shared" si="40"/>
        <v>2.5850722178544515E-4</v>
      </c>
      <c r="U74" s="406">
        <f t="shared" si="60"/>
        <v>2.1099183606106928</v>
      </c>
      <c r="V74" s="408">
        <f t="shared" ref="V74:V109" si="82">RCinEsr*U74^2</f>
        <v>4.451755488442114E-3</v>
      </c>
      <c r="W74" s="406">
        <f t="shared" si="41"/>
        <v>4.451755488442114E-3</v>
      </c>
      <c r="X74" s="406">
        <f t="shared" si="61"/>
        <v>2.1099183606106928</v>
      </c>
      <c r="Y74" s="406">
        <f t="shared" ref="Y74:Y109" si="83">RdsonTop*X74^2</f>
        <v>0.23149128539898992</v>
      </c>
      <c r="Z74" s="406">
        <f t="shared" si="62"/>
        <v>6.3839015201284308E-2</v>
      </c>
      <c r="AA74" s="406">
        <f t="shared" si="63"/>
        <v>0.1228566</v>
      </c>
      <c r="AB74" s="406">
        <f t="shared" si="64"/>
        <v>0</v>
      </c>
      <c r="AC74" s="406">
        <f t="shared" si="65"/>
        <v>0.4406271990732219</v>
      </c>
      <c r="AD74" s="406">
        <f t="shared" si="66"/>
        <v>2.2421216714003385</v>
      </c>
      <c r="AE74" s="406">
        <f t="shared" ref="AE74:AE109" si="84">RdsonBot*AD74^2</f>
        <v>5.0271095893630477E-2</v>
      </c>
      <c r="AF74" s="406">
        <f t="shared" si="67"/>
        <v>5.2439400000000004E-2</v>
      </c>
      <c r="AG74" s="406">
        <f t="shared" si="68"/>
        <v>0.10354333379157972</v>
      </c>
      <c r="AH74" s="406">
        <f t="shared" si="69"/>
        <v>0</v>
      </c>
      <c r="AI74">
        <f t="shared" si="70"/>
        <v>0</v>
      </c>
      <c r="AJ74" s="407">
        <f t="shared" si="71"/>
        <v>0.49547513999999998</v>
      </c>
      <c r="AK74">
        <f t="shared" ref="AK74:AK137" si="85">Iq*Vin</f>
        <v>0.06</v>
      </c>
      <c r="AL74" s="407">
        <f t="shared" si="72"/>
        <v>4.0337999999999999E-2</v>
      </c>
      <c r="AM74" s="407">
        <f t="shared" ref="AM74:AM137" si="86">(Vin-Vdd)*Fsw*(QgTop+QgBot)+(RdsonDRT+RdsonDRT2)*Fsw*QgTop*Vdd/(RdsonDRT+2*RGateTop+RdsonDRT2)+(RdsonDRB+RdsonDRB2)*Fsw*QgBot*Vdd/(RdsonDRB+2*RGateBot+RdsonDRB2)</f>
        <v>0.13814789189189189</v>
      </c>
      <c r="AN74" s="407">
        <f t="shared" si="42"/>
        <v>0.100338</v>
      </c>
      <c r="AO74" s="407">
        <f t="shared" si="73"/>
        <v>1.3530409068784592</v>
      </c>
      <c r="AP74">
        <f t="shared" si="74"/>
        <v>40.950000000000003</v>
      </c>
      <c r="AQ74" s="10">
        <f t="shared" si="43"/>
        <v>0.96801551666564811</v>
      </c>
      <c r="AR74" s="63">
        <f t="shared" si="75"/>
        <v>24.234495949027206</v>
      </c>
      <c r="AS74" s="63">
        <f t="shared" si="44"/>
        <v>4.1417333516631887</v>
      </c>
      <c r="AT74" s="10"/>
      <c r="AU74">
        <f t="shared" si="45"/>
        <v>96.801551666564805</v>
      </c>
      <c r="BE74" s="28"/>
      <c r="BF74" s="29"/>
    </row>
    <row r="75" spans="1:58" x14ac:dyDescent="0.2">
      <c r="A75" s="44" t="s">
        <v>207</v>
      </c>
      <c r="B75" s="121">
        <f>AN9</f>
        <v>0.100338</v>
      </c>
      <c r="C75" s="122" t="s">
        <v>208</v>
      </c>
      <c r="G75">
        <v>66</v>
      </c>
      <c r="H75">
        <f t="shared" si="55"/>
        <v>2.97</v>
      </c>
      <c r="I75" s="406">
        <f t="shared" si="76"/>
        <v>0.46969678590244912</v>
      </c>
      <c r="J75" s="407">
        <f t="shared" si="56"/>
        <v>3.3288220120655501</v>
      </c>
      <c r="K75" s="407">
        <f t="shared" si="77"/>
        <v>4.6344110060327752</v>
      </c>
      <c r="L75" s="407">
        <f t="shared" si="78"/>
        <v>1.3055889939672252</v>
      </c>
      <c r="M75" s="63">
        <f t="shared" si="57"/>
        <v>0</v>
      </c>
      <c r="N75" s="406">
        <f t="shared" si="58"/>
        <v>3.1215895521888117</v>
      </c>
      <c r="O75" s="406">
        <f t="shared" si="79"/>
        <v>8.5808892643928093E-3</v>
      </c>
      <c r="P75">
        <f t="shared" si="59"/>
        <v>0.2</v>
      </c>
      <c r="Q75" s="406">
        <f t="shared" si="80"/>
        <v>0.20858088926439283</v>
      </c>
      <c r="R75" s="9">
        <f t="shared" ref="R75:R109" si="87">J75/(2*SQRT(3))</f>
        <v>0.96094814237519854</v>
      </c>
      <c r="S75" s="9">
        <f t="shared" si="81"/>
        <v>2.585579730536166E-4</v>
      </c>
      <c r="T75" s="9">
        <f t="shared" ref="T75:T109" si="88">S75</f>
        <v>2.585579730536166E-4</v>
      </c>
      <c r="U75" s="406">
        <f t="shared" si="60"/>
        <v>2.1393635526946126</v>
      </c>
      <c r="V75" s="408">
        <f t="shared" si="82"/>
        <v>4.5768764105981151E-3</v>
      </c>
      <c r="W75" s="406">
        <f t="shared" ref="W75:W109" si="89">V75</f>
        <v>4.5768764105981151E-3</v>
      </c>
      <c r="X75" s="406">
        <f t="shared" si="61"/>
        <v>2.1393635526946126</v>
      </c>
      <c r="Y75" s="406">
        <f t="shared" si="83"/>
        <v>0.23799757335110197</v>
      </c>
      <c r="Z75" s="406">
        <f t="shared" si="62"/>
        <v>6.5096404950488032E-2</v>
      </c>
      <c r="AA75" s="406">
        <f t="shared" si="63"/>
        <v>0.1228566</v>
      </c>
      <c r="AB75" s="406">
        <f t="shared" si="64"/>
        <v>0</v>
      </c>
      <c r="AC75" s="406">
        <f t="shared" si="65"/>
        <v>0.44948539354404449</v>
      </c>
      <c r="AD75" s="406">
        <f t="shared" si="66"/>
        <v>2.2732014696758038</v>
      </c>
      <c r="AE75" s="406">
        <f t="shared" si="84"/>
        <v>5.1674449217362348E-2</v>
      </c>
      <c r="AF75" s="406">
        <f t="shared" si="67"/>
        <v>5.3246159999999994E-2</v>
      </c>
      <c r="AG75" s="406">
        <f t="shared" si="68"/>
        <v>0.10579531556320323</v>
      </c>
      <c r="AH75" s="406">
        <f t="shared" si="69"/>
        <v>0</v>
      </c>
      <c r="AI75">
        <f t="shared" si="70"/>
        <v>0</v>
      </c>
      <c r="AJ75" s="407">
        <f t="shared" si="71"/>
        <v>0.495436296</v>
      </c>
      <c r="AK75">
        <f t="shared" si="85"/>
        <v>0.06</v>
      </c>
      <c r="AL75" s="407">
        <f t="shared" si="72"/>
        <v>4.0337999999999999E-2</v>
      </c>
      <c r="AM75" s="407">
        <f t="shared" si="86"/>
        <v>0.13814789189189189</v>
      </c>
      <c r="AN75" s="407">
        <f t="shared" ref="AN75:AN109" si="90">SUM(AK75:AL75)</f>
        <v>0.100338</v>
      </c>
      <c r="AO75" s="407">
        <f t="shared" si="73"/>
        <v>1.3644713287552923</v>
      </c>
      <c r="AP75">
        <f t="shared" si="74"/>
        <v>41.580000000000005</v>
      </c>
      <c r="AQ75" s="10">
        <f t="shared" ref="AQ75:AQ109" si="91">AP75/(AP75+AO75)</f>
        <v>0.96822707821200604</v>
      </c>
      <c r="AR75" s="63">
        <f t="shared" si="75"/>
        <v>24.721696644922446</v>
      </c>
      <c r="AS75" s="63">
        <f t="shared" ref="AS75:AS109" si="92">AG75*ThetaJaBot</f>
        <v>4.2318126225281292</v>
      </c>
      <c r="AT75" s="10"/>
      <c r="AU75">
        <f t="shared" ref="AU75:AU109" si="93">AQ75*100</f>
        <v>96.822707821200609</v>
      </c>
      <c r="BE75" s="28"/>
      <c r="BF75" s="29"/>
    </row>
    <row r="76" spans="1:58" x14ac:dyDescent="0.2">
      <c r="A76" s="44" t="s">
        <v>211</v>
      </c>
      <c r="B76" s="120">
        <f>B75*B62</f>
        <v>2.0067599999999999</v>
      </c>
      <c r="C76" s="416" t="s">
        <v>441</v>
      </c>
      <c r="G76">
        <v>67</v>
      </c>
      <c r="H76">
        <f t="shared" si="55"/>
        <v>3.0150000000000001</v>
      </c>
      <c r="I76" s="406">
        <f t="shared" si="76"/>
        <v>0.46974289141131387</v>
      </c>
      <c r="J76" s="407">
        <f t="shared" si="56"/>
        <v>3.3291487697470861</v>
      </c>
      <c r="K76" s="407">
        <f t="shared" si="77"/>
        <v>4.6795743848735434</v>
      </c>
      <c r="L76" s="407">
        <f t="shared" si="78"/>
        <v>1.3504256151264571</v>
      </c>
      <c r="M76" s="63">
        <f t="shared" si="57"/>
        <v>0</v>
      </c>
      <c r="N76" s="406">
        <f t="shared" si="58"/>
        <v>3.1644632447845527</v>
      </c>
      <c r="O76" s="406">
        <f t="shared" si="79"/>
        <v>8.8183850397383079E-3</v>
      </c>
      <c r="P76">
        <f t="shared" si="59"/>
        <v>0.2</v>
      </c>
      <c r="Q76" s="406">
        <f t="shared" si="80"/>
        <v>0.20881838503973832</v>
      </c>
      <c r="R76" s="9">
        <f t="shared" si="87"/>
        <v>0.96104246919289582</v>
      </c>
      <c r="S76" s="9">
        <f t="shared" si="81"/>
        <v>2.5860873572586588E-4</v>
      </c>
      <c r="T76" s="9">
        <f t="shared" si="88"/>
        <v>2.5860873572586588E-4</v>
      </c>
      <c r="U76" s="406">
        <f t="shared" si="60"/>
        <v>2.1688532324432979</v>
      </c>
      <c r="V76" s="408">
        <f t="shared" si="82"/>
        <v>4.7039243438797423E-3</v>
      </c>
      <c r="W76" s="406">
        <f t="shared" si="89"/>
        <v>4.7039243438797423E-3</v>
      </c>
      <c r="X76" s="406">
        <f t="shared" si="61"/>
        <v>2.1688532324432979</v>
      </c>
      <c r="Y76" s="406">
        <f t="shared" si="83"/>
        <v>0.24460406588174657</v>
      </c>
      <c r="Z76" s="406">
        <f t="shared" si="62"/>
        <v>6.6353794476050207E-2</v>
      </c>
      <c r="AA76" s="406">
        <f t="shared" si="63"/>
        <v>0.1228566</v>
      </c>
      <c r="AB76" s="406">
        <f t="shared" si="64"/>
        <v>0</v>
      </c>
      <c r="AC76" s="406">
        <f t="shared" si="65"/>
        <v>0.45848697137528116</v>
      </c>
      <c r="AD76" s="406">
        <f t="shared" si="66"/>
        <v>2.3043227386181475</v>
      </c>
      <c r="AE76" s="406">
        <f t="shared" si="84"/>
        <v>5.3099032837126393E-2</v>
      </c>
      <c r="AF76" s="406">
        <f t="shared" si="67"/>
        <v>5.405291999999999E-2</v>
      </c>
      <c r="AG76" s="406">
        <f t="shared" si="68"/>
        <v>0.10807009968059059</v>
      </c>
      <c r="AH76" s="406">
        <f t="shared" si="69"/>
        <v>0</v>
      </c>
      <c r="AI76">
        <f t="shared" si="70"/>
        <v>0</v>
      </c>
      <c r="AJ76" s="407">
        <f t="shared" si="71"/>
        <v>0.49539745199999996</v>
      </c>
      <c r="AK76">
        <f t="shared" si="85"/>
        <v>0.06</v>
      </c>
      <c r="AL76" s="407">
        <f t="shared" si="72"/>
        <v>4.0337999999999999E-2</v>
      </c>
      <c r="AM76" s="407">
        <f t="shared" si="86"/>
        <v>0.13814789189189189</v>
      </c>
      <c r="AN76" s="407">
        <f t="shared" si="90"/>
        <v>0.100338</v>
      </c>
      <c r="AO76" s="407">
        <f t="shared" si="73"/>
        <v>1.3760734411752156</v>
      </c>
      <c r="AP76">
        <f t="shared" si="74"/>
        <v>42.21</v>
      </c>
      <c r="AQ76" s="10">
        <f t="shared" si="91"/>
        <v>0.96842859811557935</v>
      </c>
      <c r="AR76" s="63">
        <f t="shared" si="75"/>
        <v>25.216783425640465</v>
      </c>
      <c r="AS76" s="63">
        <f t="shared" si="92"/>
        <v>4.3228039872236232</v>
      </c>
      <c r="AT76" s="10"/>
      <c r="AU76">
        <f t="shared" si="93"/>
        <v>96.842859811557929</v>
      </c>
      <c r="BE76" s="28"/>
      <c r="BF76" s="29"/>
    </row>
    <row r="77" spans="1:58" x14ac:dyDescent="0.2">
      <c r="A77" s="44" t="s">
        <v>387</v>
      </c>
      <c r="B77" s="120">
        <f>(QgBot+QgTop)*Fsw+Iq</f>
        <v>7.3784000000000002E-3</v>
      </c>
      <c r="C77" s="31" t="s">
        <v>2</v>
      </c>
      <c r="G77">
        <v>68</v>
      </c>
      <c r="H77">
        <f t="shared" si="55"/>
        <v>3.06</v>
      </c>
      <c r="I77" s="406">
        <f t="shared" si="76"/>
        <v>0.46978900275446683</v>
      </c>
      <c r="J77" s="407">
        <f t="shared" si="56"/>
        <v>3.3294755687772275</v>
      </c>
      <c r="K77" s="407">
        <f t="shared" si="77"/>
        <v>4.7247377843886138</v>
      </c>
      <c r="L77" s="407">
        <f t="shared" si="78"/>
        <v>1.3952622156113863</v>
      </c>
      <c r="M77" s="63">
        <f t="shared" si="57"/>
        <v>0</v>
      </c>
      <c r="N77" s="406">
        <f t="shared" si="58"/>
        <v>3.2073951991593384</v>
      </c>
      <c r="O77" s="406">
        <f t="shared" si="79"/>
        <v>9.0594590365657823E-3</v>
      </c>
      <c r="P77">
        <f t="shared" si="59"/>
        <v>0.2</v>
      </c>
      <c r="Q77" s="406">
        <f t="shared" si="80"/>
        <v>0.20905945903656578</v>
      </c>
      <c r="R77" s="9">
        <f t="shared" si="87"/>
        <v>0.96113680794690737</v>
      </c>
      <c r="S77" s="9">
        <f t="shared" si="81"/>
        <v>2.5865950980530372E-4</v>
      </c>
      <c r="T77" s="9">
        <f t="shared" si="88"/>
        <v>2.5865950980530372E-4</v>
      </c>
      <c r="U77" s="406">
        <f t="shared" si="60"/>
        <v>2.1983857380376661</v>
      </c>
      <c r="V77" s="408">
        <f t="shared" si="82"/>
        <v>4.8328998532074143E-3</v>
      </c>
      <c r="W77" s="406">
        <f t="shared" si="89"/>
        <v>4.8328998532074143E-3</v>
      </c>
      <c r="X77" s="406">
        <f t="shared" si="61"/>
        <v>2.1983857380376661</v>
      </c>
      <c r="Y77" s="406">
        <f t="shared" si="83"/>
        <v>0.25131079236678555</v>
      </c>
      <c r="Z77" s="406">
        <f t="shared" si="62"/>
        <v>6.761118377792831E-2</v>
      </c>
      <c r="AA77" s="406">
        <f t="shared" si="63"/>
        <v>0.1228566</v>
      </c>
      <c r="AB77" s="406">
        <f t="shared" si="64"/>
        <v>0</v>
      </c>
      <c r="AC77" s="406">
        <f t="shared" si="65"/>
        <v>0.46763325880217382</v>
      </c>
      <c r="AD77" s="406">
        <f t="shared" si="66"/>
        <v>2.3354836994470669</v>
      </c>
      <c r="AE77" s="406">
        <f t="shared" si="84"/>
        <v>5.4544841103829581E-2</v>
      </c>
      <c r="AF77" s="406">
        <f t="shared" si="67"/>
        <v>5.4859679999999987E-2</v>
      </c>
      <c r="AG77" s="406">
        <f t="shared" si="68"/>
        <v>0.11036771945917238</v>
      </c>
      <c r="AH77" s="406">
        <f t="shared" si="69"/>
        <v>0</v>
      </c>
      <c r="AI77">
        <f t="shared" si="70"/>
        <v>0</v>
      </c>
      <c r="AJ77" s="407">
        <f t="shared" si="71"/>
        <v>0.49535860799999998</v>
      </c>
      <c r="AK77">
        <f t="shared" si="85"/>
        <v>0.06</v>
      </c>
      <c r="AL77" s="407">
        <f t="shared" si="72"/>
        <v>4.0337999999999999E-2</v>
      </c>
      <c r="AM77" s="407">
        <f t="shared" si="86"/>
        <v>0.13814789189189189</v>
      </c>
      <c r="AN77" s="407">
        <f t="shared" si="90"/>
        <v>0.100338</v>
      </c>
      <c r="AO77" s="407">
        <f t="shared" si="73"/>
        <v>1.3878486046609246</v>
      </c>
      <c r="AP77">
        <f t="shared" si="74"/>
        <v>42.84</v>
      </c>
      <c r="AQ77" s="10">
        <f t="shared" si="91"/>
        <v>0.96862048124776601</v>
      </c>
      <c r="AR77" s="63">
        <f t="shared" si="75"/>
        <v>25.719829234119562</v>
      </c>
      <c r="AS77" s="63">
        <f t="shared" si="92"/>
        <v>4.4147087783668955</v>
      </c>
      <c r="AT77" s="10"/>
      <c r="AU77">
        <f t="shared" si="93"/>
        <v>96.862048124776607</v>
      </c>
      <c r="BE77" s="28"/>
      <c r="BF77" s="29"/>
    </row>
    <row r="78" spans="1:58" x14ac:dyDescent="0.2">
      <c r="A78" s="44" t="s">
        <v>388</v>
      </c>
      <c r="B78" s="119">
        <f>QrrBot*Fsw</f>
        <v>1.66E-2</v>
      </c>
      <c r="C78" s="31" t="s">
        <v>2</v>
      </c>
      <c r="G78">
        <v>69</v>
      </c>
      <c r="H78">
        <f t="shared" si="55"/>
        <v>3.1049999999999995</v>
      </c>
      <c r="I78" s="406">
        <f t="shared" si="76"/>
        <v>0.46983511993301552</v>
      </c>
      <c r="J78" s="407">
        <f t="shared" si="56"/>
        <v>3.3298024091638236</v>
      </c>
      <c r="K78" s="407">
        <f t="shared" si="77"/>
        <v>4.7699012045819114</v>
      </c>
      <c r="L78" s="407">
        <f t="shared" si="78"/>
        <v>1.4400987954180877</v>
      </c>
      <c r="M78" s="63">
        <f t="shared" si="57"/>
        <v>0</v>
      </c>
      <c r="N78" s="406">
        <f t="shared" si="58"/>
        <v>3.2503831067028748</v>
      </c>
      <c r="O78" s="406">
        <f t="shared" si="79"/>
        <v>9.3041116681316077E-3</v>
      </c>
      <c r="P78">
        <f t="shared" si="59"/>
        <v>0.2</v>
      </c>
      <c r="Q78" s="406">
        <f t="shared" si="80"/>
        <v>0.20930411166813162</v>
      </c>
      <c r="R78" s="9">
        <f t="shared" si="87"/>
        <v>0.96123115863949904</v>
      </c>
      <c r="S78" s="9">
        <f t="shared" si="81"/>
        <v>2.5871029529504151E-4</v>
      </c>
      <c r="T78" s="9">
        <f t="shared" si="88"/>
        <v>2.5871029529504151E-4</v>
      </c>
      <c r="U78" s="406">
        <f t="shared" si="60"/>
        <v>2.227959493268342</v>
      </c>
      <c r="V78" s="408">
        <f t="shared" si="82"/>
        <v>4.9638035036445273E-3</v>
      </c>
      <c r="W78" s="406">
        <f t="shared" si="89"/>
        <v>4.9638035036445273E-3</v>
      </c>
      <c r="X78" s="406">
        <f t="shared" si="61"/>
        <v>2.227959493268342</v>
      </c>
      <c r="Y78" s="406">
        <f t="shared" si="83"/>
        <v>0.25811778218951542</v>
      </c>
      <c r="Z78" s="406">
        <f t="shared" si="62"/>
        <v>6.8868572856079863E-2</v>
      </c>
      <c r="AA78" s="406">
        <f t="shared" si="63"/>
        <v>0.1228566</v>
      </c>
      <c r="AB78" s="406">
        <f t="shared" si="64"/>
        <v>0</v>
      </c>
      <c r="AC78" s="406">
        <f t="shared" si="65"/>
        <v>0.47692561085300178</v>
      </c>
      <c r="AD78" s="406">
        <f t="shared" si="66"/>
        <v>2.3666826649753667</v>
      </c>
      <c r="AE78" s="406">
        <f t="shared" si="84"/>
        <v>5.601186836694904E-2</v>
      </c>
      <c r="AF78" s="406">
        <f t="shared" si="67"/>
        <v>5.5666439999999977E-2</v>
      </c>
      <c r="AG78" s="406">
        <f t="shared" si="68"/>
        <v>0.11268820870494722</v>
      </c>
      <c r="AH78" s="406">
        <f t="shared" si="69"/>
        <v>0</v>
      </c>
      <c r="AI78">
        <f t="shared" si="70"/>
        <v>0</v>
      </c>
      <c r="AJ78" s="407">
        <f t="shared" si="71"/>
        <v>0.495319764</v>
      </c>
      <c r="AK78">
        <f t="shared" si="85"/>
        <v>0.06</v>
      </c>
      <c r="AL78" s="407">
        <f t="shared" si="72"/>
        <v>4.0337999999999999E-2</v>
      </c>
      <c r="AM78" s="407">
        <f t="shared" si="86"/>
        <v>0.13814789189189189</v>
      </c>
      <c r="AN78" s="407">
        <f t="shared" si="90"/>
        <v>0.100338</v>
      </c>
      <c r="AO78" s="407">
        <f t="shared" si="73"/>
        <v>1.3997982090250203</v>
      </c>
      <c r="AP78">
        <f t="shared" si="74"/>
        <v>43.469999999999992</v>
      </c>
      <c r="AQ78" s="10">
        <f t="shared" si="91"/>
        <v>0.96880310888620247</v>
      </c>
      <c r="AR78" s="63">
        <f t="shared" si="75"/>
        <v>26.230908596915096</v>
      </c>
      <c r="AS78" s="63">
        <f t="shared" si="92"/>
        <v>4.5075283481978889</v>
      </c>
      <c r="AT78" s="10"/>
      <c r="AU78">
        <f t="shared" si="93"/>
        <v>96.880310888620244</v>
      </c>
      <c r="BE78" s="28"/>
      <c r="BF78" s="29"/>
    </row>
    <row r="79" spans="1:58" x14ac:dyDescent="0.2">
      <c r="A79" s="44" t="s">
        <v>389</v>
      </c>
      <c r="B79" s="475">
        <f>C79/Vin</f>
        <v>1.4920826835731777E-4</v>
      </c>
      <c r="C79" s="474">
        <f>Deadtime*Fsw*(Ipp/2)*(VsdTop+VsdBot)</f>
        <v>4.4762480507195331E-3</v>
      </c>
      <c r="G79">
        <v>70</v>
      </c>
      <c r="H79">
        <f t="shared" si="55"/>
        <v>3.15</v>
      </c>
      <c r="I79" s="406">
        <f t="shared" si="76"/>
        <v>0.4698812429480676</v>
      </c>
      <c r="J79" s="407">
        <f t="shared" si="56"/>
        <v>3.3301292909147242</v>
      </c>
      <c r="K79" s="407">
        <f t="shared" si="77"/>
        <v>4.8150646454573618</v>
      </c>
      <c r="L79" s="407">
        <f t="shared" si="78"/>
        <v>1.4849353545426378</v>
      </c>
      <c r="M79" s="63">
        <f t="shared" si="57"/>
        <v>0</v>
      </c>
      <c r="N79" s="406">
        <f t="shared" si="58"/>
        <v>3.2934247764068765</v>
      </c>
      <c r="O79" s="406">
        <f t="shared" si="79"/>
        <v>9.5523433538510557E-3</v>
      </c>
      <c r="P79">
        <f t="shared" si="59"/>
        <v>0.2</v>
      </c>
      <c r="Q79" s="406">
        <f t="shared" si="80"/>
        <v>0.20955234335385106</v>
      </c>
      <c r="R79" s="9">
        <f t="shared" si="87"/>
        <v>0.9613255212729368</v>
      </c>
      <c r="S79" s="9">
        <f t="shared" si="81"/>
        <v>2.5876109219819145E-4</v>
      </c>
      <c r="T79" s="9">
        <f t="shared" si="88"/>
        <v>2.5876109219819145E-4</v>
      </c>
      <c r="U79" s="406">
        <f t="shared" si="60"/>
        <v>2.2575730022299405</v>
      </c>
      <c r="V79" s="408">
        <f t="shared" si="82"/>
        <v>5.0966358603975071E-3</v>
      </c>
      <c r="W79" s="406">
        <f t="shared" si="89"/>
        <v>5.0966358603975071E-3</v>
      </c>
      <c r="X79" s="406">
        <f t="shared" si="61"/>
        <v>2.2575730022299405</v>
      </c>
      <c r="Y79" s="406">
        <f t="shared" si="83"/>
        <v>0.26502506474067034</v>
      </c>
      <c r="Z79" s="406">
        <f t="shared" si="62"/>
        <v>7.0125961710462439E-2</v>
      </c>
      <c r="AA79" s="406">
        <f t="shared" si="63"/>
        <v>0.1228566</v>
      </c>
      <c r="AB79" s="406">
        <f t="shared" si="64"/>
        <v>0</v>
      </c>
      <c r="AC79" s="406">
        <f t="shared" si="65"/>
        <v>0.48636541190206573</v>
      </c>
      <c r="AD79" s="406">
        <f t="shared" si="66"/>
        <v>2.3979180339313468</v>
      </c>
      <c r="AE79" s="406">
        <f t="shared" si="84"/>
        <v>5.7500108974531762E-2</v>
      </c>
      <c r="AF79" s="406">
        <f t="shared" si="67"/>
        <v>5.6473199999999987E-2</v>
      </c>
      <c r="AG79" s="406">
        <f t="shared" si="68"/>
        <v>0.11503160171600137</v>
      </c>
      <c r="AH79" s="406">
        <f t="shared" si="69"/>
        <v>0</v>
      </c>
      <c r="AI79">
        <f t="shared" si="70"/>
        <v>0</v>
      </c>
      <c r="AJ79" s="407">
        <f t="shared" si="71"/>
        <v>0.49528092000000001</v>
      </c>
      <c r="AK79">
        <f t="shared" si="85"/>
        <v>0.06</v>
      </c>
      <c r="AL79" s="407">
        <f t="shared" si="72"/>
        <v>4.0337999999999999E-2</v>
      </c>
      <c r="AM79" s="407">
        <f t="shared" si="86"/>
        <v>0.13814789189189189</v>
      </c>
      <c r="AN79" s="407">
        <f t="shared" si="90"/>
        <v>0.100338</v>
      </c>
      <c r="AO79" s="407">
        <f t="shared" si="73"/>
        <v>1.4119236739245138</v>
      </c>
      <c r="AP79">
        <f t="shared" si="74"/>
        <v>44.1</v>
      </c>
      <c r="AQ79" s="10">
        <f t="shared" si="91"/>
        <v>0.96897684035418052</v>
      </c>
      <c r="AR79" s="63">
        <f t="shared" si="75"/>
        <v>26.750097654613615</v>
      </c>
      <c r="AS79" s="63">
        <f t="shared" si="92"/>
        <v>4.601264068640055</v>
      </c>
      <c r="AT79" s="10"/>
      <c r="AU79">
        <f t="shared" si="93"/>
        <v>96.897684035418052</v>
      </c>
      <c r="BE79" s="28"/>
      <c r="BF79" s="29"/>
    </row>
    <row r="80" spans="1:58" x14ac:dyDescent="0.2">
      <c r="A80" s="44" t="s">
        <v>92</v>
      </c>
      <c r="B80" s="475">
        <f>SUM(B77:B79)</f>
        <v>2.4127608268357317E-2</v>
      </c>
      <c r="C80" s="31" t="s">
        <v>2</v>
      </c>
      <c r="G80">
        <v>71</v>
      </c>
      <c r="H80">
        <f t="shared" si="55"/>
        <v>3.1949999999999998</v>
      </c>
      <c r="I80" s="406">
        <f t="shared" si="76"/>
        <v>0.46992737180073135</v>
      </c>
      <c r="J80" s="407">
        <f t="shared" si="56"/>
        <v>3.3304562140377842</v>
      </c>
      <c r="K80" s="407">
        <f t="shared" si="77"/>
        <v>4.8602281070188917</v>
      </c>
      <c r="L80" s="407">
        <f t="shared" si="78"/>
        <v>1.5297718929811077</v>
      </c>
      <c r="M80" s="63">
        <f t="shared" si="57"/>
        <v>0</v>
      </c>
      <c r="N80" s="406">
        <f t="shared" si="58"/>
        <v>3.3365181276497271</v>
      </c>
      <c r="O80" s="406">
        <f t="shared" si="79"/>
        <v>9.8041545193000602E-3</v>
      </c>
      <c r="P80">
        <f t="shared" si="59"/>
        <v>0.2</v>
      </c>
      <c r="Q80" s="406">
        <f t="shared" si="80"/>
        <v>0.20980415451930007</v>
      </c>
      <c r="R80" s="9">
        <f t="shared" si="87"/>
        <v>0.96141989584948839</v>
      </c>
      <c r="S80" s="9">
        <f t="shared" si="81"/>
        <v>2.5881190051786754E-4</v>
      </c>
      <c r="T80" s="9">
        <f t="shared" si="88"/>
        <v>2.5881190051786754E-4</v>
      </c>
      <c r="U80" s="406">
        <f t="shared" si="60"/>
        <v>2.2872248443945891</v>
      </c>
      <c r="V80" s="408">
        <f t="shared" si="82"/>
        <v>5.231397488815852E-3</v>
      </c>
      <c r="W80" s="406">
        <f t="shared" si="89"/>
        <v>5.231397488815852E-3</v>
      </c>
      <c r="X80" s="406">
        <f t="shared" si="61"/>
        <v>2.2872248443945891</v>
      </c>
      <c r="Y80" s="406">
        <f t="shared" si="83"/>
        <v>0.2720326694184243</v>
      </c>
      <c r="Z80" s="406">
        <f t="shared" si="62"/>
        <v>7.1383350341033533E-2</v>
      </c>
      <c r="AA80" s="406">
        <f t="shared" si="63"/>
        <v>0.1228566</v>
      </c>
      <c r="AB80" s="406">
        <f t="shared" si="64"/>
        <v>0</v>
      </c>
      <c r="AC80" s="406">
        <f t="shared" si="65"/>
        <v>0.49595407623843785</v>
      </c>
      <c r="AD80" s="406">
        <f t="shared" si="66"/>
        <v>2.4291882856870912</v>
      </c>
      <c r="AE80" s="406">
        <f t="shared" si="84"/>
        <v>5.9009557273193895E-2</v>
      </c>
      <c r="AF80" s="406">
        <f t="shared" si="67"/>
        <v>5.7279959999999984E-2</v>
      </c>
      <c r="AG80" s="406">
        <f t="shared" si="68"/>
        <v>0.11739793328405468</v>
      </c>
      <c r="AH80" s="406">
        <f t="shared" si="69"/>
        <v>0</v>
      </c>
      <c r="AI80">
        <f t="shared" si="70"/>
        <v>0</v>
      </c>
      <c r="AJ80" s="407">
        <f t="shared" si="71"/>
        <v>0.49524207600000003</v>
      </c>
      <c r="AK80">
        <f t="shared" si="85"/>
        <v>0.06</v>
      </c>
      <c r="AL80" s="407">
        <f t="shared" si="72"/>
        <v>4.0337999999999999E-2</v>
      </c>
      <c r="AM80" s="407">
        <f t="shared" si="86"/>
        <v>0.13814789189189189</v>
      </c>
      <c r="AN80" s="407">
        <f t="shared" si="90"/>
        <v>0.100338</v>
      </c>
      <c r="AO80" s="407">
        <f t="shared" si="73"/>
        <v>1.4242264494311265</v>
      </c>
      <c r="AP80">
        <f t="shared" si="74"/>
        <v>44.73</v>
      </c>
      <c r="AQ80" s="10">
        <f t="shared" si="91"/>
        <v>0.96914201452403115</v>
      </c>
      <c r="AR80" s="63">
        <f t="shared" si="75"/>
        <v>27.277474193114081</v>
      </c>
      <c r="AS80" s="63">
        <f t="shared" si="92"/>
        <v>4.6959173313621871</v>
      </c>
      <c r="AT80" s="10"/>
      <c r="AU80">
        <f t="shared" si="93"/>
        <v>96.91420145240312</v>
      </c>
      <c r="BE80" s="28"/>
      <c r="BF80" s="29"/>
    </row>
    <row r="81" spans="1:58" x14ac:dyDescent="0.2">
      <c r="A81" s="2"/>
      <c r="G81">
        <v>72</v>
      </c>
      <c r="H81">
        <f t="shared" si="55"/>
        <v>3.2399999999999998</v>
      </c>
      <c r="I81" s="406">
        <f t="shared" si="76"/>
        <v>0.46997350649211495</v>
      </c>
      <c r="J81" s="407">
        <f t="shared" si="56"/>
        <v>3.330783178540857</v>
      </c>
      <c r="K81" s="407">
        <f t="shared" si="77"/>
        <v>4.9053915892704278</v>
      </c>
      <c r="L81" s="407">
        <f t="shared" si="78"/>
        <v>1.5746084107295713</v>
      </c>
      <c r="M81" s="63">
        <f t="shared" si="57"/>
        <v>0</v>
      </c>
      <c r="N81" s="406">
        <f t="shared" si="58"/>
        <v>3.3796611834922485</v>
      </c>
      <c r="O81" s="406">
        <f t="shared" si="79"/>
        <v>1.005954559621707E-2</v>
      </c>
      <c r="P81">
        <f t="shared" si="59"/>
        <v>0.2</v>
      </c>
      <c r="Q81" s="406">
        <f t="shared" si="80"/>
        <v>0.21005954559621709</v>
      </c>
      <c r="R81" s="9">
        <f t="shared" si="87"/>
        <v>0.96151428237142067</v>
      </c>
      <c r="S81" s="9">
        <f t="shared" si="81"/>
        <v>2.5886272025718387E-4</v>
      </c>
      <c r="T81" s="9">
        <f t="shared" si="88"/>
        <v>2.5886272025718387E-4</v>
      </c>
      <c r="U81" s="406">
        <f t="shared" si="60"/>
        <v>2.3169136700343804</v>
      </c>
      <c r="V81" s="408">
        <f t="shared" si="82"/>
        <v>5.3680889543921816E-3</v>
      </c>
      <c r="W81" s="406">
        <f t="shared" si="89"/>
        <v>5.3680889543921816E-3</v>
      </c>
      <c r="X81" s="406">
        <f t="shared" si="61"/>
        <v>2.3169136700343804</v>
      </c>
      <c r="Y81" s="406">
        <f t="shared" si="83"/>
        <v>0.27914062562839342</v>
      </c>
      <c r="Z81" s="406">
        <f t="shared" si="62"/>
        <v>7.2640738747750663E-2</v>
      </c>
      <c r="AA81" s="406">
        <f t="shared" si="63"/>
        <v>0.1228566</v>
      </c>
      <c r="AB81" s="406">
        <f t="shared" si="64"/>
        <v>0</v>
      </c>
      <c r="AC81" s="406">
        <f t="shared" si="65"/>
        <v>0.50569304865094189</v>
      </c>
      <c r="AD81" s="406">
        <f t="shared" si="66"/>
        <v>2.4604919753602212</v>
      </c>
      <c r="AE81" s="406">
        <f t="shared" si="84"/>
        <v>6.0540207608120442E-2</v>
      </c>
      <c r="AF81" s="406">
        <f t="shared" si="67"/>
        <v>5.8086719999999974E-2</v>
      </c>
      <c r="AG81" s="406">
        <f t="shared" si="68"/>
        <v>0.11978723869603422</v>
      </c>
      <c r="AH81" s="406">
        <f t="shared" si="69"/>
        <v>0</v>
      </c>
      <c r="AI81">
        <f t="shared" si="70"/>
        <v>0</v>
      </c>
      <c r="AJ81" s="407">
        <f t="shared" si="71"/>
        <v>0.49520323200000005</v>
      </c>
      <c r="AK81">
        <f t="shared" si="85"/>
        <v>0.06</v>
      </c>
      <c r="AL81" s="407">
        <f t="shared" si="72"/>
        <v>4.0337999999999999E-2</v>
      </c>
      <c r="AM81" s="407">
        <f t="shared" si="86"/>
        <v>0.13814789189189189</v>
      </c>
      <c r="AN81" s="407">
        <f t="shared" si="90"/>
        <v>0.100338</v>
      </c>
      <c r="AO81" s="407">
        <f t="shared" si="73"/>
        <v>1.4367080166178425</v>
      </c>
      <c r="AP81">
        <f t="shared" si="74"/>
        <v>45.36</v>
      </c>
      <c r="AQ81" s="10">
        <f t="shared" si="91"/>
        <v>0.96929895119742915</v>
      </c>
      <c r="AR81" s="63">
        <f t="shared" si="75"/>
        <v>27.813117675801806</v>
      </c>
      <c r="AS81" s="63">
        <f t="shared" si="92"/>
        <v>4.791489547841369</v>
      </c>
      <c r="AT81" s="10"/>
      <c r="AU81">
        <f t="shared" si="93"/>
        <v>96.929895119742909</v>
      </c>
      <c r="BE81" s="28"/>
      <c r="BF81" s="29"/>
    </row>
    <row r="82" spans="1:58" x14ac:dyDescent="0.2">
      <c r="A82" s="2"/>
      <c r="G82">
        <v>73</v>
      </c>
      <c r="H82">
        <f t="shared" si="55"/>
        <v>3.2850000000000001</v>
      </c>
      <c r="I82" s="406">
        <f t="shared" si="76"/>
        <v>0.47001964702332694</v>
      </c>
      <c r="J82" s="407">
        <f t="shared" si="56"/>
        <v>3.3311101844317994</v>
      </c>
      <c r="K82" s="407">
        <f t="shared" si="77"/>
        <v>4.9505550922159003</v>
      </c>
      <c r="L82" s="407">
        <f t="shared" si="78"/>
        <v>1.6194449077841004</v>
      </c>
      <c r="M82" s="63">
        <f t="shared" si="57"/>
        <v>0</v>
      </c>
      <c r="N82" s="406">
        <f t="shared" si="58"/>
        <v>3.4228520644440321</v>
      </c>
      <c r="O82" s="406">
        <f t="shared" si="79"/>
        <v>1.0318517022504898E-2</v>
      </c>
      <c r="P82">
        <f t="shared" si="59"/>
        <v>0.2</v>
      </c>
      <c r="Q82" s="406">
        <f t="shared" si="80"/>
        <v>0.2103185170225049</v>
      </c>
      <c r="R82" s="9">
        <f t="shared" si="87"/>
        <v>0.96160868084100171</v>
      </c>
      <c r="S82" s="9">
        <f t="shared" si="81"/>
        <v>2.5891355141925606E-4</v>
      </c>
      <c r="T82" s="9">
        <f t="shared" si="88"/>
        <v>2.5891355141925606E-4</v>
      </c>
      <c r="U82" s="406">
        <f t="shared" si="60"/>
        <v>2.3466381959650882</v>
      </c>
      <c r="V82" s="408">
        <f t="shared" si="82"/>
        <v>5.5067108227622834E-3</v>
      </c>
      <c r="W82" s="406">
        <f t="shared" si="89"/>
        <v>5.5067108227622834E-3</v>
      </c>
      <c r="X82" s="406">
        <f t="shared" si="61"/>
        <v>2.3466381959650882</v>
      </c>
      <c r="Y82" s="406">
        <f t="shared" si="83"/>
        <v>0.28634896278363869</v>
      </c>
      <c r="Z82" s="406">
        <f t="shared" si="62"/>
        <v>7.3898126930571337E-2</v>
      </c>
      <c r="AA82" s="406">
        <f t="shared" si="63"/>
        <v>0.1228566</v>
      </c>
      <c r="AB82" s="406">
        <f t="shared" si="64"/>
        <v>0</v>
      </c>
      <c r="AC82" s="406">
        <f t="shared" si="65"/>
        <v>0.51558380502984436</v>
      </c>
      <c r="AD82" s="406">
        <f t="shared" si="66"/>
        <v>2.4918277292594868</v>
      </c>
      <c r="AE82" s="406">
        <f t="shared" si="84"/>
        <v>6.2092054323064902E-2</v>
      </c>
      <c r="AF82" s="406">
        <f t="shared" si="67"/>
        <v>5.8893479999999991E-2</v>
      </c>
      <c r="AG82" s="406">
        <f t="shared" si="68"/>
        <v>0.12219955373567445</v>
      </c>
      <c r="AH82" s="406">
        <f t="shared" si="69"/>
        <v>0</v>
      </c>
      <c r="AI82">
        <f t="shared" si="70"/>
        <v>0</v>
      </c>
      <c r="AJ82" s="407">
        <f t="shared" si="71"/>
        <v>0.49516438800000001</v>
      </c>
      <c r="AK82">
        <f t="shared" si="85"/>
        <v>0.06</v>
      </c>
      <c r="AL82" s="407">
        <f t="shared" si="72"/>
        <v>4.0337999999999999E-2</v>
      </c>
      <c r="AM82" s="407">
        <f t="shared" si="86"/>
        <v>0.13814789189189189</v>
      </c>
      <c r="AN82" s="407">
        <f t="shared" si="90"/>
        <v>0.100338</v>
      </c>
      <c r="AO82" s="407">
        <f t="shared" si="73"/>
        <v>1.4493698881622052</v>
      </c>
      <c r="AP82">
        <f t="shared" si="74"/>
        <v>45.99</v>
      </c>
      <c r="AQ82" s="10">
        <f t="shared" si="91"/>
        <v>0.96944795237417625</v>
      </c>
      <c r="AR82" s="63">
        <f t="shared" si="75"/>
        <v>28.357109276641438</v>
      </c>
      <c r="AS82" s="63">
        <f t="shared" si="92"/>
        <v>4.8879821494269784</v>
      </c>
      <c r="AT82" s="10"/>
      <c r="AU82">
        <f t="shared" si="93"/>
        <v>96.944795237417623</v>
      </c>
      <c r="BE82" s="28"/>
      <c r="BF82" s="29"/>
    </row>
    <row r="83" spans="1:58" x14ac:dyDescent="0.2">
      <c r="A83" s="2"/>
      <c r="G83">
        <v>74</v>
      </c>
      <c r="H83">
        <f t="shared" si="55"/>
        <v>3.33</v>
      </c>
      <c r="I83" s="406">
        <f t="shared" si="76"/>
        <v>0.47006579339547638</v>
      </c>
      <c r="J83" s="407">
        <f t="shared" si="56"/>
        <v>3.3314372317184717</v>
      </c>
      <c r="K83" s="407">
        <f t="shared" si="77"/>
        <v>4.9957186158592357</v>
      </c>
      <c r="L83" s="407">
        <f t="shared" si="78"/>
        <v>1.6642813841407642</v>
      </c>
      <c r="M83" s="63">
        <f t="shared" si="57"/>
        <v>0</v>
      </c>
      <c r="N83" s="406">
        <f t="shared" si="58"/>
        <v>3.4660889826633134</v>
      </c>
      <c r="O83" s="406">
        <f t="shared" si="79"/>
        <v>1.0581069242232576E-2</v>
      </c>
      <c r="P83">
        <f t="shared" si="59"/>
        <v>0.2</v>
      </c>
      <c r="Q83" s="406">
        <f t="shared" si="80"/>
        <v>0.21058106924223258</v>
      </c>
      <c r="R83" s="9">
        <f t="shared" si="87"/>
        <v>0.96170309126050069</v>
      </c>
      <c r="S83" s="9">
        <f t="shared" si="81"/>
        <v>2.5896439400720082E-4</v>
      </c>
      <c r="T83" s="9">
        <f t="shared" si="88"/>
        <v>2.5896439400720082E-4</v>
      </c>
      <c r="U83" s="406">
        <f t="shared" si="60"/>
        <v>2.3763972015858683</v>
      </c>
      <c r="V83" s="408">
        <f t="shared" si="82"/>
        <v>5.647263659705146E-3</v>
      </c>
      <c r="W83" s="406">
        <f t="shared" si="89"/>
        <v>5.647263659705146E-3</v>
      </c>
      <c r="X83" s="406">
        <f t="shared" si="61"/>
        <v>2.3763972015858683</v>
      </c>
      <c r="Y83" s="406">
        <f t="shared" si="83"/>
        <v>0.29365771030466759</v>
      </c>
      <c r="Z83" s="406">
        <f t="shared" si="62"/>
        <v>7.5155514889453004E-2</v>
      </c>
      <c r="AA83" s="406">
        <f t="shared" si="63"/>
        <v>0.1228566</v>
      </c>
      <c r="AB83" s="406">
        <f t="shared" si="64"/>
        <v>0</v>
      </c>
      <c r="AC83" s="406">
        <f t="shared" si="65"/>
        <v>0.52562785298575476</v>
      </c>
      <c r="AD83" s="406">
        <f t="shared" si="66"/>
        <v>2.5231942406471322</v>
      </c>
      <c r="AE83" s="406">
        <f t="shared" si="84"/>
        <v>6.3665091760348583E-2</v>
      </c>
      <c r="AF83" s="406">
        <f t="shared" si="67"/>
        <v>5.9700239999999988E-2</v>
      </c>
      <c r="AG83" s="406">
        <f t="shared" si="68"/>
        <v>0.12463491468514425</v>
      </c>
      <c r="AH83" s="406">
        <f t="shared" si="69"/>
        <v>0</v>
      </c>
      <c r="AI83">
        <f t="shared" si="70"/>
        <v>0</v>
      </c>
      <c r="AJ83" s="407">
        <f t="shared" si="71"/>
        <v>0.49512554400000003</v>
      </c>
      <c r="AK83">
        <f t="shared" si="85"/>
        <v>0.06</v>
      </c>
      <c r="AL83" s="407">
        <f t="shared" si="72"/>
        <v>4.0337999999999999E-2</v>
      </c>
      <c r="AM83" s="407">
        <f t="shared" si="86"/>
        <v>0.13814789189189189</v>
      </c>
      <c r="AN83" s="407">
        <f t="shared" si="90"/>
        <v>0.100338</v>
      </c>
      <c r="AO83" s="407">
        <f t="shared" si="73"/>
        <v>1.4622136089668438</v>
      </c>
      <c r="AP83">
        <f t="shared" si="74"/>
        <v>46.620000000000005</v>
      </c>
      <c r="AQ83" s="10">
        <f t="shared" si="91"/>
        <v>0.9695893034197961</v>
      </c>
      <c r="AR83" s="63">
        <f t="shared" si="75"/>
        <v>28.909531914216512</v>
      </c>
      <c r="AS83" s="63">
        <f t="shared" si="92"/>
        <v>4.98539658740577</v>
      </c>
      <c r="AT83" s="10"/>
      <c r="AU83">
        <f t="shared" si="93"/>
        <v>96.95893034197961</v>
      </c>
      <c r="BE83" s="28"/>
      <c r="BF83" s="29"/>
    </row>
    <row r="84" spans="1:58" x14ac:dyDescent="0.2">
      <c r="G84">
        <v>75</v>
      </c>
      <c r="H84">
        <f t="shared" si="55"/>
        <v>3.375</v>
      </c>
      <c r="I84" s="406">
        <f t="shared" si="76"/>
        <v>0.47011194560967229</v>
      </c>
      <c r="J84" s="407">
        <f t="shared" si="56"/>
        <v>3.3317643204087335</v>
      </c>
      <c r="K84" s="407">
        <f t="shared" si="77"/>
        <v>5.040882160204367</v>
      </c>
      <c r="L84" s="407">
        <f t="shared" si="78"/>
        <v>1.7091178397956333</v>
      </c>
      <c r="M84" s="63">
        <f t="shared" si="57"/>
        <v>0</v>
      </c>
      <c r="N84" s="406">
        <f t="shared" si="58"/>
        <v>3.5093702365565616</v>
      </c>
      <c r="O84" s="406">
        <f t="shared" si="79"/>
        <v>1.0847202705637297E-2</v>
      </c>
      <c r="P84">
        <f t="shared" si="59"/>
        <v>0.2</v>
      </c>
      <c r="Q84" s="406">
        <f t="shared" si="80"/>
        <v>0.21084720270563731</v>
      </c>
      <c r="R84" s="9">
        <f t="shared" si="87"/>
        <v>0.96179751363218646</v>
      </c>
      <c r="S84" s="9">
        <f t="shared" si="81"/>
        <v>2.5901524802413565E-4</v>
      </c>
      <c r="T84" s="9">
        <f t="shared" si="88"/>
        <v>2.5901524802413565E-4</v>
      </c>
      <c r="U84" s="406">
        <f t="shared" si="60"/>
        <v>2.4061895251918592</v>
      </c>
      <c r="V84" s="408">
        <f t="shared" si="82"/>
        <v>5.7897480311430256E-3</v>
      </c>
      <c r="W84" s="406">
        <f t="shared" si="89"/>
        <v>5.7897480311430256E-3</v>
      </c>
      <c r="X84" s="406">
        <f t="shared" si="61"/>
        <v>2.4061895251918592</v>
      </c>
      <c r="Y84" s="406">
        <f t="shared" si="83"/>
        <v>0.30106689761943728</v>
      </c>
      <c r="Z84" s="406">
        <f t="shared" si="62"/>
        <v>7.6412902624353157E-2</v>
      </c>
      <c r="AA84" s="406">
        <f t="shared" si="63"/>
        <v>0.1228566</v>
      </c>
      <c r="AB84" s="406">
        <f t="shared" si="64"/>
        <v>0</v>
      </c>
      <c r="AC84" s="406">
        <f t="shared" si="65"/>
        <v>0.53582673248625368</v>
      </c>
      <c r="AD84" s="406">
        <f t="shared" si="66"/>
        <v>2.5545902657933293</v>
      </c>
      <c r="AE84" s="406">
        <f t="shared" si="84"/>
        <v>6.5259314260860332E-2</v>
      </c>
      <c r="AF84" s="406">
        <f t="shared" si="67"/>
        <v>6.0506999999999984E-2</v>
      </c>
      <c r="AG84" s="406">
        <f t="shared" si="68"/>
        <v>0.12709335832670199</v>
      </c>
      <c r="AH84" s="406">
        <f t="shared" si="69"/>
        <v>0</v>
      </c>
      <c r="AI84">
        <f t="shared" si="70"/>
        <v>0</v>
      </c>
      <c r="AJ84" s="407">
        <f t="shared" si="71"/>
        <v>0.49508669999999999</v>
      </c>
      <c r="AK84">
        <f t="shared" si="85"/>
        <v>0.06</v>
      </c>
      <c r="AL84" s="407">
        <f t="shared" si="72"/>
        <v>4.0337999999999999E-2</v>
      </c>
      <c r="AM84" s="407">
        <f t="shared" si="86"/>
        <v>0.13814789189189189</v>
      </c>
      <c r="AN84" s="407">
        <f t="shared" si="90"/>
        <v>0.100338</v>
      </c>
      <c r="AO84" s="407">
        <f t="shared" si="73"/>
        <v>1.4752407567977601</v>
      </c>
      <c r="AP84">
        <f t="shared" si="74"/>
        <v>47.25</v>
      </c>
      <c r="AQ84" s="10">
        <f t="shared" si="91"/>
        <v>0.96972327414119663</v>
      </c>
      <c r="AR84" s="63">
        <f t="shared" si="75"/>
        <v>29.470470286743954</v>
      </c>
      <c r="AS84" s="63">
        <f t="shared" si="92"/>
        <v>5.0837343330680795</v>
      </c>
      <c r="AT84" s="10"/>
      <c r="AU84">
        <f t="shared" si="93"/>
        <v>96.972327414119661</v>
      </c>
      <c r="BE84" s="28"/>
      <c r="BF84" s="29"/>
    </row>
    <row r="85" spans="1:58" x14ac:dyDescent="0.2">
      <c r="G85">
        <v>76</v>
      </c>
      <c r="H85">
        <f t="shared" si="55"/>
        <v>3.42</v>
      </c>
      <c r="I85" s="406">
        <f t="shared" si="76"/>
        <v>0.47015810366702443</v>
      </c>
      <c r="J85" s="407">
        <f t="shared" si="56"/>
        <v>3.3320914505104495</v>
      </c>
      <c r="K85" s="407">
        <f t="shared" si="77"/>
        <v>5.0860457252552251</v>
      </c>
      <c r="L85" s="407">
        <f t="shared" si="78"/>
        <v>1.7539542747447752</v>
      </c>
      <c r="M85" s="63">
        <f t="shared" si="57"/>
        <v>0</v>
      </c>
      <c r="N85" s="406">
        <f t="shared" si="58"/>
        <v>3.5526942057468256</v>
      </c>
      <c r="O85" s="406">
        <f t="shared" si="79"/>
        <v>1.1116917869126317E-2</v>
      </c>
      <c r="P85">
        <f t="shared" si="59"/>
        <v>0.2</v>
      </c>
      <c r="Q85" s="406">
        <f t="shared" si="80"/>
        <v>0.21111691786912634</v>
      </c>
      <c r="R85" s="9">
        <f t="shared" si="87"/>
        <v>0.96189194795832933</v>
      </c>
      <c r="S85" s="9">
        <f t="shared" si="81"/>
        <v>2.5906611347317944E-4</v>
      </c>
      <c r="T85" s="9">
        <f t="shared" si="88"/>
        <v>2.5906611347317944E-4</v>
      </c>
      <c r="U85" s="406">
        <f t="shared" si="60"/>
        <v>2.436014060538541</v>
      </c>
      <c r="V85" s="408">
        <f t="shared" si="82"/>
        <v>5.9341645031414708E-3</v>
      </c>
      <c r="W85" s="406">
        <f t="shared" si="89"/>
        <v>5.9341645031414708E-3</v>
      </c>
      <c r="X85" s="406">
        <f t="shared" si="61"/>
        <v>2.436014060538541</v>
      </c>
      <c r="Y85" s="406">
        <f t="shared" si="83"/>
        <v>0.30857655416335644</v>
      </c>
      <c r="Z85" s="406">
        <f t="shared" si="62"/>
        <v>7.7670290135229261E-2</v>
      </c>
      <c r="AA85" s="406">
        <f t="shared" si="63"/>
        <v>0.1228566</v>
      </c>
      <c r="AB85" s="406">
        <f t="shared" si="64"/>
        <v>0</v>
      </c>
      <c r="AC85" s="406">
        <f t="shared" si="65"/>
        <v>0.54618201651078158</v>
      </c>
      <c r="AD85" s="406">
        <f t="shared" si="66"/>
        <v>2.5860146203000474</v>
      </c>
      <c r="AE85" s="406">
        <f t="shared" si="84"/>
        <v>6.6874716164055978E-2</v>
      </c>
      <c r="AF85" s="406">
        <f t="shared" si="67"/>
        <v>6.1313759999999988E-2</v>
      </c>
      <c r="AG85" s="406">
        <f t="shared" si="68"/>
        <v>0.12957492194437756</v>
      </c>
      <c r="AH85" s="406">
        <f t="shared" si="69"/>
        <v>0</v>
      </c>
      <c r="AI85">
        <f t="shared" si="70"/>
        <v>0</v>
      </c>
      <c r="AJ85" s="407">
        <f t="shared" si="71"/>
        <v>0.49504785600000001</v>
      </c>
      <c r="AK85">
        <f t="shared" si="85"/>
        <v>0.06</v>
      </c>
      <c r="AL85" s="407">
        <f t="shared" si="72"/>
        <v>4.0337999999999999E-2</v>
      </c>
      <c r="AM85" s="407">
        <f t="shared" si="86"/>
        <v>0.13814789189189189</v>
      </c>
      <c r="AN85" s="407">
        <f t="shared" si="90"/>
        <v>0.100338</v>
      </c>
      <c r="AO85" s="407">
        <f t="shared" si="73"/>
        <v>1.4884529429409001</v>
      </c>
      <c r="AP85">
        <f t="shared" si="74"/>
        <v>47.879999999999995</v>
      </c>
      <c r="AQ85" s="10">
        <f t="shared" si="91"/>
        <v>0.96985011977869295</v>
      </c>
      <c r="AR85" s="63">
        <f t="shared" si="75"/>
        <v>30.040010908092988</v>
      </c>
      <c r="AS85" s="63">
        <f t="shared" si="92"/>
        <v>5.1829968777751025</v>
      </c>
      <c r="AT85" s="10"/>
      <c r="AU85">
        <f t="shared" si="93"/>
        <v>96.985011977869291</v>
      </c>
      <c r="BE85" s="28"/>
      <c r="BF85" s="29"/>
    </row>
    <row r="86" spans="1:58" x14ac:dyDescent="0.2">
      <c r="G86">
        <v>77</v>
      </c>
      <c r="H86">
        <f t="shared" si="55"/>
        <v>3.4649999999999999</v>
      </c>
      <c r="I86" s="406">
        <f t="shared" si="76"/>
        <v>0.47020426756864214</v>
      </c>
      <c r="J86" s="407">
        <f t="shared" si="56"/>
        <v>3.332418622031482</v>
      </c>
      <c r="K86" s="407">
        <f t="shared" si="77"/>
        <v>5.1312093110157413</v>
      </c>
      <c r="L86" s="407">
        <f t="shared" si="78"/>
        <v>1.7987906889842589</v>
      </c>
      <c r="M86" s="63">
        <f t="shared" si="57"/>
        <v>0</v>
      </c>
      <c r="N86" s="406">
        <f t="shared" si="58"/>
        <v>3.5960593463825345</v>
      </c>
      <c r="O86" s="406">
        <f t="shared" si="79"/>
        <v>1.1390215195278929E-2</v>
      </c>
      <c r="P86">
        <f t="shared" si="59"/>
        <v>0.2</v>
      </c>
      <c r="Q86" s="406">
        <f t="shared" si="80"/>
        <v>0.21139021519527895</v>
      </c>
      <c r="R86" s="9">
        <f t="shared" si="87"/>
        <v>0.96198639424119903</v>
      </c>
      <c r="S86" s="9">
        <f t="shared" si="81"/>
        <v>2.5911699035745142E-4</v>
      </c>
      <c r="T86" s="9">
        <f t="shared" si="88"/>
        <v>2.5911699035745142E-4</v>
      </c>
      <c r="U86" s="406">
        <f t="shared" si="60"/>
        <v>2.4658697536385366</v>
      </c>
      <c r="V86" s="408">
        <f t="shared" si="82"/>
        <v>6.0805136419093773E-3</v>
      </c>
      <c r="W86" s="406">
        <f t="shared" si="89"/>
        <v>6.0805136419093773E-3</v>
      </c>
      <c r="X86" s="406">
        <f t="shared" si="61"/>
        <v>2.4658697536385366</v>
      </c>
      <c r="Y86" s="406">
        <f t="shared" si="83"/>
        <v>0.31618670937928761</v>
      </c>
      <c r="Z86" s="406">
        <f t="shared" si="62"/>
        <v>7.8927677422038767E-2</v>
      </c>
      <c r="AA86" s="406">
        <f t="shared" si="63"/>
        <v>0.1228566</v>
      </c>
      <c r="AB86" s="406">
        <f t="shared" si="64"/>
        <v>0</v>
      </c>
      <c r="AC86" s="406">
        <f t="shared" si="65"/>
        <v>0.55669531172434583</v>
      </c>
      <c r="AD86" s="406">
        <f t="shared" si="66"/>
        <v>2.6174661756736808</v>
      </c>
      <c r="AE86" s="406">
        <f t="shared" si="84"/>
        <v>6.851129180795805E-2</v>
      </c>
      <c r="AF86" s="406">
        <f t="shared" si="67"/>
        <v>6.2120519999999985E-2</v>
      </c>
      <c r="AG86" s="406">
        <f t="shared" si="68"/>
        <v>0.13207964332568231</v>
      </c>
      <c r="AH86" s="406">
        <f t="shared" si="69"/>
        <v>0</v>
      </c>
      <c r="AI86">
        <f t="shared" si="70"/>
        <v>0</v>
      </c>
      <c r="AJ86" s="407">
        <f t="shared" si="71"/>
        <v>0.49500901200000003</v>
      </c>
      <c r="AK86">
        <f t="shared" si="85"/>
        <v>0.06</v>
      </c>
      <c r="AL86" s="407">
        <f t="shared" si="72"/>
        <v>4.0337999999999999E-2</v>
      </c>
      <c r="AM86" s="407">
        <f t="shared" si="86"/>
        <v>0.13814789189189189</v>
      </c>
      <c r="AN86" s="407">
        <f t="shared" si="90"/>
        <v>0.100338</v>
      </c>
      <c r="AO86" s="407">
        <f t="shared" si="73"/>
        <v>1.501851812877574</v>
      </c>
      <c r="AP86">
        <f t="shared" si="74"/>
        <v>48.51</v>
      </c>
      <c r="AQ86" s="10">
        <f t="shared" si="91"/>
        <v>0.96997008192184431</v>
      </c>
      <c r="AR86" s="63">
        <f t="shared" si="75"/>
        <v>30.618242144839019</v>
      </c>
      <c r="AS86" s="63">
        <f t="shared" si="92"/>
        <v>5.2831857330272927</v>
      </c>
      <c r="AT86" s="10"/>
      <c r="AU86">
        <f t="shared" si="93"/>
        <v>96.997008192184424</v>
      </c>
      <c r="BE86" s="28"/>
      <c r="BF86" s="29"/>
    </row>
    <row r="87" spans="1:58" x14ac:dyDescent="0.2">
      <c r="G87">
        <v>78</v>
      </c>
      <c r="H87">
        <f t="shared" si="55"/>
        <v>3.5100000000000002</v>
      </c>
      <c r="I87" s="406">
        <f t="shared" si="76"/>
        <v>0.47025043731563571</v>
      </c>
      <c r="J87" s="407">
        <f t="shared" si="56"/>
        <v>3.3327458349797001</v>
      </c>
      <c r="K87" s="407">
        <f t="shared" si="77"/>
        <v>5.1763729174898501</v>
      </c>
      <c r="L87" s="407">
        <f t="shared" si="78"/>
        <v>1.8436270825101502</v>
      </c>
      <c r="M87" s="63">
        <f t="shared" si="57"/>
        <v>0</v>
      </c>
      <c r="N87" s="406">
        <f t="shared" si="58"/>
        <v>3.6394641867608133</v>
      </c>
      <c r="O87" s="406">
        <f t="shared" si="79"/>
        <v>1.166709515284845E-2</v>
      </c>
      <c r="P87">
        <f t="shared" si="59"/>
        <v>0.2</v>
      </c>
      <c r="Q87" s="406">
        <f t="shared" si="80"/>
        <v>0.21166709515284846</v>
      </c>
      <c r="R87" s="9">
        <f t="shared" si="87"/>
        <v>0.96208085248306707</v>
      </c>
      <c r="S87" s="9">
        <f t="shared" si="81"/>
        <v>2.5916787868007264E-4</v>
      </c>
      <c r="T87" s="9">
        <f t="shared" si="88"/>
        <v>2.5916787868007264E-4</v>
      </c>
      <c r="U87" s="406">
        <f t="shared" si="60"/>
        <v>2.4957555997731515</v>
      </c>
      <c r="V87" s="408">
        <f t="shared" si="82"/>
        <v>6.2287960137990435E-3</v>
      </c>
      <c r="W87" s="406">
        <f t="shared" si="89"/>
        <v>6.2287960137990435E-3</v>
      </c>
      <c r="X87" s="406">
        <f t="shared" si="61"/>
        <v>2.4957555997731515</v>
      </c>
      <c r="Y87" s="406">
        <f t="shared" si="83"/>
        <v>0.32389739271755025</v>
      </c>
      <c r="Z87" s="406">
        <f t="shared" si="62"/>
        <v>8.0185064484739124E-2</v>
      </c>
      <c r="AA87" s="406">
        <f t="shared" si="63"/>
        <v>0.1228566</v>
      </c>
      <c r="AB87" s="406">
        <f t="shared" si="64"/>
        <v>0</v>
      </c>
      <c r="AC87" s="406">
        <f t="shared" si="65"/>
        <v>0.56736825917062261</v>
      </c>
      <c r="AD87" s="406">
        <f t="shared" si="66"/>
        <v>2.6489438561274765</v>
      </c>
      <c r="AE87" s="406">
        <f t="shared" si="84"/>
        <v>7.0169035529155044E-2</v>
      </c>
      <c r="AF87" s="406">
        <f t="shared" si="67"/>
        <v>6.2927279999999988E-2</v>
      </c>
      <c r="AG87" s="406">
        <f t="shared" si="68"/>
        <v>0.1346075607633464</v>
      </c>
      <c r="AH87" s="406">
        <f t="shared" si="69"/>
        <v>0</v>
      </c>
      <c r="AI87">
        <f t="shared" si="70"/>
        <v>0</v>
      </c>
      <c r="AJ87" s="407">
        <f t="shared" si="71"/>
        <v>0.49497016799999999</v>
      </c>
      <c r="AK87">
        <f t="shared" si="85"/>
        <v>0.06</v>
      </c>
      <c r="AL87" s="407">
        <f t="shared" si="72"/>
        <v>4.0337999999999999E-2</v>
      </c>
      <c r="AM87" s="407">
        <f t="shared" si="86"/>
        <v>0.13814789189189189</v>
      </c>
      <c r="AN87" s="407">
        <f t="shared" si="90"/>
        <v>0.100338</v>
      </c>
      <c r="AO87" s="407">
        <f t="shared" si="73"/>
        <v>1.5154390469792967</v>
      </c>
      <c r="AP87">
        <f t="shared" si="74"/>
        <v>49.14</v>
      </c>
      <c r="AQ87" s="10">
        <f t="shared" si="91"/>
        <v>0.97008338935580374</v>
      </c>
      <c r="AR87" s="63">
        <f t="shared" si="75"/>
        <v>31.205254254384243</v>
      </c>
      <c r="AS87" s="63">
        <f t="shared" si="92"/>
        <v>5.3843024305338556</v>
      </c>
      <c r="AT87" s="10"/>
      <c r="AU87">
        <f t="shared" si="93"/>
        <v>97.008338935580369</v>
      </c>
      <c r="BE87" s="28"/>
      <c r="BF87" s="29"/>
    </row>
    <row r="88" spans="1:58" x14ac:dyDescent="0.2">
      <c r="G88">
        <v>79</v>
      </c>
      <c r="H88">
        <f t="shared" si="55"/>
        <v>3.5550000000000002</v>
      </c>
      <c r="I88" s="406">
        <f t="shared" si="76"/>
        <v>0.47029661290911534</v>
      </c>
      <c r="J88" s="407">
        <f t="shared" si="56"/>
        <v>3.3330730893629719</v>
      </c>
      <c r="K88" s="407">
        <f t="shared" si="77"/>
        <v>5.2215365446814861</v>
      </c>
      <c r="L88" s="407">
        <f t="shared" si="78"/>
        <v>1.8884634553185142</v>
      </c>
      <c r="M88" s="63">
        <f t="shared" si="57"/>
        <v>0</v>
      </c>
      <c r="N88" s="406">
        <f t="shared" si="58"/>
        <v>3.6829073232415586</v>
      </c>
      <c r="O88" s="406">
        <f t="shared" si="79"/>
        <v>1.1947558216764213E-2</v>
      </c>
      <c r="P88">
        <f t="shared" si="59"/>
        <v>0.2</v>
      </c>
      <c r="Q88" s="406">
        <f t="shared" si="80"/>
        <v>0.21194755821676423</v>
      </c>
      <c r="R88" s="9">
        <f t="shared" si="87"/>
        <v>0.96217532268620476</v>
      </c>
      <c r="S88" s="9">
        <f t="shared" si="81"/>
        <v>2.5921877844416468E-4</v>
      </c>
      <c r="T88" s="9">
        <f t="shared" si="88"/>
        <v>2.5921877844416468E-4</v>
      </c>
      <c r="U88" s="406">
        <f t="shared" si="60"/>
        <v>2.5256706407024221</v>
      </c>
      <c r="V88" s="408">
        <f t="shared" si="82"/>
        <v>6.3790121853061835E-3</v>
      </c>
      <c r="W88" s="406">
        <f t="shared" si="89"/>
        <v>6.3790121853061835E-3</v>
      </c>
      <c r="X88" s="406">
        <f t="shared" si="61"/>
        <v>2.5256706407024221</v>
      </c>
      <c r="Y88" s="406">
        <f t="shared" si="83"/>
        <v>0.33170863363592151</v>
      </c>
      <c r="Z88" s="406">
        <f t="shared" si="62"/>
        <v>8.1442451323287757E-2</v>
      </c>
      <c r="AA88" s="406">
        <f t="shared" si="63"/>
        <v>0.1228566</v>
      </c>
      <c r="AB88" s="406">
        <f t="shared" si="64"/>
        <v>0</v>
      </c>
      <c r="AC88" s="406">
        <f t="shared" si="65"/>
        <v>0.57820253498504681</v>
      </c>
      <c r="AD88" s="406">
        <f t="shared" si="66"/>
        <v>2.6804466355964109</v>
      </c>
      <c r="AE88" s="406">
        <f t="shared" si="84"/>
        <v>7.1847941662801187E-2</v>
      </c>
      <c r="AF88" s="406">
        <f t="shared" si="67"/>
        <v>6.3734039999999992E-2</v>
      </c>
      <c r="AG88" s="406">
        <f t="shared" si="68"/>
        <v>0.13715871305708441</v>
      </c>
      <c r="AH88" s="406">
        <f t="shared" si="69"/>
        <v>0</v>
      </c>
      <c r="AI88">
        <f t="shared" si="70"/>
        <v>0</v>
      </c>
      <c r="AJ88" s="407">
        <f t="shared" si="71"/>
        <v>0.49493132400000001</v>
      </c>
      <c r="AK88">
        <f t="shared" si="85"/>
        <v>0.06</v>
      </c>
      <c r="AL88" s="407">
        <f t="shared" si="72"/>
        <v>4.0337999999999999E-2</v>
      </c>
      <c r="AM88" s="407">
        <f t="shared" si="86"/>
        <v>0.13814789189189189</v>
      </c>
      <c r="AN88" s="407">
        <f t="shared" si="90"/>
        <v>0.100338</v>
      </c>
      <c r="AO88" s="407">
        <f t="shared" si="73"/>
        <v>1.5292163612226457</v>
      </c>
      <c r="AP88">
        <f t="shared" si="74"/>
        <v>49.77</v>
      </c>
      <c r="AQ88" s="10">
        <f t="shared" si="91"/>
        <v>0.97019025884421528</v>
      </c>
      <c r="AR88" s="63">
        <f t="shared" si="75"/>
        <v>31.801139424177574</v>
      </c>
      <c r="AS88" s="63">
        <f t="shared" si="92"/>
        <v>5.4863485222833761</v>
      </c>
      <c r="AT88" s="10"/>
      <c r="AU88">
        <f t="shared" si="93"/>
        <v>97.019025884421524</v>
      </c>
      <c r="BE88" s="28"/>
      <c r="BF88" s="29"/>
    </row>
    <row r="89" spans="1:58" x14ac:dyDescent="0.2">
      <c r="G89">
        <v>80</v>
      </c>
      <c r="H89">
        <f t="shared" si="55"/>
        <v>3.6</v>
      </c>
      <c r="I89" s="406">
        <f t="shared" si="76"/>
        <v>0.47034279435019161</v>
      </c>
      <c r="J89" s="407">
        <f t="shared" si="56"/>
        <v>3.3334003851891678</v>
      </c>
      <c r="K89" s="407">
        <f t="shared" si="77"/>
        <v>5.266700192594584</v>
      </c>
      <c r="L89" s="407">
        <f t="shared" si="78"/>
        <v>1.9332998074054162</v>
      </c>
      <c r="M89" s="63">
        <f t="shared" si="57"/>
        <v>0</v>
      </c>
      <c r="N89" s="406">
        <f t="shared" si="58"/>
        <v>3.7263874164305042</v>
      </c>
      <c r="O89" s="406">
        <f t="shared" si="79"/>
        <v>1.2231604868133635E-2</v>
      </c>
      <c r="P89">
        <f t="shared" si="59"/>
        <v>0.2</v>
      </c>
      <c r="Q89" s="406">
        <f t="shared" si="80"/>
        <v>0.21223160486813364</v>
      </c>
      <c r="R89" s="9">
        <f t="shared" si="87"/>
        <v>0.96226980485288416</v>
      </c>
      <c r="S89" s="9">
        <f t="shared" si="81"/>
        <v>2.592696896528502E-4</v>
      </c>
      <c r="T89" s="9">
        <f t="shared" si="88"/>
        <v>2.592696896528502E-4</v>
      </c>
      <c r="U89" s="406">
        <f t="shared" si="60"/>
        <v>2.5556139620588265</v>
      </c>
      <c r="V89" s="408">
        <f t="shared" si="82"/>
        <v>6.5311627230700128E-3</v>
      </c>
      <c r="W89" s="406">
        <f t="shared" si="89"/>
        <v>6.5311627230700128E-3</v>
      </c>
      <c r="X89" s="406">
        <f t="shared" si="61"/>
        <v>2.5556139620588265</v>
      </c>
      <c r="Y89" s="406">
        <f t="shared" si="83"/>
        <v>0.33962046159964066</v>
      </c>
      <c r="Z89" s="406">
        <f t="shared" si="62"/>
        <v>8.2699837937642087E-2</v>
      </c>
      <c r="AA89" s="406">
        <f t="shared" si="63"/>
        <v>0.1228566</v>
      </c>
      <c r="AB89" s="406">
        <f t="shared" si="64"/>
        <v>0</v>
      </c>
      <c r="AC89" s="406">
        <f t="shared" si="65"/>
        <v>0.58919985112851825</v>
      </c>
      <c r="AD89" s="406">
        <f t="shared" si="66"/>
        <v>2.7119735349485978</v>
      </c>
      <c r="AE89" s="406">
        <f t="shared" si="84"/>
        <v>7.3548004542615938E-2</v>
      </c>
      <c r="AF89" s="406">
        <f t="shared" si="67"/>
        <v>6.4540799999999982E-2</v>
      </c>
      <c r="AG89" s="406">
        <f t="shared" si="68"/>
        <v>0.13973313951538899</v>
      </c>
      <c r="AH89" s="406">
        <f t="shared" si="69"/>
        <v>0</v>
      </c>
      <c r="AI89">
        <f t="shared" si="70"/>
        <v>0</v>
      </c>
      <c r="AJ89" s="407">
        <f t="shared" si="71"/>
        <v>0.49489247999999997</v>
      </c>
      <c r="AK89">
        <f t="shared" si="85"/>
        <v>0.06</v>
      </c>
      <c r="AL89" s="407">
        <f t="shared" si="72"/>
        <v>4.0337999999999999E-2</v>
      </c>
      <c r="AM89" s="407">
        <f t="shared" si="86"/>
        <v>0.13814789189189189</v>
      </c>
      <c r="AN89" s="407">
        <f t="shared" si="90"/>
        <v>0.100338</v>
      </c>
      <c r="AO89" s="407">
        <f t="shared" si="73"/>
        <v>1.5431855079247636</v>
      </c>
      <c r="AP89">
        <f t="shared" si="74"/>
        <v>50.4</v>
      </c>
      <c r="AQ89" s="10">
        <f t="shared" si="91"/>
        <v>0.97029089585409956</v>
      </c>
      <c r="AR89" s="63">
        <f t="shared" si="75"/>
        <v>32.405991812068507</v>
      </c>
      <c r="AS89" s="63">
        <f t="shared" si="92"/>
        <v>5.5893255806155597</v>
      </c>
      <c r="AT89" s="10"/>
      <c r="AU89">
        <f t="shared" si="93"/>
        <v>97.029089585409949</v>
      </c>
      <c r="BE89" s="28"/>
      <c r="BF89" s="29"/>
    </row>
    <row r="90" spans="1:58" x14ac:dyDescent="0.2">
      <c r="G90">
        <v>81</v>
      </c>
      <c r="H90">
        <f t="shared" si="55"/>
        <v>3.6450000000000005</v>
      </c>
      <c r="I90" s="406">
        <f t="shared" si="76"/>
        <v>0.4703889816399755</v>
      </c>
      <c r="J90" s="407">
        <f t="shared" si="56"/>
        <v>3.3337277224661621</v>
      </c>
      <c r="K90" s="407">
        <f t="shared" si="77"/>
        <v>5.311863861233082</v>
      </c>
      <c r="L90" s="407">
        <f t="shared" si="78"/>
        <v>1.9781361387669194</v>
      </c>
      <c r="M90" s="63">
        <f t="shared" si="57"/>
        <v>0</v>
      </c>
      <c r="N90" s="406">
        <f t="shared" si="58"/>
        <v>3.7699031876112712</v>
      </c>
      <c r="O90" s="406">
        <f t="shared" si="79"/>
        <v>1.2519235594244272E-2</v>
      </c>
      <c r="P90">
        <f t="shared" si="59"/>
        <v>0.2</v>
      </c>
      <c r="Q90" s="406">
        <f t="shared" si="80"/>
        <v>0.21251923559424429</v>
      </c>
      <c r="R90" s="9">
        <f t="shared" si="87"/>
        <v>0.96236429898537845</v>
      </c>
      <c r="S90" s="9">
        <f t="shared" si="81"/>
        <v>2.5932061230925333E-4</v>
      </c>
      <c r="T90" s="9">
        <f t="shared" si="88"/>
        <v>2.5932061230925333E-4</v>
      </c>
      <c r="U90" s="406">
        <f t="shared" si="60"/>
        <v>2.5855846909109887</v>
      </c>
      <c r="V90" s="408">
        <f t="shared" si="82"/>
        <v>6.6852481938732737E-3</v>
      </c>
      <c r="W90" s="406">
        <f t="shared" si="89"/>
        <v>6.6852481938732737E-3</v>
      </c>
      <c r="X90" s="406">
        <f t="shared" si="61"/>
        <v>2.5855846909109887</v>
      </c>
      <c r="Y90" s="406">
        <f t="shared" si="83"/>
        <v>0.34763290608141023</v>
      </c>
      <c r="Z90" s="406">
        <f t="shared" si="62"/>
        <v>8.3957224327759525E-2</v>
      </c>
      <c r="AA90" s="406">
        <f t="shared" si="63"/>
        <v>0.1228566</v>
      </c>
      <c r="AB90" s="406">
        <f t="shared" si="64"/>
        <v>0</v>
      </c>
      <c r="AC90" s="406">
        <f t="shared" si="65"/>
        <v>0.6003619561423571</v>
      </c>
      <c r="AD90" s="406">
        <f t="shared" si="66"/>
        <v>2.7435236193786174</v>
      </c>
      <c r="AE90" s="406">
        <f t="shared" si="84"/>
        <v>7.5269218500883486E-2</v>
      </c>
      <c r="AF90" s="406">
        <f t="shared" si="67"/>
        <v>6.5347559999999999E-2</v>
      </c>
      <c r="AG90" s="406">
        <f t="shared" si="68"/>
        <v>0.14233087995735277</v>
      </c>
      <c r="AH90" s="406">
        <f t="shared" si="69"/>
        <v>0</v>
      </c>
      <c r="AI90">
        <f t="shared" si="70"/>
        <v>0</v>
      </c>
      <c r="AJ90" s="407">
        <f t="shared" si="71"/>
        <v>0.49485363599999999</v>
      </c>
      <c r="AK90">
        <f t="shared" si="85"/>
        <v>0.06</v>
      </c>
      <c r="AL90" s="407">
        <f t="shared" si="72"/>
        <v>4.0337999999999999E-2</v>
      </c>
      <c r="AM90" s="407">
        <f t="shared" si="86"/>
        <v>0.13814789189189189</v>
      </c>
      <c r="AN90" s="407">
        <f t="shared" si="90"/>
        <v>0.100338</v>
      </c>
      <c r="AO90" s="407">
        <f t="shared" si="73"/>
        <v>1.5573482765001367</v>
      </c>
      <c r="AP90">
        <f t="shared" si="74"/>
        <v>51.030000000000008</v>
      </c>
      <c r="AQ90" s="10">
        <f t="shared" si="91"/>
        <v>0.97038549522764062</v>
      </c>
      <c r="AR90" s="63">
        <f t="shared" si="75"/>
        <v>33.019907587829643</v>
      </c>
      <c r="AS90" s="63">
        <f t="shared" si="92"/>
        <v>5.6932351982941114</v>
      </c>
      <c r="AT90" s="10"/>
      <c r="AU90">
        <f t="shared" si="93"/>
        <v>97.038549522764058</v>
      </c>
      <c r="BE90" s="28"/>
      <c r="BF90" s="29"/>
    </row>
    <row r="91" spans="1:58" x14ac:dyDescent="0.2">
      <c r="G91">
        <v>82</v>
      </c>
      <c r="H91">
        <f t="shared" si="55"/>
        <v>3.69</v>
      </c>
      <c r="I91" s="406">
        <f t="shared" si="76"/>
        <v>0.47043517477957797</v>
      </c>
      <c r="J91" s="407">
        <f t="shared" si="56"/>
        <v>3.334055101201828</v>
      </c>
      <c r="K91" s="407">
        <f t="shared" si="77"/>
        <v>5.3570275506009137</v>
      </c>
      <c r="L91" s="407">
        <f t="shared" si="78"/>
        <v>2.0229724493990862</v>
      </c>
      <c r="M91" s="63">
        <f t="shared" si="57"/>
        <v>0</v>
      </c>
      <c r="N91" s="406">
        <f t="shared" si="58"/>
        <v>3.8134534154080728</v>
      </c>
      <c r="O91" s="406">
        <f t="shared" si="79"/>
        <v>1.2810450888565883E-2</v>
      </c>
      <c r="P91">
        <f t="shared" si="59"/>
        <v>0.2</v>
      </c>
      <c r="Q91" s="406">
        <f t="shared" si="80"/>
        <v>0.2128104508885659</v>
      </c>
      <c r="R91" s="9">
        <f t="shared" si="87"/>
        <v>0.96245880508596027</v>
      </c>
      <c r="S91" s="9">
        <f t="shared" si="81"/>
        <v>2.5937154641649847E-4</v>
      </c>
      <c r="T91" s="9">
        <f t="shared" si="88"/>
        <v>2.5937154641649847E-4</v>
      </c>
      <c r="U91" s="406">
        <f t="shared" si="60"/>
        <v>2.6155819934848661</v>
      </c>
      <c r="V91" s="408">
        <f t="shared" si="82"/>
        <v>6.8412691646422656E-3</v>
      </c>
      <c r="W91" s="406">
        <f t="shared" si="89"/>
        <v>6.8412691646422656E-3</v>
      </c>
      <c r="X91" s="406">
        <f t="shared" si="61"/>
        <v>2.6155819934848661</v>
      </c>
      <c r="Y91" s="406">
        <f t="shared" si="83"/>
        <v>0.35574599656139777</v>
      </c>
      <c r="Z91" s="406">
        <f t="shared" si="62"/>
        <v>8.5214610493597465E-2</v>
      </c>
      <c r="AA91" s="406">
        <f t="shared" si="63"/>
        <v>0.1228566</v>
      </c>
      <c r="AB91" s="406">
        <f t="shared" si="64"/>
        <v>0</v>
      </c>
      <c r="AC91" s="406">
        <f t="shared" si="65"/>
        <v>0.61169063592518047</v>
      </c>
      <c r="AD91" s="406">
        <f t="shared" si="66"/>
        <v>2.77509599596937</v>
      </c>
      <c r="AE91" s="406">
        <f t="shared" si="84"/>
        <v>7.7011577868452294E-2</v>
      </c>
      <c r="AF91" s="406">
        <f t="shared" si="67"/>
        <v>6.6154319999999989E-2</v>
      </c>
      <c r="AG91" s="406">
        <f t="shared" si="68"/>
        <v>0.14495197471451837</v>
      </c>
      <c r="AH91" s="406">
        <f t="shared" si="69"/>
        <v>0</v>
      </c>
      <c r="AI91">
        <f t="shared" si="70"/>
        <v>0</v>
      </c>
      <c r="AJ91" s="407">
        <f t="shared" si="71"/>
        <v>0.494814792</v>
      </c>
      <c r="AK91">
        <f t="shared" si="85"/>
        <v>0.06</v>
      </c>
      <c r="AL91" s="407">
        <f t="shared" si="72"/>
        <v>4.0337999999999999E-2</v>
      </c>
      <c r="AM91" s="407">
        <f t="shared" si="86"/>
        <v>0.13814789189189189</v>
      </c>
      <c r="AN91" s="407">
        <f t="shared" si="90"/>
        <v>0.100338</v>
      </c>
      <c r="AO91" s="407">
        <f t="shared" si="73"/>
        <v>1.5717064942393233</v>
      </c>
      <c r="AP91">
        <f t="shared" si="74"/>
        <v>51.66</v>
      </c>
      <c r="AQ91" s="10">
        <f t="shared" si="91"/>
        <v>0.97047424180531561</v>
      </c>
      <c r="AR91" s="63">
        <f t="shared" si="75"/>
        <v>33.642984975884929</v>
      </c>
      <c r="AS91" s="63">
        <f t="shared" si="92"/>
        <v>5.7980789885807349</v>
      </c>
      <c r="AT91" s="10"/>
      <c r="AU91">
        <f t="shared" si="93"/>
        <v>97.047424180531564</v>
      </c>
      <c r="BE91" s="28"/>
      <c r="BF91" s="29"/>
    </row>
    <row r="92" spans="1:58" x14ac:dyDescent="0.2">
      <c r="G92">
        <v>83</v>
      </c>
      <c r="H92">
        <f t="shared" si="55"/>
        <v>3.7349999999999999</v>
      </c>
      <c r="I92" s="406">
        <f t="shared" si="76"/>
        <v>0.47048137377011057</v>
      </c>
      <c r="J92" s="407">
        <f t="shared" si="56"/>
        <v>3.3343825214040437</v>
      </c>
      <c r="K92" s="407">
        <f t="shared" si="77"/>
        <v>5.4021912607020219</v>
      </c>
      <c r="L92" s="407">
        <f t="shared" si="78"/>
        <v>2.0678087392979778</v>
      </c>
      <c r="M92" s="63">
        <f t="shared" si="57"/>
        <v>0</v>
      </c>
      <c r="N92" s="406">
        <f t="shared" si="58"/>
        <v>3.8570369326622216</v>
      </c>
      <c r="O92" s="406">
        <f t="shared" si="79"/>
        <v>1.3105251250752604E-2</v>
      </c>
      <c r="P92">
        <f t="shared" si="59"/>
        <v>0.2</v>
      </c>
      <c r="Q92" s="406">
        <f t="shared" si="80"/>
        <v>0.21310525125075261</v>
      </c>
      <c r="R92" s="9">
        <f t="shared" si="87"/>
        <v>0.96255332315690389</v>
      </c>
      <c r="S92" s="9">
        <f t="shared" si="81"/>
        <v>2.5942249197771175E-4</v>
      </c>
      <c r="T92" s="9">
        <f t="shared" si="88"/>
        <v>2.5942249197771175E-4</v>
      </c>
      <c r="U92" s="406">
        <f t="shared" si="60"/>
        <v>2.6456050730309171</v>
      </c>
      <c r="V92" s="408">
        <f t="shared" si="82"/>
        <v>6.9992262024469246E-3</v>
      </c>
      <c r="W92" s="406">
        <f t="shared" si="89"/>
        <v>6.9992262024469246E-3</v>
      </c>
      <c r="X92" s="406">
        <f t="shared" si="61"/>
        <v>2.6456050730309171</v>
      </c>
      <c r="Y92" s="406">
        <f t="shared" si="83"/>
        <v>0.36395976252724005</v>
      </c>
      <c r="Z92" s="406">
        <f t="shared" si="62"/>
        <v>8.6471996435113274E-2</v>
      </c>
      <c r="AA92" s="406">
        <f t="shared" si="63"/>
        <v>0.1228566</v>
      </c>
      <c r="AB92" s="406">
        <f t="shared" si="64"/>
        <v>0</v>
      </c>
      <c r="AC92" s="406">
        <f t="shared" si="65"/>
        <v>0.6231877145323963</v>
      </c>
      <c r="AD92" s="406">
        <f t="shared" si="66"/>
        <v>2.8066898114101382</v>
      </c>
      <c r="AE92" s="406">
        <f t="shared" si="84"/>
        <v>7.8775076974734765E-2</v>
      </c>
      <c r="AF92" s="406">
        <f t="shared" si="67"/>
        <v>6.6961079999999978E-2</v>
      </c>
      <c r="AG92" s="406">
        <f t="shared" si="68"/>
        <v>0.1475964646327578</v>
      </c>
      <c r="AH92" s="406">
        <f t="shared" si="69"/>
        <v>0</v>
      </c>
      <c r="AI92">
        <f t="shared" si="70"/>
        <v>0</v>
      </c>
      <c r="AJ92" s="407">
        <f t="shared" si="71"/>
        <v>0.49477594799999997</v>
      </c>
      <c r="AK92">
        <f t="shared" si="85"/>
        <v>0.06</v>
      </c>
      <c r="AL92" s="407">
        <f t="shared" si="72"/>
        <v>4.0337999999999999E-2</v>
      </c>
      <c r="AM92" s="407">
        <f t="shared" si="86"/>
        <v>0.13814789189189189</v>
      </c>
      <c r="AN92" s="407">
        <f t="shared" si="90"/>
        <v>0.100338</v>
      </c>
      <c r="AO92" s="407">
        <f t="shared" si="73"/>
        <v>1.5862620271103314</v>
      </c>
      <c r="AP92">
        <f t="shared" si="74"/>
        <v>52.29</v>
      </c>
      <c r="AQ92" s="10">
        <f t="shared" si="91"/>
        <v>0.97055731100438769</v>
      </c>
      <c r="AR92" s="63">
        <f t="shared" si="75"/>
        <v>34.275324299281799</v>
      </c>
      <c r="AS92" s="63">
        <f t="shared" si="92"/>
        <v>5.9038585853103118</v>
      </c>
      <c r="AT92" s="10"/>
      <c r="AU92">
        <f t="shared" si="93"/>
        <v>97.055731100438763</v>
      </c>
      <c r="BE92" s="28"/>
      <c r="BF92" s="29"/>
    </row>
    <row r="93" spans="1:58" x14ac:dyDescent="0.2">
      <c r="G93">
        <v>84</v>
      </c>
      <c r="H93">
        <f t="shared" si="55"/>
        <v>3.78</v>
      </c>
      <c r="I93" s="406">
        <f t="shared" si="76"/>
        <v>0.47052757861268507</v>
      </c>
      <c r="J93" s="407">
        <f t="shared" si="56"/>
        <v>3.3347099830806877</v>
      </c>
      <c r="K93" s="407">
        <f t="shared" si="77"/>
        <v>5.4473549915403439</v>
      </c>
      <c r="L93" s="407">
        <f t="shared" si="78"/>
        <v>2.1126450084596557</v>
      </c>
      <c r="M93" s="63">
        <f t="shared" si="57"/>
        <v>0</v>
      </c>
      <c r="N93" s="406">
        <f t="shared" si="58"/>
        <v>3.9006526235069305</v>
      </c>
      <c r="O93" s="406">
        <f t="shared" si="79"/>
        <v>1.3403637186645053E-2</v>
      </c>
      <c r="P93">
        <f t="shared" si="59"/>
        <v>0.2</v>
      </c>
      <c r="Q93" s="406">
        <f t="shared" si="80"/>
        <v>0.21340363718664507</v>
      </c>
      <c r="R93" s="9">
        <f t="shared" si="87"/>
        <v>0.96264785320048374</v>
      </c>
      <c r="S93" s="9">
        <f t="shared" si="81"/>
        <v>2.5947344899602008E-4</v>
      </c>
      <c r="T93" s="9">
        <f t="shared" si="88"/>
        <v>2.5947344899602008E-4</v>
      </c>
      <c r="U93" s="406">
        <f t="shared" si="60"/>
        <v>2.6756531678266606</v>
      </c>
      <c r="V93" s="408">
        <f t="shared" si="82"/>
        <v>7.1591198745008435E-3</v>
      </c>
      <c r="W93" s="406">
        <f t="shared" si="89"/>
        <v>7.1591198745008435E-3</v>
      </c>
      <c r="X93" s="406">
        <f t="shared" si="61"/>
        <v>2.6756531678266606</v>
      </c>
      <c r="Y93" s="406">
        <f t="shared" si="83"/>
        <v>0.37227423347404387</v>
      </c>
      <c r="Z93" s="406">
        <f t="shared" si="62"/>
        <v>8.772938215226439E-2</v>
      </c>
      <c r="AA93" s="406">
        <f t="shared" si="63"/>
        <v>0.1228566</v>
      </c>
      <c r="AB93" s="406">
        <f t="shared" si="64"/>
        <v>0</v>
      </c>
      <c r="AC93" s="406">
        <f t="shared" si="65"/>
        <v>0.63485505499902262</v>
      </c>
      <c r="AD93" s="406">
        <f t="shared" si="66"/>
        <v>2.8383042498595277</v>
      </c>
      <c r="AE93" s="406">
        <f t="shared" si="84"/>
        <v>8.0559710147706562E-2</v>
      </c>
      <c r="AF93" s="406">
        <f t="shared" si="67"/>
        <v>6.7767839999999982E-2</v>
      </c>
      <c r="AG93" s="406">
        <f t="shared" si="68"/>
        <v>0.15026439107417977</v>
      </c>
      <c r="AH93" s="406">
        <f t="shared" si="69"/>
        <v>0</v>
      </c>
      <c r="AI93">
        <f t="shared" si="70"/>
        <v>0</v>
      </c>
      <c r="AJ93" s="407">
        <f t="shared" si="71"/>
        <v>0.49473710399999998</v>
      </c>
      <c r="AK93">
        <f t="shared" si="85"/>
        <v>0.06</v>
      </c>
      <c r="AL93" s="407">
        <f t="shared" si="72"/>
        <v>4.0337999999999999E-2</v>
      </c>
      <c r="AM93" s="407">
        <f t="shared" si="86"/>
        <v>0.13814789189189189</v>
      </c>
      <c r="AN93" s="407">
        <f t="shared" si="90"/>
        <v>0.100338</v>
      </c>
      <c r="AO93" s="407">
        <f t="shared" si="73"/>
        <v>1.6010167805833444</v>
      </c>
      <c r="AP93">
        <f t="shared" si="74"/>
        <v>52.919999999999995</v>
      </c>
      <c r="AQ93" s="10">
        <f t="shared" si="91"/>
        <v>0.97063486935640719</v>
      </c>
      <c r="AR93" s="63">
        <f t="shared" si="75"/>
        <v>34.917028024946241</v>
      </c>
      <c r="AS93" s="63">
        <f t="shared" si="92"/>
        <v>6.0105756429671908</v>
      </c>
      <c r="AT93" s="10"/>
      <c r="AU93">
        <f t="shared" si="93"/>
        <v>97.063486935640725</v>
      </c>
      <c r="BE93" s="28"/>
      <c r="BF93" s="29"/>
    </row>
    <row r="94" spans="1:58" x14ac:dyDescent="0.2">
      <c r="G94">
        <v>85</v>
      </c>
      <c r="H94">
        <f t="shared" si="55"/>
        <v>3.8249999999999997</v>
      </c>
      <c r="I94" s="406">
        <f t="shared" si="76"/>
        <v>0.47057378930841315</v>
      </c>
      <c r="J94" s="407">
        <f t="shared" si="56"/>
        <v>3.3350374862396395</v>
      </c>
      <c r="K94" s="407">
        <f t="shared" si="77"/>
        <v>5.4925187431198195</v>
      </c>
      <c r="L94" s="407">
        <f t="shared" si="78"/>
        <v>2.15748125688018</v>
      </c>
      <c r="M94" s="63">
        <f t="shared" si="57"/>
        <v>0</v>
      </c>
      <c r="N94" s="406">
        <f t="shared" si="58"/>
        <v>3.9442994206261734</v>
      </c>
      <c r="O94" s="406">
        <f t="shared" si="79"/>
        <v>1.37056092082725E-2</v>
      </c>
      <c r="P94">
        <f t="shared" si="59"/>
        <v>0.2</v>
      </c>
      <c r="Q94" s="406">
        <f t="shared" si="80"/>
        <v>0.2137056092082725</v>
      </c>
      <c r="R94" s="9">
        <f t="shared" si="87"/>
        <v>0.96274239521897442</v>
      </c>
      <c r="S94" s="9">
        <f t="shared" si="81"/>
        <v>2.5952441747455104E-4</v>
      </c>
      <c r="T94" s="9">
        <f t="shared" si="88"/>
        <v>2.5952441747455104E-4</v>
      </c>
      <c r="U94" s="406">
        <f t="shared" si="60"/>
        <v>2.7057255493049039</v>
      </c>
      <c r="V94" s="408">
        <f t="shared" si="82"/>
        <v>7.3209507481613242E-3</v>
      </c>
      <c r="W94" s="406">
        <f t="shared" si="89"/>
        <v>7.3209507481613242E-3</v>
      </c>
      <c r="X94" s="406">
        <f t="shared" si="61"/>
        <v>2.7057255493049039</v>
      </c>
      <c r="Y94" s="406">
        <f t="shared" si="83"/>
        <v>0.38068943890438883</v>
      </c>
      <c r="Z94" s="406">
        <f t="shared" si="62"/>
        <v>8.8986767645008166E-2</v>
      </c>
      <c r="AA94" s="406">
        <f t="shared" si="63"/>
        <v>0.1228566</v>
      </c>
      <c r="AB94" s="406">
        <f t="shared" si="64"/>
        <v>0</v>
      </c>
      <c r="AC94" s="406">
        <f t="shared" si="65"/>
        <v>0.64669456018658644</v>
      </c>
      <c r="AD94" s="406">
        <f t="shared" si="66"/>
        <v>2.8699385309428918</v>
      </c>
      <c r="AE94" s="406">
        <f t="shared" si="84"/>
        <v>8.2365471713906444E-2</v>
      </c>
      <c r="AF94" s="406">
        <f t="shared" si="67"/>
        <v>6.8574599999999986E-2</v>
      </c>
      <c r="AG94" s="406">
        <f t="shared" si="68"/>
        <v>0.15295579591906644</v>
      </c>
      <c r="AH94" s="406">
        <f t="shared" si="69"/>
        <v>0</v>
      </c>
      <c r="AI94">
        <f t="shared" si="70"/>
        <v>0</v>
      </c>
      <c r="AJ94" s="407">
        <f t="shared" si="71"/>
        <v>0.49469826000000006</v>
      </c>
      <c r="AK94">
        <f t="shared" si="85"/>
        <v>0.06</v>
      </c>
      <c r="AL94" s="407">
        <f t="shared" si="72"/>
        <v>4.0337999999999999E-2</v>
      </c>
      <c r="AM94" s="407">
        <f t="shared" si="86"/>
        <v>0.13814789189189189</v>
      </c>
      <c r="AN94" s="407">
        <f t="shared" si="90"/>
        <v>0.100338</v>
      </c>
      <c r="AO94" s="407">
        <f t="shared" si="73"/>
        <v>1.6159727004795612</v>
      </c>
      <c r="AP94">
        <f t="shared" si="74"/>
        <v>53.55</v>
      </c>
      <c r="AQ94" s="10">
        <f t="shared" si="91"/>
        <v>0.97070707500702669</v>
      </c>
      <c r="AR94" s="63">
        <f t="shared" si="75"/>
        <v>35.568200810262255</v>
      </c>
      <c r="AS94" s="63">
        <f t="shared" si="92"/>
        <v>6.1182318367626571</v>
      </c>
      <c r="AT94" s="10"/>
      <c r="AU94">
        <f t="shared" si="93"/>
        <v>97.070707500702667</v>
      </c>
      <c r="BE94" s="28"/>
      <c r="BF94" s="29"/>
    </row>
    <row r="95" spans="1:58" x14ac:dyDescent="0.2">
      <c r="G95">
        <v>86</v>
      </c>
      <c r="H95">
        <f t="shared" si="55"/>
        <v>3.87</v>
      </c>
      <c r="I95" s="406">
        <f t="shared" si="76"/>
        <v>0.47062000585840758</v>
      </c>
      <c r="J95" s="407">
        <f t="shared" si="56"/>
        <v>3.3353650308887852</v>
      </c>
      <c r="K95" s="407">
        <f t="shared" si="77"/>
        <v>5.5376825154443932</v>
      </c>
      <c r="L95" s="407">
        <f t="shared" si="78"/>
        <v>2.2023174845556075</v>
      </c>
      <c r="M95" s="63">
        <f t="shared" si="57"/>
        <v>0</v>
      </c>
      <c r="N95" s="406">
        <f t="shared" si="58"/>
        <v>3.9879763026844803</v>
      </c>
      <c r="O95" s="406">
        <f t="shared" si="79"/>
        <v>1.4011167833855106E-2</v>
      </c>
      <c r="P95">
        <f t="shared" si="59"/>
        <v>0.2</v>
      </c>
      <c r="Q95" s="406">
        <f t="shared" si="80"/>
        <v>0.21401116783385513</v>
      </c>
      <c r="R95" s="9">
        <f t="shared" si="87"/>
        <v>0.96283694921465235</v>
      </c>
      <c r="S95" s="9">
        <f t="shared" si="81"/>
        <v>2.5957539741643413E-4</v>
      </c>
      <c r="T95" s="9">
        <f t="shared" si="88"/>
        <v>2.5957539741643413E-4</v>
      </c>
      <c r="U95" s="406">
        <f t="shared" si="60"/>
        <v>2.7358215202986886</v>
      </c>
      <c r="V95" s="408">
        <f t="shared" si="82"/>
        <v>7.4847193909294276E-3</v>
      </c>
      <c r="W95" s="406">
        <f t="shared" si="89"/>
        <v>7.4847193909294276E-3</v>
      </c>
      <c r="X95" s="406">
        <f t="shared" si="61"/>
        <v>2.7358215202986886</v>
      </c>
      <c r="Y95" s="406">
        <f t="shared" si="83"/>
        <v>0.38920540832833023</v>
      </c>
      <c r="Z95" s="406">
        <f t="shared" si="62"/>
        <v>9.02441529133019E-2</v>
      </c>
      <c r="AA95" s="406">
        <f t="shared" si="63"/>
        <v>0.1228566</v>
      </c>
      <c r="AB95" s="406">
        <f t="shared" si="64"/>
        <v>0</v>
      </c>
      <c r="AC95" s="406">
        <f t="shared" si="65"/>
        <v>0.65870817365487389</v>
      </c>
      <c r="AD95" s="406">
        <f t="shared" si="66"/>
        <v>2.9015919078746322</v>
      </c>
      <c r="AE95" s="406">
        <f t="shared" si="84"/>
        <v>8.4192355998435484E-2</v>
      </c>
      <c r="AF95" s="406">
        <f t="shared" si="67"/>
        <v>6.9381359999999989E-2</v>
      </c>
      <c r="AG95" s="406">
        <f t="shared" si="68"/>
        <v>0.15567072156783912</v>
      </c>
      <c r="AH95" s="406">
        <f t="shared" si="69"/>
        <v>0</v>
      </c>
      <c r="AI95">
        <f t="shared" si="70"/>
        <v>0</v>
      </c>
      <c r="AJ95" s="407">
        <f t="shared" si="71"/>
        <v>0.49465941600000002</v>
      </c>
      <c r="AK95">
        <f t="shared" si="85"/>
        <v>0.06</v>
      </c>
      <c r="AL95" s="407">
        <f t="shared" si="72"/>
        <v>4.0337999999999999E-2</v>
      </c>
      <c r="AM95" s="407">
        <f t="shared" si="86"/>
        <v>0.13814789189189189</v>
      </c>
      <c r="AN95" s="407">
        <f t="shared" si="90"/>
        <v>0.100338</v>
      </c>
      <c r="AO95" s="407">
        <f t="shared" si="73"/>
        <v>1.631131773844914</v>
      </c>
      <c r="AP95">
        <f t="shared" si="74"/>
        <v>54.18</v>
      </c>
      <c r="AQ95" s="10">
        <f t="shared" si="91"/>
        <v>0.97077407818113237</v>
      </c>
      <c r="AR95" s="63">
        <f t="shared" si="75"/>
        <v>36.228949551018061</v>
      </c>
      <c r="AS95" s="63">
        <f t="shared" si="92"/>
        <v>6.2268288627135648</v>
      </c>
      <c r="AT95" s="10"/>
      <c r="AU95">
        <f t="shared" si="93"/>
        <v>97.077407818113244</v>
      </c>
      <c r="BE95" s="28"/>
      <c r="BF95" s="29"/>
    </row>
    <row r="96" spans="1:58" x14ac:dyDescent="0.2">
      <c r="G96">
        <v>87</v>
      </c>
      <c r="H96">
        <f t="shared" si="55"/>
        <v>3.915</v>
      </c>
      <c r="I96" s="406">
        <f t="shared" si="76"/>
        <v>0.47066622826378041</v>
      </c>
      <c r="J96" s="407">
        <f t="shared" si="56"/>
        <v>3.3356926170360057</v>
      </c>
      <c r="K96" s="407">
        <f t="shared" si="77"/>
        <v>5.5828463085180031</v>
      </c>
      <c r="L96" s="407">
        <f t="shared" si="78"/>
        <v>2.247153691481997</v>
      </c>
      <c r="M96" s="63">
        <f t="shared" si="57"/>
        <v>0</v>
      </c>
      <c r="N96" s="406">
        <f t="shared" si="58"/>
        <v>4.0316822919155859</v>
      </c>
      <c r="O96" s="406">
        <f t="shared" si="79"/>
        <v>1.4320313587806105E-2</v>
      </c>
      <c r="P96">
        <f t="shared" si="59"/>
        <v>0.2</v>
      </c>
      <c r="Q96" s="406">
        <f t="shared" si="80"/>
        <v>0.21432031358780612</v>
      </c>
      <c r="R96" s="9">
        <f t="shared" si="87"/>
        <v>0.96293151518979259</v>
      </c>
      <c r="S96" s="9">
        <f t="shared" si="81"/>
        <v>2.5962638882479874E-4</v>
      </c>
      <c r="T96" s="9">
        <f t="shared" si="88"/>
        <v>2.5962638882479874E-4</v>
      </c>
      <c r="U96" s="406">
        <f t="shared" si="60"/>
        <v>2.7659404133946945</v>
      </c>
      <c r="V96" s="408">
        <f t="shared" si="82"/>
        <v>7.6504263704500145E-3</v>
      </c>
      <c r="W96" s="406">
        <f t="shared" si="89"/>
        <v>7.6504263704500145E-3</v>
      </c>
      <c r="X96" s="406">
        <f t="shared" si="61"/>
        <v>2.7659404133946945</v>
      </c>
      <c r="Y96" s="406">
        <f t="shared" si="83"/>
        <v>0.39782217126340069</v>
      </c>
      <c r="Z96" s="406">
        <f t="shared" si="62"/>
        <v>9.1501537957102988E-2</v>
      </c>
      <c r="AA96" s="406">
        <f t="shared" si="63"/>
        <v>0.1228566</v>
      </c>
      <c r="AB96" s="406">
        <f t="shared" si="64"/>
        <v>0</v>
      </c>
      <c r="AC96" s="406">
        <f t="shared" si="65"/>
        <v>0.67089788055933164</v>
      </c>
      <c r="AD96" s="406">
        <f t="shared" si="66"/>
        <v>2.9332636656965736</v>
      </c>
      <c r="AE96" s="406">
        <f t="shared" si="84"/>
        <v>8.6040357324957017E-2</v>
      </c>
      <c r="AF96" s="406">
        <f t="shared" si="67"/>
        <v>7.0188119999999979E-2</v>
      </c>
      <c r="AG96" s="406">
        <f t="shared" si="68"/>
        <v>0.15840921094305374</v>
      </c>
      <c r="AH96" s="406">
        <f t="shared" si="69"/>
        <v>0</v>
      </c>
      <c r="AI96">
        <f t="shared" si="70"/>
        <v>0</v>
      </c>
      <c r="AJ96" s="407">
        <f t="shared" si="71"/>
        <v>0.49462057200000004</v>
      </c>
      <c r="AK96">
        <f t="shared" si="85"/>
        <v>0.06</v>
      </c>
      <c r="AL96" s="407">
        <f t="shared" si="72"/>
        <v>4.0337999999999999E-2</v>
      </c>
      <c r="AM96" s="407">
        <f t="shared" si="86"/>
        <v>0.13814789189189189</v>
      </c>
      <c r="AN96" s="407">
        <f t="shared" si="90"/>
        <v>0.100338</v>
      </c>
      <c r="AO96" s="407">
        <f t="shared" si="73"/>
        <v>1.6464960298494664</v>
      </c>
      <c r="AP96">
        <f t="shared" si="74"/>
        <v>54.81</v>
      </c>
      <c r="AQ96" s="10">
        <f t="shared" si="91"/>
        <v>0.97083602161602556</v>
      </c>
      <c r="AR96" s="63">
        <f t="shared" si="75"/>
        <v>36.899383430763237</v>
      </c>
      <c r="AS96" s="63">
        <f t="shared" si="92"/>
        <v>6.3363684377221494</v>
      </c>
      <c r="AT96" s="10"/>
      <c r="AU96">
        <f t="shared" si="93"/>
        <v>97.083602161602556</v>
      </c>
      <c r="BE96" s="28"/>
      <c r="BF96" s="29"/>
    </row>
    <row r="97" spans="7:58" x14ac:dyDescent="0.2">
      <c r="G97">
        <v>88</v>
      </c>
      <c r="H97">
        <f t="shared" si="55"/>
        <v>3.96</v>
      </c>
      <c r="I97" s="406">
        <f t="shared" si="76"/>
        <v>0.47071245652564486</v>
      </c>
      <c r="J97" s="407">
        <f t="shared" si="56"/>
        <v>3.3360202446891911</v>
      </c>
      <c r="K97" s="407">
        <f t="shared" si="77"/>
        <v>5.6280101223445955</v>
      </c>
      <c r="L97" s="407">
        <f t="shared" si="78"/>
        <v>2.2919898776554044</v>
      </c>
      <c r="M97" s="63">
        <f t="shared" si="57"/>
        <v>0</v>
      </c>
      <c r="N97" s="406">
        <f t="shared" si="58"/>
        <v>4.0754164518587963</v>
      </c>
      <c r="O97" s="406">
        <f t="shared" si="79"/>
        <v>1.4633047000734067E-2</v>
      </c>
      <c r="P97">
        <f t="shared" si="59"/>
        <v>0.2</v>
      </c>
      <c r="Q97" s="406">
        <f t="shared" si="80"/>
        <v>0.21463304700073407</v>
      </c>
      <c r="R97" s="9">
        <f t="shared" si="87"/>
        <v>0.96302609314667287</v>
      </c>
      <c r="S97" s="9">
        <f t="shared" si="81"/>
        <v>2.5967739170277643E-4</v>
      </c>
      <c r="T97" s="9">
        <f t="shared" si="88"/>
        <v>2.5967739170277643E-4</v>
      </c>
      <c r="U97" s="406">
        <f t="shared" si="60"/>
        <v>2.7960815893875104</v>
      </c>
      <c r="V97" s="408">
        <f t="shared" si="82"/>
        <v>7.8180722545117872E-3</v>
      </c>
      <c r="W97" s="406">
        <f t="shared" si="89"/>
        <v>7.8180722545117872E-3</v>
      </c>
      <c r="X97" s="406">
        <f t="shared" si="61"/>
        <v>2.7960815893875104</v>
      </c>
      <c r="Y97" s="406">
        <f t="shared" si="83"/>
        <v>0.40653975723461289</v>
      </c>
      <c r="Z97" s="406">
        <f t="shared" si="62"/>
        <v>9.2758922776368755E-2</v>
      </c>
      <c r="AA97" s="406">
        <f t="shared" si="63"/>
        <v>0.1228566</v>
      </c>
      <c r="AB97" s="406">
        <f t="shared" si="64"/>
        <v>0</v>
      </c>
      <c r="AC97" s="406">
        <f t="shared" si="65"/>
        <v>0.68326570857495739</v>
      </c>
      <c r="AD97" s="406">
        <f t="shared" si="66"/>
        <v>2.9649531196242469</v>
      </c>
      <c r="AE97" s="406">
        <f t="shared" si="84"/>
        <v>8.7909470015695546E-2</v>
      </c>
      <c r="AF97" s="406">
        <f t="shared" si="67"/>
        <v>7.0994879999999982E-2</v>
      </c>
      <c r="AG97" s="406">
        <f t="shared" si="68"/>
        <v>0.16117130749142478</v>
      </c>
      <c r="AH97" s="406">
        <f t="shared" si="69"/>
        <v>0</v>
      </c>
      <c r="AI97">
        <f t="shared" si="70"/>
        <v>0</v>
      </c>
      <c r="AJ97" s="407">
        <f t="shared" si="71"/>
        <v>0.494581728</v>
      </c>
      <c r="AK97">
        <f t="shared" si="85"/>
        <v>0.06</v>
      </c>
      <c r="AL97" s="407">
        <f t="shared" si="72"/>
        <v>4.0337999999999999E-2</v>
      </c>
      <c r="AM97" s="407">
        <f t="shared" si="86"/>
        <v>0.13814789189189189</v>
      </c>
      <c r="AN97" s="407">
        <f t="shared" si="90"/>
        <v>0.100338</v>
      </c>
      <c r="AO97" s="407">
        <f t="shared" si="73"/>
        <v>1.6620675407133307</v>
      </c>
      <c r="AP97">
        <f t="shared" si="74"/>
        <v>55.44</v>
      </c>
      <c r="AQ97" s="10">
        <f t="shared" si="91"/>
        <v>0.9708930409651404</v>
      </c>
      <c r="AR97" s="63">
        <f t="shared" si="75"/>
        <v>37.579613971622656</v>
      </c>
      <c r="AS97" s="63">
        <f t="shared" si="92"/>
        <v>6.4468522996569906</v>
      </c>
      <c r="AT97" s="10"/>
      <c r="AU97">
        <f t="shared" si="93"/>
        <v>97.089304096514041</v>
      </c>
      <c r="BE97" s="28"/>
      <c r="BF97" s="29"/>
    </row>
    <row r="98" spans="7:58" x14ac:dyDescent="0.2">
      <c r="G98">
        <v>89</v>
      </c>
      <c r="H98">
        <f t="shared" si="55"/>
        <v>4.0049999999999999</v>
      </c>
      <c r="I98" s="406">
        <f t="shared" si="76"/>
        <v>0.47075869064511383</v>
      </c>
      <c r="J98" s="407">
        <f t="shared" si="56"/>
        <v>3.3363479138562284</v>
      </c>
      <c r="K98" s="407">
        <f t="shared" si="77"/>
        <v>5.6731739569281139</v>
      </c>
      <c r="L98" s="407">
        <f t="shared" si="78"/>
        <v>2.3368260430718859</v>
      </c>
      <c r="M98" s="63">
        <f t="shared" si="57"/>
        <v>0</v>
      </c>
      <c r="N98" s="406">
        <f t="shared" si="58"/>
        <v>4.1191778852328129</v>
      </c>
      <c r="O98" s="406">
        <f t="shared" si="79"/>
        <v>1.4949368609445225E-2</v>
      </c>
      <c r="P98">
        <f t="shared" si="59"/>
        <v>0.2</v>
      </c>
      <c r="Q98" s="406">
        <f t="shared" si="80"/>
        <v>0.21494936860944525</v>
      </c>
      <c r="R98" s="9">
        <f t="shared" si="87"/>
        <v>0.96312068308756993</v>
      </c>
      <c r="S98" s="9">
        <f t="shared" si="81"/>
        <v>2.5972840605349885E-4</v>
      </c>
      <c r="T98" s="9">
        <f t="shared" si="88"/>
        <v>2.5972840605349885E-4</v>
      </c>
      <c r="U98" s="406">
        <f t="shared" si="60"/>
        <v>2.8262444358277556</v>
      </c>
      <c r="V98" s="408">
        <f t="shared" si="82"/>
        <v>7.9876576110473486E-3</v>
      </c>
      <c r="W98" s="406">
        <f t="shared" si="89"/>
        <v>7.9876576110473486E-3</v>
      </c>
      <c r="X98" s="406">
        <f t="shared" si="61"/>
        <v>2.8262444358277556</v>
      </c>
      <c r="Y98" s="406">
        <f t="shared" si="83"/>
        <v>0.41535819577446215</v>
      </c>
      <c r="Z98" s="406">
        <f t="shared" si="62"/>
        <v>9.4016307371056498E-2</v>
      </c>
      <c r="AA98" s="406">
        <f t="shared" si="63"/>
        <v>0.1228566</v>
      </c>
      <c r="AB98" s="406">
        <f t="shared" si="64"/>
        <v>0</v>
      </c>
      <c r="AC98" s="406">
        <f t="shared" si="65"/>
        <v>0.69581372884754655</v>
      </c>
      <c r="AD98" s="406">
        <f t="shared" si="66"/>
        <v>2.9966596134936183</v>
      </c>
      <c r="AE98" s="406">
        <f t="shared" si="84"/>
        <v>8.9799688391437218E-2</v>
      </c>
      <c r="AF98" s="406">
        <f t="shared" si="67"/>
        <v>7.1801639999999986E-2</v>
      </c>
      <c r="AG98" s="406">
        <f t="shared" si="68"/>
        <v>0.16395705518588036</v>
      </c>
      <c r="AH98" s="406">
        <f t="shared" si="69"/>
        <v>0</v>
      </c>
      <c r="AI98">
        <f t="shared" si="70"/>
        <v>0</v>
      </c>
      <c r="AJ98" s="407">
        <f t="shared" si="71"/>
        <v>0.49454288400000002</v>
      </c>
      <c r="AK98">
        <f t="shared" si="85"/>
        <v>0.06</v>
      </c>
      <c r="AL98" s="407">
        <f t="shared" si="72"/>
        <v>4.0337999999999999E-2</v>
      </c>
      <c r="AM98" s="407">
        <f t="shared" si="86"/>
        <v>0.13814789189189189</v>
      </c>
      <c r="AN98" s="407">
        <f t="shared" si="90"/>
        <v>0.100338</v>
      </c>
      <c r="AO98" s="407">
        <f t="shared" si="73"/>
        <v>1.6778484226599732</v>
      </c>
      <c r="AP98">
        <f t="shared" si="74"/>
        <v>56.07</v>
      </c>
      <c r="AQ98" s="10">
        <f t="shared" si="91"/>
        <v>0.97094526517456203</v>
      </c>
      <c r="AR98" s="63">
        <f t="shared" si="75"/>
        <v>38.269755086615064</v>
      </c>
      <c r="AS98" s="63">
        <f t="shared" si="92"/>
        <v>6.5582822074352141</v>
      </c>
      <c r="AT98" s="10"/>
      <c r="AU98">
        <f t="shared" si="93"/>
        <v>97.094526517456202</v>
      </c>
      <c r="BE98" s="28"/>
      <c r="BF98" s="29"/>
    </row>
    <row r="99" spans="7:58" x14ac:dyDescent="0.2">
      <c r="G99">
        <v>90</v>
      </c>
      <c r="H99">
        <f t="shared" si="55"/>
        <v>4.05</v>
      </c>
      <c r="I99" s="406">
        <f t="shared" si="76"/>
        <v>0.47080493062330075</v>
      </c>
      <c r="J99" s="407">
        <f t="shared" si="56"/>
        <v>3.3366756245450087</v>
      </c>
      <c r="K99" s="407">
        <f t="shared" si="77"/>
        <v>5.7183378122725044</v>
      </c>
      <c r="L99" s="407">
        <f t="shared" si="78"/>
        <v>2.3816621877274953</v>
      </c>
      <c r="M99" s="63">
        <f t="shared" si="57"/>
        <v>0</v>
      </c>
      <c r="N99" s="406">
        <f t="shared" si="58"/>
        <v>4.1629657319375175</v>
      </c>
      <c r="O99" s="406">
        <f t="shared" si="79"/>
        <v>1.5269278956945694E-2</v>
      </c>
      <c r="P99">
        <f t="shared" si="59"/>
        <v>0.2</v>
      </c>
      <c r="Q99" s="406">
        <f t="shared" si="80"/>
        <v>0.2152692789569457</v>
      </c>
      <c r="R99" s="9">
        <f t="shared" si="87"/>
        <v>0.96321528501476172</v>
      </c>
      <c r="S99" s="9">
        <f t="shared" si="81"/>
        <v>2.5977943188009925E-4</v>
      </c>
      <c r="T99" s="9">
        <f t="shared" si="88"/>
        <v>2.5977943188009925E-4</v>
      </c>
      <c r="U99" s="406">
        <f t="shared" si="60"/>
        <v>2.8564283656575795</v>
      </c>
      <c r="V99" s="408">
        <f t="shared" si="82"/>
        <v>8.1591830081332323E-3</v>
      </c>
      <c r="W99" s="406">
        <f t="shared" si="89"/>
        <v>8.1591830081332323E-3</v>
      </c>
      <c r="X99" s="406">
        <f t="shared" si="61"/>
        <v>2.8564283656575795</v>
      </c>
      <c r="Y99" s="406">
        <f t="shared" si="83"/>
        <v>0.42427751642292799</v>
      </c>
      <c r="Z99" s="406">
        <f t="shared" si="62"/>
        <v>9.5273691741123587E-2</v>
      </c>
      <c r="AA99" s="406">
        <f t="shared" si="63"/>
        <v>0.1228566</v>
      </c>
      <c r="AB99" s="406">
        <f t="shared" si="64"/>
        <v>0</v>
      </c>
      <c r="AC99" s="406">
        <f t="shared" si="65"/>
        <v>0.7085440569731899</v>
      </c>
      <c r="AD99" s="406">
        <f t="shared" si="66"/>
        <v>3.0283825183012865</v>
      </c>
      <c r="AE99" s="406">
        <f t="shared" si="84"/>
        <v>9.1711006771528422E-2</v>
      </c>
      <c r="AF99" s="406">
        <f t="shared" si="67"/>
        <v>7.2608399999999976E-2</v>
      </c>
      <c r="AG99" s="406">
        <f t="shared" si="68"/>
        <v>0.16676649852764566</v>
      </c>
      <c r="AH99" s="406">
        <f t="shared" si="69"/>
        <v>0</v>
      </c>
      <c r="AI99">
        <f t="shared" si="70"/>
        <v>0</v>
      </c>
      <c r="AJ99" s="407">
        <f t="shared" si="71"/>
        <v>0.49450404000000003</v>
      </c>
      <c r="AK99">
        <f t="shared" si="85"/>
        <v>0.06</v>
      </c>
      <c r="AL99" s="407">
        <f t="shared" si="72"/>
        <v>4.0337999999999999E-2</v>
      </c>
      <c r="AM99" s="407">
        <f t="shared" si="86"/>
        <v>0.13814789189189189</v>
      </c>
      <c r="AN99" s="407">
        <f t="shared" si="90"/>
        <v>0.100338</v>
      </c>
      <c r="AO99" s="407">
        <f t="shared" si="73"/>
        <v>1.6938408368977946</v>
      </c>
      <c r="AP99">
        <f t="shared" si="74"/>
        <v>56.699999999999996</v>
      </c>
      <c r="AQ99" s="10">
        <f t="shared" si="91"/>
        <v>0.97099281683441707</v>
      </c>
      <c r="AR99" s="63">
        <f t="shared" si="75"/>
        <v>38.969923133525441</v>
      </c>
      <c r="AS99" s="63">
        <f t="shared" si="92"/>
        <v>6.6706599411058267</v>
      </c>
      <c r="AT99" s="10"/>
      <c r="AU99">
        <f t="shared" si="93"/>
        <v>97.099281683441703</v>
      </c>
      <c r="BE99" s="28"/>
      <c r="BF99" s="29"/>
    </row>
    <row r="100" spans="7:58" x14ac:dyDescent="0.2">
      <c r="G100">
        <v>91</v>
      </c>
      <c r="H100">
        <f t="shared" si="55"/>
        <v>4.0949999999999998</v>
      </c>
      <c r="I100" s="406">
        <f t="shared" si="76"/>
        <v>0.47085117646131947</v>
      </c>
      <c r="J100" s="407">
        <f t="shared" si="56"/>
        <v>3.3370033767634264</v>
      </c>
      <c r="K100" s="407">
        <f t="shared" si="77"/>
        <v>5.7635016883817132</v>
      </c>
      <c r="L100" s="407">
        <f t="shared" si="78"/>
        <v>2.4264983116182863</v>
      </c>
      <c r="M100" s="63">
        <f t="shared" si="57"/>
        <v>0</v>
      </c>
      <c r="N100" s="406">
        <f t="shared" si="58"/>
        <v>4.2067791671749948</v>
      </c>
      <c r="O100" s="406">
        <f t="shared" si="79"/>
        <v>1.5592778592443892E-2</v>
      </c>
      <c r="P100">
        <f t="shared" si="59"/>
        <v>0.2</v>
      </c>
      <c r="Q100" s="406">
        <f t="shared" si="80"/>
        <v>0.21559277859244391</v>
      </c>
      <c r="R100" s="9">
        <f t="shared" si="87"/>
        <v>0.96330989893052721</v>
      </c>
      <c r="S100" s="9">
        <f t="shared" si="81"/>
        <v>2.5983046918571194E-4</v>
      </c>
      <c r="T100" s="9">
        <f t="shared" si="88"/>
        <v>2.5983046918571194E-4</v>
      </c>
      <c r="U100" s="406">
        <f t="shared" si="60"/>
        <v>2.8866328159275736</v>
      </c>
      <c r="V100" s="408">
        <f t="shared" si="82"/>
        <v>8.3326490139899526E-3</v>
      </c>
      <c r="W100" s="406">
        <f t="shared" si="89"/>
        <v>8.3326490139899526E-3</v>
      </c>
      <c r="X100" s="406">
        <f t="shared" si="61"/>
        <v>2.8866328159275736</v>
      </c>
      <c r="Y100" s="406">
        <f t="shared" si="83"/>
        <v>0.43329774872747751</v>
      </c>
      <c r="Z100" s="406">
        <f t="shared" si="62"/>
        <v>9.6531075886527262E-2</v>
      </c>
      <c r="AA100" s="406">
        <f t="shared" si="63"/>
        <v>0.1228566</v>
      </c>
      <c r="AB100" s="406">
        <f t="shared" si="64"/>
        <v>0</v>
      </c>
      <c r="AC100" s="406">
        <f t="shared" si="65"/>
        <v>0.72145885400696397</v>
      </c>
      <c r="AD100" s="406">
        <f t="shared" si="66"/>
        <v>3.0601212308318098</v>
      </c>
      <c r="AE100" s="406">
        <f t="shared" si="84"/>
        <v>9.3643419473875902E-2</v>
      </c>
      <c r="AF100" s="406">
        <f t="shared" si="67"/>
        <v>7.3415159999999979E-2</v>
      </c>
      <c r="AG100" s="406">
        <f t="shared" si="68"/>
        <v>0.16959968254835781</v>
      </c>
      <c r="AH100" s="406">
        <f t="shared" si="69"/>
        <v>0</v>
      </c>
      <c r="AI100">
        <f t="shared" si="70"/>
        <v>0</v>
      </c>
      <c r="AJ100" s="407">
        <f t="shared" si="71"/>
        <v>0.494465196</v>
      </c>
      <c r="AK100">
        <f t="shared" si="85"/>
        <v>0.06</v>
      </c>
      <c r="AL100" s="407">
        <f t="shared" si="72"/>
        <v>4.0337999999999999E-2</v>
      </c>
      <c r="AM100" s="407">
        <f t="shared" si="86"/>
        <v>0.13814789189189189</v>
      </c>
      <c r="AN100" s="407">
        <f t="shared" si="90"/>
        <v>0.100338</v>
      </c>
      <c r="AO100" s="407">
        <f t="shared" si="73"/>
        <v>1.7100469906309415</v>
      </c>
      <c r="AP100">
        <f t="shared" si="74"/>
        <v>57.33</v>
      </c>
      <c r="AQ100" s="10">
        <f t="shared" si="91"/>
        <v>0.97103581250702065</v>
      </c>
      <c r="AR100" s="63">
        <f t="shared" si="75"/>
        <v>39.680236970383021</v>
      </c>
      <c r="AS100" s="63">
        <f t="shared" si="92"/>
        <v>6.783987301934312</v>
      </c>
      <c r="AT100" s="10"/>
      <c r="AU100">
        <f t="shared" si="93"/>
        <v>97.103581250702064</v>
      </c>
      <c r="BE100" s="28"/>
      <c r="BF100" s="29"/>
    </row>
    <row r="101" spans="7:58" x14ac:dyDescent="0.2">
      <c r="G101">
        <v>92</v>
      </c>
      <c r="H101">
        <f t="shared" si="55"/>
        <v>4.1400000000000006</v>
      </c>
      <c r="I101" s="406">
        <f t="shared" si="76"/>
        <v>0.47089742816028368</v>
      </c>
      <c r="J101" s="407">
        <f t="shared" si="56"/>
        <v>3.337331170519374</v>
      </c>
      <c r="K101" s="407">
        <f t="shared" si="77"/>
        <v>5.8086655852596873</v>
      </c>
      <c r="L101" s="407">
        <f t="shared" si="78"/>
        <v>2.4713344147403138</v>
      </c>
      <c r="M101" s="63">
        <f t="shared" si="57"/>
        <v>0</v>
      </c>
      <c r="N101" s="406">
        <f t="shared" si="58"/>
        <v>4.2506173996816852</v>
      </c>
      <c r="O101" s="406">
        <f t="shared" si="79"/>
        <v>1.5919868071352851E-2</v>
      </c>
      <c r="P101">
        <f t="shared" si="59"/>
        <v>0.2</v>
      </c>
      <c r="Q101" s="406">
        <f t="shared" si="80"/>
        <v>0.21591986807135286</v>
      </c>
      <c r="R101" s="9">
        <f t="shared" si="87"/>
        <v>0.96340452483714478</v>
      </c>
      <c r="S101" s="9">
        <f t="shared" si="81"/>
        <v>2.5988151797347173E-4</v>
      </c>
      <c r="T101" s="9">
        <f t="shared" si="88"/>
        <v>2.5988151797347173E-4</v>
      </c>
      <c r="U101" s="406">
        <f t="shared" si="60"/>
        <v>2.9168572465895664</v>
      </c>
      <c r="V101" s="408">
        <f t="shared" si="82"/>
        <v>8.508056196982066E-3</v>
      </c>
      <c r="W101" s="406">
        <f t="shared" si="89"/>
        <v>8.508056196982066E-3</v>
      </c>
      <c r="X101" s="406">
        <f t="shared" si="61"/>
        <v>2.9168572465895664</v>
      </c>
      <c r="Y101" s="406">
        <f t="shared" si="83"/>
        <v>0.44241892224306739</v>
      </c>
      <c r="Z101" s="406">
        <f t="shared" si="62"/>
        <v>9.7788459807224865E-2</v>
      </c>
      <c r="AA101" s="406">
        <f t="shared" si="63"/>
        <v>0.1228566</v>
      </c>
      <c r="AB101" s="406">
        <f t="shared" si="64"/>
        <v>0</v>
      </c>
      <c r="AC101" s="406">
        <f t="shared" si="65"/>
        <v>0.73456032750177969</v>
      </c>
      <c r="AD101" s="406">
        <f t="shared" si="66"/>
        <v>3.0918751723662172</v>
      </c>
      <c r="AE101" s="406">
        <f t="shared" si="84"/>
        <v>9.5596920814946265E-2</v>
      </c>
      <c r="AF101" s="406">
        <f t="shared" si="67"/>
        <v>7.4221919999999997E-2</v>
      </c>
      <c r="AG101" s="406">
        <f t="shared" si="68"/>
        <v>0.17245665281221018</v>
      </c>
      <c r="AH101" s="406">
        <f t="shared" si="69"/>
        <v>0</v>
      </c>
      <c r="AI101">
        <f t="shared" si="70"/>
        <v>0</v>
      </c>
      <c r="AJ101" s="407">
        <f t="shared" si="71"/>
        <v>0.49442635200000001</v>
      </c>
      <c r="AK101">
        <f t="shared" si="85"/>
        <v>0.06</v>
      </c>
      <c r="AL101" s="407">
        <f t="shared" si="72"/>
        <v>4.0337999999999999E-2</v>
      </c>
      <c r="AM101" s="407">
        <f t="shared" si="86"/>
        <v>0.13814789189189189</v>
      </c>
      <c r="AN101" s="407">
        <f t="shared" si="90"/>
        <v>0.100338</v>
      </c>
      <c r="AO101" s="407">
        <f t="shared" si="73"/>
        <v>1.7264691381002983</v>
      </c>
      <c r="AP101">
        <f t="shared" si="74"/>
        <v>57.960000000000008</v>
      </c>
      <c r="AQ101" s="10">
        <f t="shared" si="91"/>
        <v>0.97107436303351002</v>
      </c>
      <c r="AR101" s="63">
        <f t="shared" si="75"/>
        <v>40.400818012597881</v>
      </c>
      <c r="AS101" s="63">
        <f t="shared" si="92"/>
        <v>6.8982661124884075</v>
      </c>
      <c r="AT101" s="10"/>
      <c r="AU101">
        <f t="shared" si="93"/>
        <v>97.107436303351008</v>
      </c>
      <c r="BE101" s="28"/>
      <c r="BF101" s="29"/>
    </row>
    <row r="102" spans="7:58" x14ac:dyDescent="0.2">
      <c r="G102">
        <v>93</v>
      </c>
      <c r="H102">
        <f t="shared" si="55"/>
        <v>4.1850000000000005</v>
      </c>
      <c r="I102" s="406">
        <f t="shared" si="76"/>
        <v>0.47094368572130779</v>
      </c>
      <c r="J102" s="407">
        <f t="shared" si="56"/>
        <v>3.3376590058207496</v>
      </c>
      <c r="K102" s="407">
        <f t="shared" si="77"/>
        <v>5.8538295029103757</v>
      </c>
      <c r="L102" s="407">
        <f t="shared" si="78"/>
        <v>2.5161704970896257</v>
      </c>
      <c r="M102" s="63">
        <f t="shared" si="57"/>
        <v>0</v>
      </c>
      <c r="N102" s="406">
        <f t="shared" si="58"/>
        <v>4.2944796700641978</v>
      </c>
      <c r="O102" s="406">
        <f t="shared" si="79"/>
        <v>1.6250547955292599E-2</v>
      </c>
      <c r="P102">
        <f t="shared" si="59"/>
        <v>0.2</v>
      </c>
      <c r="Q102" s="406">
        <f t="shared" si="80"/>
        <v>0.21625054795529261</v>
      </c>
      <c r="R102" s="9">
        <f t="shared" si="87"/>
        <v>0.96349916273689429</v>
      </c>
      <c r="S102" s="9">
        <f t="shared" si="81"/>
        <v>2.5993257824651501E-4</v>
      </c>
      <c r="T102" s="9">
        <f t="shared" si="88"/>
        <v>2.5993257824651501E-4</v>
      </c>
      <c r="U102" s="406">
        <f t="shared" si="60"/>
        <v>2.9471011393602002</v>
      </c>
      <c r="V102" s="408">
        <f t="shared" si="82"/>
        <v>8.6854051256181914E-3</v>
      </c>
      <c r="W102" s="406">
        <f t="shared" si="89"/>
        <v>8.6854051256181914E-3</v>
      </c>
      <c r="X102" s="406">
        <f t="shared" si="61"/>
        <v>2.9471011393602002</v>
      </c>
      <c r="Y102" s="406">
        <f t="shared" si="83"/>
        <v>0.45164106653214592</v>
      </c>
      <c r="Z102" s="406">
        <f t="shared" si="62"/>
        <v>9.9045843503173664E-2</v>
      </c>
      <c r="AA102" s="406">
        <f t="shared" si="63"/>
        <v>0.1228566</v>
      </c>
      <c r="AB102" s="406">
        <f t="shared" si="64"/>
        <v>0</v>
      </c>
      <c r="AC102" s="406">
        <f t="shared" si="65"/>
        <v>0.74785073257840184</v>
      </c>
      <c r="AD102" s="406">
        <f t="shared" si="66"/>
        <v>3.1236437874662517</v>
      </c>
      <c r="AE102" s="406">
        <f t="shared" si="84"/>
        <v>9.7571505109765103E-2</v>
      </c>
      <c r="AF102" s="406">
        <f t="shared" si="67"/>
        <v>7.5028679999999986E-2</v>
      </c>
      <c r="AG102" s="406">
        <f t="shared" si="68"/>
        <v>0.17533745541812717</v>
      </c>
      <c r="AH102" s="406">
        <f t="shared" si="69"/>
        <v>0</v>
      </c>
      <c r="AI102">
        <f t="shared" si="70"/>
        <v>0</v>
      </c>
      <c r="AJ102" s="407">
        <f t="shared" si="71"/>
        <v>0.49438750799999998</v>
      </c>
      <c r="AK102">
        <f t="shared" si="85"/>
        <v>0.06</v>
      </c>
      <c r="AL102" s="407">
        <f t="shared" si="72"/>
        <v>4.0337999999999999E-2</v>
      </c>
      <c r="AM102" s="407">
        <f t="shared" si="86"/>
        <v>0.13814789189189189</v>
      </c>
      <c r="AN102" s="407">
        <f t="shared" si="90"/>
        <v>0.100338</v>
      </c>
      <c r="AO102" s="407">
        <f t="shared" si="73"/>
        <v>1.7431095816556865</v>
      </c>
      <c r="AP102">
        <f t="shared" si="74"/>
        <v>58.59</v>
      </c>
      <c r="AQ102" s="10">
        <f t="shared" si="91"/>
        <v>0.97110857382053983</v>
      </c>
      <c r="AR102" s="63">
        <f t="shared" si="75"/>
        <v>41.131790291812102</v>
      </c>
      <c r="AS102" s="63">
        <f t="shared" si="92"/>
        <v>7.013498216725087</v>
      </c>
      <c r="AT102" s="10"/>
      <c r="AU102">
        <f t="shared" si="93"/>
        <v>97.110857382053979</v>
      </c>
      <c r="BE102" s="28"/>
      <c r="BF102" s="29"/>
    </row>
    <row r="103" spans="7:58" x14ac:dyDescent="0.2">
      <c r="G103">
        <v>94</v>
      </c>
      <c r="H103">
        <f t="shared" si="55"/>
        <v>4.2299999999999995</v>
      </c>
      <c r="I103" s="406">
        <f t="shared" si="76"/>
        <v>0.47098994914550629</v>
      </c>
      <c r="J103" s="407">
        <f t="shared" si="56"/>
        <v>3.3379868826754522</v>
      </c>
      <c r="K103" s="407">
        <f t="shared" si="77"/>
        <v>5.8989934413377254</v>
      </c>
      <c r="L103" s="407">
        <f t="shared" si="78"/>
        <v>2.5610065586622737</v>
      </c>
      <c r="M103" s="63">
        <f t="shared" si="57"/>
        <v>0</v>
      </c>
      <c r="N103" s="406">
        <f t="shared" si="58"/>
        <v>4.3383652492318783</v>
      </c>
      <c r="O103" s="406">
        <f t="shared" si="79"/>
        <v>1.6584818812092613E-2</v>
      </c>
      <c r="P103">
        <f t="shared" si="59"/>
        <v>0.2</v>
      </c>
      <c r="Q103" s="406">
        <f t="shared" si="80"/>
        <v>0.21658481881209263</v>
      </c>
      <c r="R103" s="9">
        <f t="shared" si="87"/>
        <v>0.96359381263205612</v>
      </c>
      <c r="S103" s="9">
        <f t="shared" si="81"/>
        <v>2.5998365000797901E-4</v>
      </c>
      <c r="T103" s="9">
        <f t="shared" si="88"/>
        <v>2.5998365000797901E-4</v>
      </c>
      <c r="U103" s="406">
        <f t="shared" si="60"/>
        <v>2.9773639966505709</v>
      </c>
      <c r="V103" s="408">
        <f t="shared" si="82"/>
        <v>8.8646963685510612E-3</v>
      </c>
      <c r="W103" s="406">
        <f t="shared" si="89"/>
        <v>8.8646963685510612E-3</v>
      </c>
      <c r="X103" s="406">
        <f t="shared" si="61"/>
        <v>2.9773639966505709</v>
      </c>
      <c r="Y103" s="406">
        <f t="shared" si="83"/>
        <v>0.46096421116465514</v>
      </c>
      <c r="Z103" s="406">
        <f t="shared" si="62"/>
        <v>0.10030322697433085</v>
      </c>
      <c r="AA103" s="406">
        <f t="shared" si="63"/>
        <v>0.1228566</v>
      </c>
      <c r="AB103" s="406">
        <f t="shared" si="64"/>
        <v>0</v>
      </c>
      <c r="AC103" s="406">
        <f t="shared" si="65"/>
        <v>0.76133237302768686</v>
      </c>
      <c r="AD103" s="406">
        <f t="shared" si="66"/>
        <v>3.155426542829308</v>
      </c>
      <c r="AE103" s="406">
        <f t="shared" si="84"/>
        <v>9.9567166671917187E-2</v>
      </c>
      <c r="AF103" s="406">
        <f t="shared" si="67"/>
        <v>7.5835439999999976E-2</v>
      </c>
      <c r="AG103" s="406">
        <f t="shared" si="68"/>
        <v>0.17824213700197056</v>
      </c>
      <c r="AH103" s="406">
        <f t="shared" si="69"/>
        <v>0</v>
      </c>
      <c r="AI103">
        <f t="shared" si="70"/>
        <v>0</v>
      </c>
      <c r="AJ103" s="407">
        <f t="shared" si="71"/>
        <v>0.49434866399999999</v>
      </c>
      <c r="AK103">
        <f t="shared" si="85"/>
        <v>0.06</v>
      </c>
      <c r="AL103" s="407">
        <f t="shared" si="72"/>
        <v>4.0337999999999999E-2</v>
      </c>
      <c r="AM103" s="407">
        <f t="shared" si="86"/>
        <v>0.13814789189189189</v>
      </c>
      <c r="AN103" s="407">
        <f t="shared" si="90"/>
        <v>0.100338</v>
      </c>
      <c r="AO103" s="407">
        <f t="shared" si="73"/>
        <v>1.7599706728603091</v>
      </c>
      <c r="AP103">
        <f t="shared" si="74"/>
        <v>59.219999999999992</v>
      </c>
      <c r="AQ103" s="10">
        <f t="shared" si="91"/>
        <v>0.97113854510849074</v>
      </c>
      <c r="AR103" s="63">
        <f t="shared" si="75"/>
        <v>41.873280516522776</v>
      </c>
      <c r="AS103" s="63">
        <f t="shared" si="92"/>
        <v>7.1296854800788223</v>
      </c>
      <c r="AT103" s="10"/>
      <c r="AU103">
        <f t="shared" si="93"/>
        <v>97.11385451084908</v>
      </c>
      <c r="BE103" s="28"/>
      <c r="BF103" s="29"/>
    </row>
    <row r="104" spans="7:58" x14ac:dyDescent="0.2">
      <c r="G104">
        <v>95</v>
      </c>
      <c r="H104">
        <f t="shared" si="55"/>
        <v>4.2749999999999995</v>
      </c>
      <c r="I104" s="406">
        <f t="shared" si="76"/>
        <v>0.47103621843399412</v>
      </c>
      <c r="J104" s="407">
        <f t="shared" si="56"/>
        <v>3.338314801091383</v>
      </c>
      <c r="K104" s="407">
        <f t="shared" si="77"/>
        <v>5.9441574005456914</v>
      </c>
      <c r="L104" s="407">
        <f t="shared" si="78"/>
        <v>2.605842599454308</v>
      </c>
      <c r="M104" s="63">
        <f t="shared" si="57"/>
        <v>0</v>
      </c>
      <c r="N104" s="406">
        <f t="shared" si="58"/>
        <v>4.382273436919716</v>
      </c>
      <c r="O104" s="406">
        <f t="shared" si="79"/>
        <v>1.6922681215794246E-2</v>
      </c>
      <c r="P104">
        <f t="shared" si="59"/>
        <v>0.2</v>
      </c>
      <c r="Q104" s="406">
        <f t="shared" si="80"/>
        <v>0.21692268121579425</v>
      </c>
      <c r="R104" s="9">
        <f t="shared" si="87"/>
        <v>0.96368847452491102</v>
      </c>
      <c r="S104" s="9">
        <f t="shared" si="81"/>
        <v>2.6003473326100207E-4</v>
      </c>
      <c r="T104" s="9">
        <f t="shared" si="88"/>
        <v>2.6003473326100207E-4</v>
      </c>
      <c r="U104" s="406">
        <f t="shared" si="60"/>
        <v>3.0076453405575596</v>
      </c>
      <c r="V104" s="408">
        <f t="shared" si="82"/>
        <v>9.0459304945775983E-3</v>
      </c>
      <c r="W104" s="406">
        <f t="shared" si="89"/>
        <v>9.0459304945775983E-3</v>
      </c>
      <c r="X104" s="406">
        <f t="shared" si="61"/>
        <v>3.0076453405575596</v>
      </c>
      <c r="Y104" s="406">
        <f t="shared" si="83"/>
        <v>0.4703883857180351</v>
      </c>
      <c r="Z104" s="406">
        <f t="shared" si="62"/>
        <v>0.1015606102206538</v>
      </c>
      <c r="AA104" s="406">
        <f t="shared" si="63"/>
        <v>0.1228566</v>
      </c>
      <c r="AB104" s="406">
        <f t="shared" si="64"/>
        <v>0</v>
      </c>
      <c r="AC104" s="406">
        <f t="shared" si="65"/>
        <v>0.7750076024461342</v>
      </c>
      <c r="AD104" s="406">
        <f t="shared" si="66"/>
        <v>3.1872229262093579</v>
      </c>
      <c r="AE104" s="406">
        <f t="shared" si="84"/>
        <v>0.10158389981354543</v>
      </c>
      <c r="AF104" s="406">
        <f t="shared" si="67"/>
        <v>7.664219999999998E-2</v>
      </c>
      <c r="AG104" s="406">
        <f t="shared" si="68"/>
        <v>0.1811707447387757</v>
      </c>
      <c r="AH104" s="406">
        <f t="shared" si="69"/>
        <v>0</v>
      </c>
      <c r="AI104">
        <f t="shared" si="70"/>
        <v>0</v>
      </c>
      <c r="AJ104" s="407">
        <f t="shared" si="71"/>
        <v>0.49430982000000001</v>
      </c>
      <c r="AK104">
        <f t="shared" si="85"/>
        <v>0.06</v>
      </c>
      <c r="AL104" s="407">
        <f t="shared" si="72"/>
        <v>4.0337999999999999E-2</v>
      </c>
      <c r="AM104" s="407">
        <f t="shared" si="86"/>
        <v>0.13814789189189189</v>
      </c>
      <c r="AN104" s="407">
        <f t="shared" si="90"/>
        <v>0.100338</v>
      </c>
      <c r="AO104" s="407">
        <f t="shared" si="73"/>
        <v>1.7770548136285427</v>
      </c>
      <c r="AP104">
        <f t="shared" si="74"/>
        <v>59.849999999999994</v>
      </c>
      <c r="AQ104" s="10">
        <f t="shared" si="91"/>
        <v>0.97116437222251362</v>
      </c>
      <c r="AR104" s="63">
        <f t="shared" si="75"/>
        <v>42.625418134537384</v>
      </c>
      <c r="AS104" s="63">
        <f t="shared" si="92"/>
        <v>7.2468297895510281</v>
      </c>
      <c r="AT104" s="10"/>
      <c r="AU104">
        <f t="shared" si="93"/>
        <v>97.116437222251363</v>
      </c>
      <c r="BE104" s="28"/>
      <c r="BF104" s="29"/>
    </row>
    <row r="105" spans="7:58" x14ac:dyDescent="0.2">
      <c r="G105">
        <v>96</v>
      </c>
      <c r="H105">
        <f t="shared" si="55"/>
        <v>4.32</v>
      </c>
      <c r="I105" s="406">
        <f t="shared" si="76"/>
        <v>0.47108249358788623</v>
      </c>
      <c r="J105" s="407">
        <f t="shared" si="56"/>
        <v>3.3386427610764438</v>
      </c>
      <c r="K105" s="407">
        <f t="shared" si="77"/>
        <v>5.9893213805382217</v>
      </c>
      <c r="L105" s="407">
        <f t="shared" si="78"/>
        <v>2.6506786194617784</v>
      </c>
      <c r="M105" s="63">
        <f t="shared" si="57"/>
        <v>0</v>
      </c>
      <c r="N105" s="406">
        <f t="shared" si="58"/>
        <v>4.4262035602956642</v>
      </c>
      <c r="O105" s="406">
        <f t="shared" si="79"/>
        <v>1.7264135746653191E-2</v>
      </c>
      <c r="P105">
        <f t="shared" si="59"/>
        <v>0.2</v>
      </c>
      <c r="Q105" s="406">
        <f t="shared" si="80"/>
        <v>0.21726413574665321</v>
      </c>
      <c r="R105" s="9">
        <f t="shared" si="87"/>
        <v>0.96378314841774015</v>
      </c>
      <c r="S105" s="9">
        <f t="shared" si="81"/>
        <v>2.6008582800872334E-4</v>
      </c>
      <c r="T105" s="9">
        <f t="shared" si="88"/>
        <v>2.6008582800872334E-4</v>
      </c>
      <c r="U105" s="406">
        <f t="shared" si="60"/>
        <v>3.0379447119127967</v>
      </c>
      <c r="V105" s="408">
        <f t="shared" si="82"/>
        <v>9.2291080726389259E-3</v>
      </c>
      <c r="W105" s="406">
        <f t="shared" si="89"/>
        <v>9.2291080726389259E-3</v>
      </c>
      <c r="X105" s="406">
        <f t="shared" si="61"/>
        <v>3.0379447119127967</v>
      </c>
      <c r="Y105" s="406">
        <f t="shared" si="83"/>
        <v>0.47991361977722413</v>
      </c>
      <c r="Z105" s="406">
        <f t="shared" si="62"/>
        <v>0.10281799324209971</v>
      </c>
      <c r="AA105" s="406">
        <f t="shared" si="63"/>
        <v>0.1228566</v>
      </c>
      <c r="AB105" s="406">
        <f t="shared" si="64"/>
        <v>0</v>
      </c>
      <c r="AC105" s="406">
        <f t="shared" ref="AC105:AC109" si="94">(AB105+AA105+Z105+Y105*(1+RdsonTopTc*Ta-RdsonTopTc*25))/(1-Y105*RdsonTopTc*ThetaJaTop)</f>
        <v>0.78887882540587417</v>
      </c>
      <c r="AD105" s="406">
        <f t="shared" si="66"/>
        <v>3.2190324453995629</v>
      </c>
      <c r="AE105" s="406">
        <f t="shared" si="84"/>
        <v>0.1036216988453509</v>
      </c>
      <c r="AF105" s="406">
        <f t="shared" si="67"/>
        <v>7.7448959999999983E-2</v>
      </c>
      <c r="AG105" s="406">
        <f t="shared" ref="AG105:AG109" si="95">(AF105+AE105*(1+RdsonBotTc*Ta-RdsonBotTc*25))/(1-AE105*RdsonBotTc*ThetaJaBot)</f>
        <v>0.18412332634501935</v>
      </c>
      <c r="AH105" s="406">
        <f t="shared" si="69"/>
        <v>0</v>
      </c>
      <c r="AI105">
        <f t="shared" si="70"/>
        <v>0</v>
      </c>
      <c r="AJ105" s="407">
        <f t="shared" si="71"/>
        <v>0.49427097599999997</v>
      </c>
      <c r="AK105">
        <f t="shared" si="85"/>
        <v>0.06</v>
      </c>
      <c r="AL105" s="407">
        <f t="shared" si="72"/>
        <v>4.0337999999999999E-2</v>
      </c>
      <c r="AM105" s="407">
        <f t="shared" si="86"/>
        <v>0.13814789189189189</v>
      </c>
      <c r="AN105" s="407">
        <f t="shared" si="90"/>
        <v>0.100338</v>
      </c>
      <c r="AO105" s="407">
        <f t="shared" ref="AO105:AO109" si="96">SUM(Q105,T105,W105,AC105,AJ105,AI105,AG105,AN105, AH105)</f>
        <v>1.7943644573981943</v>
      </c>
      <c r="AP105">
        <f t="shared" si="74"/>
        <v>60.480000000000004</v>
      </c>
      <c r="AQ105" s="10">
        <f t="shared" si="91"/>
        <v>0.97118614580762652</v>
      </c>
      <c r="AR105" s="63">
        <f t="shared" si="75"/>
        <v>43.388335397323083</v>
      </c>
      <c r="AS105" s="63">
        <f t="shared" si="92"/>
        <v>7.3649330538007742</v>
      </c>
      <c r="AT105" s="10"/>
      <c r="AU105">
        <f t="shared" si="93"/>
        <v>97.118614580762653</v>
      </c>
      <c r="BE105" s="28"/>
      <c r="BF105" s="29"/>
    </row>
    <row r="106" spans="7:58" x14ac:dyDescent="0.2">
      <c r="G106">
        <v>97</v>
      </c>
      <c r="H106">
        <f t="shared" si="55"/>
        <v>4.3650000000000002</v>
      </c>
      <c r="I106" s="406">
        <f t="shared" si="76"/>
        <v>0.471128774608298</v>
      </c>
      <c r="J106" s="407">
        <f t="shared" si="56"/>
        <v>3.3389707626385401</v>
      </c>
      <c r="K106" s="407">
        <f t="shared" si="77"/>
        <v>6.0344853813192705</v>
      </c>
      <c r="L106" s="407">
        <f t="shared" si="78"/>
        <v>2.6955146186807299</v>
      </c>
      <c r="M106" s="63">
        <f t="shared" si="57"/>
        <v>0</v>
      </c>
      <c r="N106" s="406">
        <f t="shared" si="58"/>
        <v>4.470154972646875</v>
      </c>
      <c r="O106" s="406">
        <f t="shared" si="79"/>
        <v>1.7609182991141926E-2</v>
      </c>
      <c r="P106">
        <f t="shared" si="59"/>
        <v>0.2</v>
      </c>
      <c r="Q106" s="406">
        <f t="shared" si="80"/>
        <v>0.21760918299114193</v>
      </c>
      <c r="R106" s="9">
        <f t="shared" si="87"/>
        <v>0.96387783431282559</v>
      </c>
      <c r="S106" s="9">
        <f t="shared" si="81"/>
        <v>2.6013693425428321E-4</v>
      </c>
      <c r="T106" s="9">
        <f t="shared" si="88"/>
        <v>2.6013693425428321E-4</v>
      </c>
      <c r="U106" s="406">
        <f t="shared" si="60"/>
        <v>3.0682616693855174</v>
      </c>
      <c r="V106" s="408">
        <f t="shared" si="82"/>
        <v>9.4142296718204028E-3</v>
      </c>
      <c r="W106" s="406">
        <f t="shared" si="89"/>
        <v>9.4142296718204028E-3</v>
      </c>
      <c r="X106" s="406">
        <f t="shared" si="61"/>
        <v>3.0682616693855174</v>
      </c>
      <c r="Y106" s="406">
        <f t="shared" si="83"/>
        <v>0.48953994293466091</v>
      </c>
      <c r="Z106" s="406">
        <f t="shared" si="62"/>
        <v>0.10407537603862581</v>
      </c>
      <c r="AA106" s="406">
        <f t="shared" si="63"/>
        <v>0.1228566</v>
      </c>
      <c r="AB106" s="406">
        <f t="shared" si="64"/>
        <v>0</v>
      </c>
      <c r="AC106" s="406">
        <f t="shared" si="94"/>
        <v>0.80294849866028473</v>
      </c>
      <c r="AD106" s="406">
        <f t="shared" si="66"/>
        <v>3.2508546272725241</v>
      </c>
      <c r="AE106" s="406">
        <f t="shared" si="84"/>
        <v>0.10568055807659182</v>
      </c>
      <c r="AF106" s="406">
        <f t="shared" si="67"/>
        <v>7.8255719999999987E-2</v>
      </c>
      <c r="AG106" s="406">
        <f t="shared" si="95"/>
        <v>0.18709993008091863</v>
      </c>
      <c r="AH106" s="406">
        <f t="shared" si="69"/>
        <v>0</v>
      </c>
      <c r="AI106">
        <f t="shared" si="70"/>
        <v>0</v>
      </c>
      <c r="AJ106" s="407">
        <f t="shared" si="71"/>
        <v>0.49423213199999999</v>
      </c>
      <c r="AK106">
        <f t="shared" si="85"/>
        <v>0.06</v>
      </c>
      <c r="AL106" s="407">
        <f t="shared" si="72"/>
        <v>4.0337999999999999E-2</v>
      </c>
      <c r="AM106" s="407">
        <f t="shared" si="86"/>
        <v>0.13814789189189189</v>
      </c>
      <c r="AN106" s="407">
        <f t="shared" si="90"/>
        <v>0.100338</v>
      </c>
      <c r="AO106" s="407">
        <f t="shared" si="96"/>
        <v>1.8119021103384201</v>
      </c>
      <c r="AP106">
        <f t="shared" si="74"/>
        <v>61.11</v>
      </c>
      <c r="AQ106" s="10">
        <f t="shared" si="91"/>
        <v>0.97120395204898424</v>
      </c>
      <c r="AR106" s="63">
        <f t="shared" si="75"/>
        <v>44.162167426315662</v>
      </c>
      <c r="AS106" s="63">
        <f t="shared" si="92"/>
        <v>7.4839972032367452</v>
      </c>
      <c r="AT106" s="10"/>
      <c r="AU106">
        <f t="shared" si="93"/>
        <v>97.120395204898429</v>
      </c>
      <c r="BE106" s="28"/>
      <c r="BF106" s="29"/>
    </row>
    <row r="107" spans="7:58" x14ac:dyDescent="0.2">
      <c r="G107">
        <v>98</v>
      </c>
      <c r="H107">
        <f t="shared" si="55"/>
        <v>4.41</v>
      </c>
      <c r="I107" s="406">
        <f t="shared" si="76"/>
        <v>0.47117506149634508</v>
      </c>
      <c r="J107" s="407">
        <f t="shared" si="56"/>
        <v>3.3392988057855781</v>
      </c>
      <c r="K107" s="407">
        <f t="shared" si="77"/>
        <v>6.0796494028927892</v>
      </c>
      <c r="L107" s="407">
        <f t="shared" si="78"/>
        <v>2.7403505971072111</v>
      </c>
      <c r="M107" s="63">
        <f t="shared" si="57"/>
        <v>0</v>
      </c>
      <c r="N107" s="406">
        <f t="shared" si="58"/>
        <v>4.5141270521397692</v>
      </c>
      <c r="O107" s="406">
        <f t="shared" si="79"/>
        <v>1.7957823541952345E-2</v>
      </c>
      <c r="P107">
        <f t="shared" si="59"/>
        <v>0.2</v>
      </c>
      <c r="Q107" s="406">
        <f t="shared" si="80"/>
        <v>0.21795782354195237</v>
      </c>
      <c r="R107" s="9">
        <f t="shared" si="87"/>
        <v>0.96397253221244972</v>
      </c>
      <c r="S107" s="9">
        <f t="shared" si="81"/>
        <v>2.6018805200082309E-4</v>
      </c>
      <c r="T107" s="9">
        <f t="shared" si="88"/>
        <v>2.6018805200082309E-4</v>
      </c>
      <c r="U107" s="406">
        <f t="shared" si="60"/>
        <v>3.0985957886358331</v>
      </c>
      <c r="V107" s="408">
        <f t="shared" si="82"/>
        <v>9.6012958613517219E-3</v>
      </c>
      <c r="W107" s="406">
        <f t="shared" si="89"/>
        <v>9.6012958613517219E-3</v>
      </c>
      <c r="X107" s="406">
        <f t="shared" si="61"/>
        <v>3.0985957886358331</v>
      </c>
      <c r="Y107" s="406">
        <f t="shared" si="83"/>
        <v>0.49926738479028948</v>
      </c>
      <c r="Z107" s="406">
        <f t="shared" si="62"/>
        <v>0.10533275861018933</v>
      </c>
      <c r="AA107" s="406">
        <f t="shared" si="63"/>
        <v>0.1228566</v>
      </c>
      <c r="AB107" s="406">
        <f t="shared" si="64"/>
        <v>0</v>
      </c>
      <c r="AC107" s="406">
        <f t="shared" si="94"/>
        <v>0.8172191323864576</v>
      </c>
      <c r="AD107" s="406">
        <f t="shared" si="66"/>
        <v>3.2826890168744836</v>
      </c>
      <c r="AE107" s="406">
        <f t="shared" si="84"/>
        <v>0.10776047181508364</v>
      </c>
      <c r="AF107" s="406">
        <f t="shared" si="67"/>
        <v>7.9062479999999991E-2</v>
      </c>
      <c r="AG107" s="406">
        <f t="shared" si="95"/>
        <v>0.19010060475276208</v>
      </c>
      <c r="AH107" s="406">
        <f t="shared" si="69"/>
        <v>0</v>
      </c>
      <c r="AI107">
        <f t="shared" si="70"/>
        <v>0</v>
      </c>
      <c r="AJ107" s="407">
        <f t="shared" si="71"/>
        <v>0.49419328800000001</v>
      </c>
      <c r="AK107">
        <f t="shared" si="85"/>
        <v>0.06</v>
      </c>
      <c r="AL107" s="407">
        <f t="shared" si="72"/>
        <v>4.0337999999999999E-2</v>
      </c>
      <c r="AM107" s="407">
        <f t="shared" si="86"/>
        <v>0.13814789189189189</v>
      </c>
      <c r="AN107" s="407">
        <f t="shared" si="90"/>
        <v>0.100338</v>
      </c>
      <c r="AO107" s="407">
        <f t="shared" si="96"/>
        <v>1.8296703325945245</v>
      </c>
      <c r="AP107">
        <f t="shared" si="74"/>
        <v>61.74</v>
      </c>
      <c r="AQ107" s="10">
        <f t="shared" si="91"/>
        <v>0.9712178728783436</v>
      </c>
      <c r="AR107" s="63">
        <f t="shared" si="75"/>
        <v>44.947052281255168</v>
      </c>
      <c r="AS107" s="63">
        <f t="shared" si="92"/>
        <v>7.6040241901104828</v>
      </c>
      <c r="AT107" s="10"/>
      <c r="AU107">
        <f t="shared" si="93"/>
        <v>97.121787287834366</v>
      </c>
      <c r="BE107" s="28"/>
      <c r="BF107" s="29"/>
    </row>
    <row r="108" spans="7:58" x14ac:dyDescent="0.2">
      <c r="G108">
        <v>99</v>
      </c>
      <c r="H108">
        <f t="shared" si="55"/>
        <v>4.4550000000000001</v>
      </c>
      <c r="I108" s="406">
        <f t="shared" si="76"/>
        <v>0.47122135425314349</v>
      </c>
      <c r="J108" s="407">
        <f t="shared" si="56"/>
        <v>3.3396268905254676</v>
      </c>
      <c r="K108" s="407">
        <f t="shared" si="77"/>
        <v>6.1248134452627339</v>
      </c>
      <c r="L108" s="407">
        <f t="shared" si="78"/>
        <v>2.7851865547372663</v>
      </c>
      <c r="M108" s="63">
        <f t="shared" si="57"/>
        <v>0</v>
      </c>
      <c r="N108" s="406">
        <f t="shared" si="58"/>
        <v>4.5581192006491822</v>
      </c>
      <c r="O108" s="406">
        <f t="shared" si="79"/>
        <v>1.8310057997998227E-2</v>
      </c>
      <c r="P108">
        <f t="shared" si="59"/>
        <v>0.2</v>
      </c>
      <c r="Q108" s="406">
        <f t="shared" si="80"/>
        <v>0.21831005799799824</v>
      </c>
      <c r="R108" s="9">
        <f t="shared" si="87"/>
        <v>0.96406724211889583</v>
      </c>
      <c r="S108" s="9">
        <f t="shared" si="81"/>
        <v>2.6023918125148545E-4</v>
      </c>
      <c r="T108" s="9">
        <f t="shared" si="88"/>
        <v>2.6023918125148545E-4</v>
      </c>
      <c r="U108" s="406">
        <f t="shared" si="60"/>
        <v>3.1289466615151666</v>
      </c>
      <c r="V108" s="408">
        <f t="shared" si="82"/>
        <v>9.7903072106069067E-3</v>
      </c>
      <c r="W108" s="406">
        <f t="shared" si="89"/>
        <v>9.7903072106069067E-3</v>
      </c>
      <c r="X108" s="406">
        <f t="shared" si="61"/>
        <v>3.1289466615151666</v>
      </c>
      <c r="Y108" s="406">
        <f t="shared" si="83"/>
        <v>0.50909597495155912</v>
      </c>
      <c r="Z108" s="406">
        <f t="shared" si="62"/>
        <v>0.10659014095674747</v>
      </c>
      <c r="AA108" s="406">
        <f t="shared" si="63"/>
        <v>0.1228566</v>
      </c>
      <c r="AB108" s="406">
        <f t="shared" si="64"/>
        <v>0</v>
      </c>
      <c r="AC108" s="406">
        <f t="shared" si="94"/>
        <v>0.83169329146578441</v>
      </c>
      <c r="AD108" s="406">
        <f t="shared" si="66"/>
        <v>3.3145351765699869</v>
      </c>
      <c r="AE108" s="406">
        <f t="shared" si="84"/>
        <v>0.10986143436719834</v>
      </c>
      <c r="AF108" s="406">
        <f t="shared" si="67"/>
        <v>7.986923999999998E-2</v>
      </c>
      <c r="AG108" s="406">
        <f t="shared" si="95"/>
        <v>0.19312539971527165</v>
      </c>
      <c r="AH108" s="406">
        <f t="shared" si="69"/>
        <v>0</v>
      </c>
      <c r="AI108">
        <f t="shared" si="70"/>
        <v>0</v>
      </c>
      <c r="AJ108" s="407">
        <f t="shared" si="71"/>
        <v>0.49415444399999997</v>
      </c>
      <c r="AK108">
        <f t="shared" si="85"/>
        <v>0.06</v>
      </c>
      <c r="AL108" s="407">
        <f t="shared" si="72"/>
        <v>4.0337999999999999E-2</v>
      </c>
      <c r="AM108" s="407">
        <f t="shared" si="86"/>
        <v>0.13814789189189189</v>
      </c>
      <c r="AN108" s="407">
        <f t="shared" si="90"/>
        <v>0.100338</v>
      </c>
      <c r="AO108" s="407">
        <f t="shared" si="96"/>
        <v>1.8476717395709128</v>
      </c>
      <c r="AP108">
        <f t="shared" si="74"/>
        <v>62.370000000000005</v>
      </c>
      <c r="AQ108" s="10">
        <f t="shared" si="91"/>
        <v>0.97122798616767081</v>
      </c>
      <c r="AR108" s="63">
        <f t="shared" si="75"/>
        <v>45.743131030618144</v>
      </c>
      <c r="AS108" s="63">
        <f t="shared" si="92"/>
        <v>7.725015988610866</v>
      </c>
      <c r="AT108" s="10"/>
      <c r="AU108">
        <f t="shared" si="93"/>
        <v>97.122798616767085</v>
      </c>
      <c r="BE108" s="28"/>
      <c r="BF108" s="29"/>
    </row>
    <row r="109" spans="7:58" x14ac:dyDescent="0.2">
      <c r="G109">
        <v>100</v>
      </c>
      <c r="H109">
        <f t="shared" si="55"/>
        <v>4.5</v>
      </c>
      <c r="I109" s="406">
        <f t="shared" si="76"/>
        <v>0.47126765287980943</v>
      </c>
      <c r="J109" s="407">
        <f t="shared" si="56"/>
        <v>3.3399550168661194</v>
      </c>
      <c r="K109" s="407">
        <f t="shared" si="77"/>
        <v>6.1699775084330595</v>
      </c>
      <c r="L109" s="407">
        <f t="shared" si="78"/>
        <v>2.8300224915669405</v>
      </c>
      <c r="M109" s="63">
        <f t="shared" si="57"/>
        <v>0</v>
      </c>
      <c r="N109" s="406">
        <f t="shared" si="58"/>
        <v>4.6021308426522127</v>
      </c>
      <c r="O109" s="406">
        <f t="shared" si="79"/>
        <v>1.8665886964417816E-2</v>
      </c>
      <c r="P109">
        <f t="shared" si="59"/>
        <v>0.2</v>
      </c>
      <c r="Q109" s="406">
        <f t="shared" si="80"/>
        <v>0.21866588696441783</v>
      </c>
      <c r="R109" s="9">
        <f t="shared" si="87"/>
        <v>0.96416196403444765</v>
      </c>
      <c r="S109" s="9">
        <f t="shared" si="81"/>
        <v>2.6029032200941381E-4</v>
      </c>
      <c r="T109" s="9">
        <f t="shared" si="88"/>
        <v>2.6029032200941381E-4</v>
      </c>
      <c r="U109" s="406">
        <f t="shared" si="60"/>
        <v>3.1593138953108757</v>
      </c>
      <c r="V109" s="408">
        <f t="shared" si="82"/>
        <v>9.9812642891043794E-3</v>
      </c>
      <c r="W109" s="406">
        <f t="shared" si="89"/>
        <v>9.9812642891043794E-3</v>
      </c>
      <c r="X109" s="406">
        <f t="shared" si="61"/>
        <v>3.1593138953108757</v>
      </c>
      <c r="Y109" s="406">
        <f t="shared" si="83"/>
        <v>0.51902574303342763</v>
      </c>
      <c r="Z109" s="406">
        <f t="shared" si="62"/>
        <v>0.10784752307825747</v>
      </c>
      <c r="AA109" s="406">
        <f t="shared" si="63"/>
        <v>0.1228566</v>
      </c>
      <c r="AB109" s="406">
        <f t="shared" si="64"/>
        <v>0</v>
      </c>
      <c r="AC109" s="406">
        <f t="shared" si="94"/>
        <v>0.84637359680400071</v>
      </c>
      <c r="AD109" s="406">
        <f t="shared" si="66"/>
        <v>3.3463926852338153</v>
      </c>
      <c r="AE109" s="406">
        <f t="shared" si="84"/>
        <v>0.11198344003786385</v>
      </c>
      <c r="AF109" s="406">
        <f t="shared" si="67"/>
        <v>8.0675999999999984E-2</v>
      </c>
      <c r="AG109" s="406">
        <f t="shared" si="95"/>
        <v>0.19617436487399717</v>
      </c>
      <c r="AH109" s="406">
        <f t="shared" si="69"/>
        <v>0</v>
      </c>
      <c r="AI109">
        <f t="shared" si="70"/>
        <v>0</v>
      </c>
      <c r="AJ109" s="407">
        <f t="shared" si="71"/>
        <v>0.49411559999999999</v>
      </c>
      <c r="AK109">
        <f t="shared" si="85"/>
        <v>0.06</v>
      </c>
      <c r="AL109" s="407">
        <f t="shared" si="72"/>
        <v>4.0337999999999999E-2</v>
      </c>
      <c r="AM109" s="407">
        <f t="shared" si="86"/>
        <v>0.13814789189189189</v>
      </c>
      <c r="AN109" s="407">
        <f t="shared" si="90"/>
        <v>0.100338</v>
      </c>
      <c r="AO109" s="407">
        <f t="shared" si="96"/>
        <v>1.8659090032535295</v>
      </c>
      <c r="AP109">
        <f t="shared" si="74"/>
        <v>63</v>
      </c>
      <c r="AQ109" s="10">
        <f t="shared" si="91"/>
        <v>0.97123436591075996</v>
      </c>
      <c r="AR109" s="63">
        <f t="shared" si="75"/>
        <v>46.55054782422004</v>
      </c>
      <c r="AS109" s="63">
        <f t="shared" si="92"/>
        <v>7.846974594959887</v>
      </c>
      <c r="AT109" s="10"/>
      <c r="AU109">
        <f t="shared" si="93"/>
        <v>97.123436591076</v>
      </c>
      <c r="BE109" s="28"/>
      <c r="BF109" s="29"/>
    </row>
    <row r="110" spans="7:58" x14ac:dyDescent="0.2">
      <c r="G110">
        <v>101</v>
      </c>
      <c r="H110">
        <f t="shared" si="55"/>
        <v>4.5449999999999999</v>
      </c>
      <c r="I110" s="406">
        <f t="shared" ref="I110:I173" si="97">(Vout+Rdcr*H110+RdsonBot*H110)/(Vin-RdsonTop*H110+RdsonBot*H110)</f>
        <v>0.47131395737745946</v>
      </c>
      <c r="J110" s="407">
        <f t="shared" si="56"/>
        <v>3.3402831848154459</v>
      </c>
      <c r="K110" s="407">
        <f t="shared" si="77"/>
        <v>6.2151415924077229</v>
      </c>
      <c r="L110" s="407">
        <f t="shared" ref="L110:L173" si="98">H110-J110/2</f>
        <v>2.874858407592277</v>
      </c>
      <c r="M110" s="63">
        <f t="shared" si="57"/>
        <v>0</v>
      </c>
      <c r="N110" s="406">
        <f t="shared" ref="N110:N173" si="99">SQRT(H110^2+(J110^2)/12)</f>
        <v>4.646161424182699</v>
      </c>
      <c r="O110" s="406">
        <f t="shared" ref="O110:O173" si="100">(N110^2*Rdcr*(1+Ltc*Ta-Ltc*25))/(1-N110^2*Rdcr*Ltc*ThetaCa)</f>
        <v>1.9025311052576471E-2</v>
      </c>
      <c r="P110">
        <f t="shared" si="59"/>
        <v>0.2</v>
      </c>
      <c r="Q110" s="406">
        <f t="shared" si="80"/>
        <v>0.21902531105257647</v>
      </c>
      <c r="R110" s="9">
        <f t="shared" ref="R110:R173" si="101">J110/(2*SQRT(3))</f>
        <v>0.96425669796138913</v>
      </c>
      <c r="S110" s="9">
        <f t="shared" ref="S110:S173" si="102">RCoutEsr*R110^2</f>
        <v>2.6034147427775247E-4</v>
      </c>
      <c r="T110" s="9">
        <f t="shared" ref="T110:T173" si="103">S110</f>
        <v>2.6034147427775247E-4</v>
      </c>
      <c r="U110" s="406">
        <f t="shared" ref="U110:U173" si="104">SQRT(I110)*SQRT(H110^2+(J110^2)/12)</f>
        <v>3.1896971120322704</v>
      </c>
      <c r="V110" s="408">
        <f t="shared" ref="V110:V173" si="105">RCinEsr*U110^2</f>
        <v>1.0174167666507007E-2</v>
      </c>
      <c r="W110" s="406">
        <f t="shared" ref="W110:W173" si="106">V110</f>
        <v>1.0174167666507007E-2</v>
      </c>
      <c r="X110" s="406">
        <f t="shared" ref="X110:X173" si="107">SQRT(I110)*SQRT(H110^2+(J110^2)/12)</f>
        <v>3.1896971120322704</v>
      </c>
      <c r="Y110" s="406">
        <f t="shared" ref="Y110:Y173" si="108">RdsonTop*X110^2</f>
        <v>0.52905671865836434</v>
      </c>
      <c r="Z110" s="406">
        <f t="shared" si="62"/>
        <v>0.10910490497467652</v>
      </c>
      <c r="AA110" s="406">
        <f t="shared" si="63"/>
        <v>0.1228566</v>
      </c>
      <c r="AB110" s="406">
        <f t="shared" si="64"/>
        <v>0</v>
      </c>
      <c r="AC110" s="406">
        <f t="shared" ref="AC110:AC173" si="109">(AB110+AA110+Z110+Y110*(1+RdsonTopTc*Ta-RdsonTopTc*25))/(1-Y110*RdsonTopTc*ThetaJaTop)</f>
        <v>0.86126272669206161</v>
      </c>
      <c r="AD110" s="406">
        <f t="shared" ref="AD110:AD173" si="110">SQRT(1-I110)*SQRT(H110^2+(J110^2)/12)</f>
        <v>3.3782611374872129</v>
      </c>
      <c r="AE110" s="406">
        <f t="shared" ref="AE110:AE173" si="111">RdsonBot*AD110^2</f>
        <v>0.11412648313056398</v>
      </c>
      <c r="AF110" s="406">
        <f t="shared" si="67"/>
        <v>8.1482759999999987E-2</v>
      </c>
      <c r="AG110" s="406">
        <f t="shared" ref="AG110:AG173" si="112">(AF110+AE110*(1+RdsonBotTc*Ta-RdsonBotTc*25))/(1-AE110*RdsonBotTc*ThetaJaBot)</f>
        <v>0.1992475506877433</v>
      </c>
      <c r="AH110" s="406">
        <f t="shared" ref="AH110:AH173" si="113">IF(RDSON_sense=1, 0, AD110^2*Rshunt)</f>
        <v>0</v>
      </c>
      <c r="AI110">
        <f t="shared" si="70"/>
        <v>0</v>
      </c>
      <c r="AJ110" s="407">
        <f t="shared" si="71"/>
        <v>0.49407675600000001</v>
      </c>
      <c r="AK110">
        <f t="shared" si="85"/>
        <v>0.06</v>
      </c>
      <c r="AL110" s="407">
        <f t="shared" si="72"/>
        <v>4.0337999999999999E-2</v>
      </c>
      <c r="AM110" s="407">
        <f t="shared" si="86"/>
        <v>0.13814789189189189</v>
      </c>
      <c r="AN110" s="407">
        <f t="shared" ref="AN110:AN173" si="114">SUM(AK110:AL110)</f>
        <v>0.100338</v>
      </c>
      <c r="AO110" s="407">
        <f t="shared" ref="AO110:AO173" si="115">SUM(Q110,T110,W110,AC110,AJ110,AI110,AG110,AN110, AH110)</f>
        <v>1.8843848535731662</v>
      </c>
      <c r="AP110">
        <f t="shared" si="74"/>
        <v>63.629999999999995</v>
      </c>
      <c r="AQ110" s="10">
        <f t="shared" ref="AQ110:AQ173" si="116">AP110/(AP110+AO110)</f>
        <v>0.97123708239366313</v>
      </c>
      <c r="AR110" s="63">
        <f t="shared" ref="AR110:AR173" si="117">ThetaJaTop*AC110</f>
        <v>47.369449968063385</v>
      </c>
      <c r="AS110" s="63">
        <f t="shared" ref="AS110:AS173" si="118">AG110*ThetaJaBot</f>
        <v>7.9699020275097325</v>
      </c>
      <c r="AT110" s="10"/>
      <c r="AU110">
        <f t="shared" ref="AU110:AU173" si="119">AQ110*100</f>
        <v>97.123708239366309</v>
      </c>
    </row>
    <row r="111" spans="7:58" x14ac:dyDescent="0.2">
      <c r="G111">
        <v>102</v>
      </c>
      <c r="H111">
        <f t="shared" si="55"/>
        <v>4.59</v>
      </c>
      <c r="I111" s="406">
        <f t="shared" si="97"/>
        <v>0.47136026774721018</v>
      </c>
      <c r="J111" s="407">
        <f t="shared" si="56"/>
        <v>3.3406113943813618</v>
      </c>
      <c r="K111" s="407">
        <f t="shared" si="77"/>
        <v>6.260305697190681</v>
      </c>
      <c r="L111" s="407">
        <f t="shared" si="98"/>
        <v>2.9196943028093187</v>
      </c>
      <c r="M111" s="63">
        <f t="shared" si="57"/>
        <v>0</v>
      </c>
      <c r="N111" s="406">
        <f t="shared" si="99"/>
        <v>4.690210411842509</v>
      </c>
      <c r="O111" s="406">
        <f t="shared" si="100"/>
        <v>1.9388330880069242E-2</v>
      </c>
      <c r="P111">
        <f t="shared" si="59"/>
        <v>0.2</v>
      </c>
      <c r="Q111" s="406">
        <f t="shared" si="80"/>
        <v>0.21938833088006926</v>
      </c>
      <c r="R111" s="9">
        <f t="shared" si="101"/>
        <v>0.96435144390200522</v>
      </c>
      <c r="S111" s="9">
        <f t="shared" si="102"/>
        <v>2.6039263805964708E-4</v>
      </c>
      <c r="T111" s="9">
        <f t="shared" si="103"/>
        <v>2.6039263805964708E-4</v>
      </c>
      <c r="U111" s="406">
        <f t="shared" si="104"/>
        <v>3.220095947735429</v>
      </c>
      <c r="V111" s="408">
        <f t="shared" si="105"/>
        <v>1.036901791262213E-2</v>
      </c>
      <c r="W111" s="406">
        <f t="shared" si="106"/>
        <v>1.036901791262213E-2</v>
      </c>
      <c r="X111" s="406">
        <f t="shared" si="107"/>
        <v>3.220095947735429</v>
      </c>
      <c r="Y111" s="406">
        <f t="shared" si="108"/>
        <v>0.53918893145635072</v>
      </c>
      <c r="Z111" s="406">
        <f t="shared" si="62"/>
        <v>0.11036228664596177</v>
      </c>
      <c r="AA111" s="406">
        <f t="shared" si="63"/>
        <v>0.1228566</v>
      </c>
      <c r="AB111" s="406">
        <f t="shared" si="64"/>
        <v>0</v>
      </c>
      <c r="AC111" s="406">
        <f t="shared" si="109"/>
        <v>0.87636341820928665</v>
      </c>
      <c r="AD111" s="406">
        <f t="shared" si="110"/>
        <v>3.4101401429756151</v>
      </c>
      <c r="AE111" s="406">
        <f t="shared" si="111"/>
        <v>0.11629055794733749</v>
      </c>
      <c r="AF111" s="406">
        <f t="shared" si="67"/>
        <v>8.2289519999999977E-2</v>
      </c>
      <c r="AG111" s="406">
        <f t="shared" si="112"/>
        <v>0.20234500817102824</v>
      </c>
      <c r="AH111" s="406">
        <f t="shared" si="113"/>
        <v>0</v>
      </c>
      <c r="AI111">
        <f t="shared" si="70"/>
        <v>0</v>
      </c>
      <c r="AJ111" s="407">
        <f t="shared" si="71"/>
        <v>0.49403791200000002</v>
      </c>
      <c r="AK111">
        <f t="shared" si="85"/>
        <v>0.06</v>
      </c>
      <c r="AL111" s="407">
        <f t="shared" si="72"/>
        <v>4.0337999999999999E-2</v>
      </c>
      <c r="AM111" s="407">
        <f t="shared" si="86"/>
        <v>0.13814789189189189</v>
      </c>
      <c r="AN111" s="407">
        <f t="shared" si="114"/>
        <v>0.100338</v>
      </c>
      <c r="AO111" s="407">
        <f t="shared" si="115"/>
        <v>1.903102079811066</v>
      </c>
      <c r="AP111">
        <f t="shared" si="74"/>
        <v>64.259999999999991</v>
      </c>
      <c r="AQ111" s="10">
        <f t="shared" si="116"/>
        <v>0.97123620235466901</v>
      </c>
      <c r="AR111" s="63">
        <f t="shared" si="117"/>
        <v>48.199988001510768</v>
      </c>
      <c r="AS111" s="63">
        <f t="shared" si="118"/>
        <v>8.09380032684113</v>
      </c>
      <c r="AT111" s="10"/>
      <c r="AU111">
        <f t="shared" si="119"/>
        <v>97.123620235466902</v>
      </c>
    </row>
    <row r="112" spans="7:58" x14ac:dyDescent="0.2">
      <c r="G112">
        <v>103</v>
      </c>
      <c r="H112">
        <f t="shared" si="55"/>
        <v>4.6349999999999998</v>
      </c>
      <c r="I112" s="406">
        <f t="shared" si="97"/>
        <v>0.47140658399017893</v>
      </c>
      <c r="J112" s="407">
        <f t="shared" si="56"/>
        <v>3.3409396455717855</v>
      </c>
      <c r="K112" s="407">
        <f t="shared" si="77"/>
        <v>6.3054698227858923</v>
      </c>
      <c r="L112" s="407">
        <f t="shared" si="98"/>
        <v>2.9645301772141073</v>
      </c>
      <c r="M112" s="63">
        <f t="shared" si="57"/>
        <v>0</v>
      </c>
      <c r="N112" s="406">
        <f t="shared" si="99"/>
        <v>4.7342772918661451</v>
      </c>
      <c r="O112" s="406">
        <f t="shared" si="100"/>
        <v>1.9754947070723596E-2</v>
      </c>
      <c r="P112">
        <f t="shared" si="59"/>
        <v>0.2</v>
      </c>
      <c r="Q112" s="406">
        <f t="shared" si="80"/>
        <v>0.2197549470707236</v>
      </c>
      <c r="R112" s="9">
        <f t="shared" si="101"/>
        <v>0.96444620185858165</v>
      </c>
      <c r="S112" s="9">
        <f t="shared" si="102"/>
        <v>2.6044381335824432E-4</v>
      </c>
      <c r="T112" s="9">
        <f t="shared" si="103"/>
        <v>2.6044381335824432E-4</v>
      </c>
      <c r="U112" s="406">
        <f t="shared" si="104"/>
        <v>3.2505100518844188</v>
      </c>
      <c r="V112" s="408">
        <f t="shared" si="105"/>
        <v>1.0565815597401646E-2</v>
      </c>
      <c r="W112" s="406">
        <f t="shared" si="106"/>
        <v>1.0565815597401646E-2</v>
      </c>
      <c r="X112" s="406">
        <f t="shared" si="107"/>
        <v>3.2505100518844188</v>
      </c>
      <c r="Y112" s="406">
        <f t="shared" si="108"/>
        <v>0.54942241106488565</v>
      </c>
      <c r="Z112" s="406">
        <f t="shared" si="62"/>
        <v>0.11161966809207041</v>
      </c>
      <c r="AA112" s="406">
        <f t="shared" si="63"/>
        <v>0.1228566</v>
      </c>
      <c r="AB112" s="406">
        <f t="shared" si="64"/>
        <v>0</v>
      </c>
      <c r="AC112" s="406">
        <f t="shared" si="109"/>
        <v>0.89167846867027933</v>
      </c>
      <c r="AD112" s="406">
        <f t="shared" si="110"/>
        <v>3.4420293256853287</v>
      </c>
      <c r="AE112" s="406">
        <f t="shared" si="111"/>
        <v>0.11847565878877798</v>
      </c>
      <c r="AF112" s="406">
        <f t="shared" si="67"/>
        <v>8.3096279999999981E-2</v>
      </c>
      <c r="AG112" s="406">
        <f t="shared" si="112"/>
        <v>0.20546678889657582</v>
      </c>
      <c r="AH112" s="406">
        <f t="shared" si="113"/>
        <v>0</v>
      </c>
      <c r="AI112">
        <f t="shared" si="70"/>
        <v>0</v>
      </c>
      <c r="AJ112" s="407">
        <f t="shared" si="71"/>
        <v>0.49399906800000004</v>
      </c>
      <c r="AK112">
        <f t="shared" si="85"/>
        <v>0.06</v>
      </c>
      <c r="AL112" s="407">
        <f t="shared" si="72"/>
        <v>4.0337999999999999E-2</v>
      </c>
      <c r="AM112" s="407">
        <f t="shared" si="86"/>
        <v>0.13814789189189189</v>
      </c>
      <c r="AN112" s="407">
        <f t="shared" si="114"/>
        <v>0.100338</v>
      </c>
      <c r="AO112" s="407">
        <f t="shared" si="115"/>
        <v>1.9220635320483388</v>
      </c>
      <c r="AP112">
        <f t="shared" si="74"/>
        <v>64.89</v>
      </c>
      <c r="AQ112" s="10">
        <f t="shared" si="116"/>
        <v>0.97123178913451214</v>
      </c>
      <c r="AR112" s="63">
        <f t="shared" si="117"/>
        <v>49.042315776865365</v>
      </c>
      <c r="AS112" s="63">
        <f t="shared" si="118"/>
        <v>8.2186715558630326</v>
      </c>
      <c r="AT112" s="10"/>
      <c r="AU112">
        <f t="shared" si="119"/>
        <v>97.123178913451213</v>
      </c>
    </row>
    <row r="113" spans="7:47" x14ac:dyDescent="0.2">
      <c r="G113">
        <v>104</v>
      </c>
      <c r="H113">
        <f t="shared" si="55"/>
        <v>4.68</v>
      </c>
      <c r="I113" s="406">
        <f t="shared" si="97"/>
        <v>0.47145290610748281</v>
      </c>
      <c r="J113" s="407">
        <f t="shared" si="56"/>
        <v>3.3412679383946338</v>
      </c>
      <c r="K113" s="407">
        <f t="shared" si="77"/>
        <v>6.3506339691973164</v>
      </c>
      <c r="L113" s="407">
        <f t="shared" si="98"/>
        <v>3.0093660308026831</v>
      </c>
      <c r="M113" s="63">
        <f t="shared" si="57"/>
        <v>0</v>
      </c>
      <c r="N113" s="406">
        <f t="shared" si="99"/>
        <v>4.7783615692353507</v>
      </c>
      <c r="O113" s="406">
        <f t="shared" si="100"/>
        <v>2.0125160254602006E-2</v>
      </c>
      <c r="P113">
        <f t="shared" si="59"/>
        <v>0.2</v>
      </c>
      <c r="Q113" s="406">
        <f t="shared" si="80"/>
        <v>0.22012516025460202</v>
      </c>
      <c r="R113" s="9">
        <f t="shared" si="101"/>
        <v>0.96454097183340393</v>
      </c>
      <c r="S113" s="9">
        <f t="shared" si="102"/>
        <v>2.6049500017669163E-4</v>
      </c>
      <c r="T113" s="9">
        <f t="shared" si="103"/>
        <v>2.6049500017669163E-4</v>
      </c>
      <c r="U113" s="406">
        <f t="shared" si="104"/>
        <v>3.2809390867466584</v>
      </c>
      <c r="V113" s="408">
        <f t="shared" si="105"/>
        <v>1.0764561290941997E-2</v>
      </c>
      <c r="W113" s="406">
        <f t="shared" si="106"/>
        <v>1.0764561290941997E-2</v>
      </c>
      <c r="X113" s="406">
        <f t="shared" si="107"/>
        <v>3.2809390867466584</v>
      </c>
      <c r="Y113" s="406">
        <f t="shared" si="108"/>
        <v>0.55975718712898381</v>
      </c>
      <c r="Z113" s="406">
        <f t="shared" si="62"/>
        <v>0.11287704931295962</v>
      </c>
      <c r="AA113" s="406">
        <f t="shared" si="63"/>
        <v>0.1228566</v>
      </c>
      <c r="AB113" s="406">
        <f t="shared" si="64"/>
        <v>0</v>
      </c>
      <c r="AC113" s="406">
        <f t="shared" si="109"/>
        <v>0.90721073711716493</v>
      </c>
      <c r="AD113" s="406">
        <f t="shared" si="110"/>
        <v>3.4739283232967439</v>
      </c>
      <c r="AE113" s="406">
        <f t="shared" si="111"/>
        <v>0.12068177995403327</v>
      </c>
      <c r="AF113" s="406">
        <f t="shared" si="67"/>
        <v>8.390303999999997E-2</v>
      </c>
      <c r="AG113" s="406">
        <f t="shared" si="112"/>
        <v>0.20861294499784</v>
      </c>
      <c r="AH113" s="406">
        <f t="shared" si="113"/>
        <v>0</v>
      </c>
      <c r="AI113">
        <f t="shared" si="70"/>
        <v>0</v>
      </c>
      <c r="AJ113" s="407">
        <f t="shared" si="71"/>
        <v>0.493960224</v>
      </c>
      <c r="AK113">
        <f t="shared" si="85"/>
        <v>0.06</v>
      </c>
      <c r="AL113" s="407">
        <f t="shared" si="72"/>
        <v>4.0337999999999999E-2</v>
      </c>
      <c r="AM113" s="407">
        <f t="shared" si="86"/>
        <v>0.13814789189189189</v>
      </c>
      <c r="AN113" s="407">
        <f t="shared" si="114"/>
        <v>0.100338</v>
      </c>
      <c r="AO113" s="407">
        <f t="shared" si="115"/>
        <v>1.9412721226607257</v>
      </c>
      <c r="AP113">
        <f t="shared" si="74"/>
        <v>65.52</v>
      </c>
      <c r="AQ113" s="10">
        <f t="shared" si="116"/>
        <v>0.97122390281744131</v>
      </c>
      <c r="AR113" s="63">
        <f t="shared" si="117"/>
        <v>49.89659054144407</v>
      </c>
      <c r="AS113" s="63">
        <f t="shared" si="118"/>
        <v>8.3445177999136</v>
      </c>
      <c r="AT113" s="10"/>
      <c r="AU113">
        <f t="shared" si="119"/>
        <v>97.122390281744131</v>
      </c>
    </row>
    <row r="114" spans="7:47" x14ac:dyDescent="0.2">
      <c r="G114">
        <v>105</v>
      </c>
      <c r="H114">
        <f t="shared" si="55"/>
        <v>4.7250000000000005</v>
      </c>
      <c r="I114" s="406">
        <f t="shared" si="97"/>
        <v>0.47149923410023981</v>
      </c>
      <c r="J114" s="407">
        <f t="shared" si="56"/>
        <v>3.3415962728578297</v>
      </c>
      <c r="K114" s="407">
        <f t="shared" si="77"/>
        <v>6.3957981364289154</v>
      </c>
      <c r="L114" s="407">
        <f t="shared" si="98"/>
        <v>3.0542018635710857</v>
      </c>
      <c r="M114" s="63">
        <f t="shared" si="57"/>
        <v>0</v>
      </c>
      <c r="N114" s="406">
        <f t="shared" si="99"/>
        <v>4.8224627668406921</v>
      </c>
      <c r="O114" s="406">
        <f t="shared" si="100"/>
        <v>2.0498971068004777E-2</v>
      </c>
      <c r="P114">
        <f t="shared" si="59"/>
        <v>0.2</v>
      </c>
      <c r="Q114" s="406">
        <f t="shared" si="80"/>
        <v>0.22049897106800478</v>
      </c>
      <c r="R114" s="9">
        <f t="shared" si="101"/>
        <v>0.9646357538287591</v>
      </c>
      <c r="S114" s="9">
        <f t="shared" si="102"/>
        <v>2.6054619851813797E-4</v>
      </c>
      <c r="T114" s="9">
        <f t="shared" si="103"/>
        <v>2.6054619851813797E-4</v>
      </c>
      <c r="U114" s="406">
        <f t="shared" si="104"/>
        <v>3.3113827268203653</v>
      </c>
      <c r="V114" s="408">
        <f t="shared" si="105"/>
        <v>1.0965255563484277E-2</v>
      </c>
      <c r="W114" s="406">
        <f t="shared" si="106"/>
        <v>1.0965255563484277E-2</v>
      </c>
      <c r="X114" s="406">
        <f t="shared" si="107"/>
        <v>3.3113827268203653</v>
      </c>
      <c r="Y114" s="406">
        <f t="shared" si="108"/>
        <v>0.5701932893011824</v>
      </c>
      <c r="Z114" s="406">
        <f t="shared" si="62"/>
        <v>0.11413443030858654</v>
      </c>
      <c r="AA114" s="406">
        <f t="shared" si="63"/>
        <v>0.1228566</v>
      </c>
      <c r="AB114" s="406">
        <f t="shared" si="64"/>
        <v>0</v>
      </c>
      <c r="AC114" s="406">
        <f t="shared" si="109"/>
        <v>0.92296314585878647</v>
      </c>
      <c r="AD114" s="406">
        <f t="shared" si="110"/>
        <v>3.5058367865718596</v>
      </c>
      <c r="AE114" s="406">
        <f t="shared" si="111"/>
        <v>0.12290891574080502</v>
      </c>
      <c r="AF114" s="406">
        <f t="shared" si="67"/>
        <v>8.4709799999999988E-2</v>
      </c>
      <c r="AG114" s="406">
        <f t="shared" si="112"/>
        <v>0.21178352917156307</v>
      </c>
      <c r="AH114" s="406">
        <f t="shared" si="113"/>
        <v>0</v>
      </c>
      <c r="AI114">
        <f t="shared" si="70"/>
        <v>0</v>
      </c>
      <c r="AJ114" s="407">
        <f t="shared" si="71"/>
        <v>0.49392138000000002</v>
      </c>
      <c r="AK114">
        <f t="shared" si="85"/>
        <v>0.06</v>
      </c>
      <c r="AL114" s="407">
        <f t="shared" si="72"/>
        <v>4.0337999999999999E-2</v>
      </c>
      <c r="AM114" s="407">
        <f t="shared" si="86"/>
        <v>0.13814789189189189</v>
      </c>
      <c r="AN114" s="407">
        <f t="shared" si="114"/>
        <v>0.100338</v>
      </c>
      <c r="AO114" s="407">
        <f t="shared" si="115"/>
        <v>1.9607308278603568</v>
      </c>
      <c r="AP114">
        <f t="shared" si="74"/>
        <v>66.150000000000006</v>
      </c>
      <c r="AQ114" s="10">
        <f t="shared" si="116"/>
        <v>0.97121260036372514</v>
      </c>
      <c r="AR114" s="63">
        <f t="shared" si="117"/>
        <v>50.762973022233254</v>
      </c>
      <c r="AS114" s="63">
        <f t="shared" si="118"/>
        <v>8.4713411668625227</v>
      </c>
      <c r="AT114" s="10"/>
      <c r="AU114">
        <f t="shared" si="119"/>
        <v>97.121260036372519</v>
      </c>
    </row>
    <row r="115" spans="7:47" x14ac:dyDescent="0.2">
      <c r="G115">
        <v>106</v>
      </c>
      <c r="H115">
        <f t="shared" si="55"/>
        <v>4.7700000000000005</v>
      </c>
      <c r="I115" s="406">
        <f t="shared" si="97"/>
        <v>0.47154556796956748</v>
      </c>
      <c r="J115" s="407">
        <f t="shared" si="56"/>
        <v>3.3419246489692944</v>
      </c>
      <c r="K115" s="407">
        <f t="shared" si="77"/>
        <v>6.4409623244846479</v>
      </c>
      <c r="L115" s="407">
        <f t="shared" si="98"/>
        <v>3.099037675515353</v>
      </c>
      <c r="M115" s="63">
        <f t="shared" si="57"/>
        <v>0</v>
      </c>
      <c r="N115" s="406">
        <f t="shared" si="99"/>
        <v>4.8665804246872408</v>
      </c>
      <c r="O115" s="406">
        <f t="shared" si="100"/>
        <v>2.0876380153472662E-2</v>
      </c>
      <c r="P115">
        <f t="shared" si="59"/>
        <v>0.2</v>
      </c>
      <c r="Q115" s="406">
        <f t="shared" si="80"/>
        <v>0.22087638015347266</v>
      </c>
      <c r="R115" s="9">
        <f t="shared" si="101"/>
        <v>0.96473054784693391</v>
      </c>
      <c r="S115" s="9">
        <f t="shared" si="102"/>
        <v>2.6059740838573267E-4</v>
      </c>
      <c r="T115" s="9">
        <f t="shared" si="103"/>
        <v>2.6059740838573267E-4</v>
      </c>
      <c r="U115" s="406">
        <f t="shared" si="104"/>
        <v>3.3418406582921074</v>
      </c>
      <c r="V115" s="408">
        <f t="shared" si="105"/>
        <v>1.1167898985414227E-2</v>
      </c>
      <c r="W115" s="406">
        <f t="shared" si="106"/>
        <v>1.1167898985414227E-2</v>
      </c>
      <c r="X115" s="406">
        <f t="shared" si="107"/>
        <v>3.3418406582921074</v>
      </c>
      <c r="Y115" s="406">
        <f t="shared" si="108"/>
        <v>0.58073074724153972</v>
      </c>
      <c r="Z115" s="406">
        <f t="shared" si="62"/>
        <v>0.11539181107890828</v>
      </c>
      <c r="AA115" s="406">
        <f t="shared" si="63"/>
        <v>0.1228566</v>
      </c>
      <c r="AB115" s="406">
        <f t="shared" si="64"/>
        <v>0</v>
      </c>
      <c r="AC115" s="406">
        <f t="shared" si="109"/>
        <v>0.93893868205853237</v>
      </c>
      <c r="AD115" s="406">
        <f t="shared" si="110"/>
        <v>3.5377543787740291</v>
      </c>
      <c r="AE115" s="406">
        <f t="shared" si="111"/>
        <v>0.12515706044534816</v>
      </c>
      <c r="AF115" s="406">
        <f t="shared" si="67"/>
        <v>8.5516559999999991E-2</v>
      </c>
      <c r="AG115" s="406">
        <f t="shared" si="112"/>
        <v>0.21497859468036681</v>
      </c>
      <c r="AH115" s="406">
        <f t="shared" si="113"/>
        <v>0</v>
      </c>
      <c r="AI115">
        <f t="shared" si="70"/>
        <v>0</v>
      </c>
      <c r="AJ115" s="407">
        <f t="shared" si="71"/>
        <v>0.49388253600000004</v>
      </c>
      <c r="AK115">
        <f t="shared" si="85"/>
        <v>0.06</v>
      </c>
      <c r="AL115" s="407">
        <f t="shared" si="72"/>
        <v>4.0337999999999999E-2</v>
      </c>
      <c r="AM115" s="407">
        <f t="shared" si="86"/>
        <v>0.13814789189189189</v>
      </c>
      <c r="AN115" s="407">
        <f t="shared" si="114"/>
        <v>0.100338</v>
      </c>
      <c r="AO115" s="407">
        <f t="shared" si="115"/>
        <v>1.980442689286172</v>
      </c>
      <c r="AP115">
        <f t="shared" si="74"/>
        <v>66.78</v>
      </c>
      <c r="AQ115" s="10">
        <f t="shared" si="116"/>
        <v>0.9711979357341346</v>
      </c>
      <c r="AR115" s="63">
        <f t="shared" si="117"/>
        <v>51.641627513219284</v>
      </c>
      <c r="AS115" s="63">
        <f t="shared" si="118"/>
        <v>8.5991437872146719</v>
      </c>
      <c r="AT115" s="10"/>
      <c r="AU115">
        <f t="shared" si="119"/>
        <v>97.11979357341346</v>
      </c>
    </row>
    <row r="116" spans="7:47" x14ac:dyDescent="0.2">
      <c r="G116">
        <v>107</v>
      </c>
      <c r="H116">
        <f t="shared" si="55"/>
        <v>4.8150000000000004</v>
      </c>
      <c r="I116" s="406">
        <f t="shared" si="97"/>
        <v>0.47159190771658416</v>
      </c>
      <c r="J116" s="407">
        <f t="shared" si="56"/>
        <v>3.3422530667369537</v>
      </c>
      <c r="K116" s="407">
        <f t="shared" si="77"/>
        <v>6.486126533368477</v>
      </c>
      <c r="L116" s="407">
        <f t="shared" si="98"/>
        <v>3.1438734666315238</v>
      </c>
      <c r="M116" s="63">
        <f t="shared" si="57"/>
        <v>0</v>
      </c>
      <c r="N116" s="406">
        <f t="shared" si="99"/>
        <v>4.9107140991417317</v>
      </c>
      <c r="O116" s="406">
        <f t="shared" si="100"/>
        <v>2.1257388159789749E-2</v>
      </c>
      <c r="P116">
        <f t="shared" si="59"/>
        <v>0.2</v>
      </c>
      <c r="Q116" s="406">
        <f t="shared" si="80"/>
        <v>0.22125738815978976</v>
      </c>
      <c r="R116" s="9">
        <f t="shared" si="101"/>
        <v>0.96482535389021629</v>
      </c>
      <c r="S116" s="9">
        <f t="shared" si="102"/>
        <v>2.6064862978262675E-4</v>
      </c>
      <c r="T116" s="9">
        <f t="shared" si="103"/>
        <v>2.6064862978262675E-4</v>
      </c>
      <c r="U116" s="406">
        <f t="shared" si="104"/>
        <v>3.3723125785226848</v>
      </c>
      <c r="V116" s="408">
        <f t="shared" si="105"/>
        <v>1.137249212726232E-2</v>
      </c>
      <c r="W116" s="406">
        <f t="shared" si="106"/>
        <v>1.137249212726232E-2</v>
      </c>
      <c r="X116" s="406">
        <f t="shared" si="107"/>
        <v>3.3723125785226848</v>
      </c>
      <c r="Y116" s="406">
        <f t="shared" si="108"/>
        <v>0.59136959061764061</v>
      </c>
      <c r="Z116" s="406">
        <f t="shared" si="62"/>
        <v>0.116649191623882</v>
      </c>
      <c r="AA116" s="406">
        <f t="shared" si="63"/>
        <v>0.1228566</v>
      </c>
      <c r="AB116" s="406">
        <f t="shared" si="64"/>
        <v>0</v>
      </c>
      <c r="AC116" s="406">
        <f t="shared" si="109"/>
        <v>0.95514039937257511</v>
      </c>
      <c r="AD116" s="406">
        <f t="shared" si="110"/>
        <v>3.5696807751180031</v>
      </c>
      <c r="AE116" s="406">
        <f t="shared" si="111"/>
        <v>0.12742620836247068</v>
      </c>
      <c r="AF116" s="406">
        <f t="shared" si="67"/>
        <v>8.6323319999999981E-2</v>
      </c>
      <c r="AG116" s="406">
        <f t="shared" si="112"/>
        <v>0.21819819535537779</v>
      </c>
      <c r="AH116" s="406">
        <f t="shared" si="113"/>
        <v>0</v>
      </c>
      <c r="AI116">
        <f t="shared" si="70"/>
        <v>0</v>
      </c>
      <c r="AJ116" s="407">
        <f t="shared" si="71"/>
        <v>0.493843692</v>
      </c>
      <c r="AK116">
        <f t="shared" si="85"/>
        <v>0.06</v>
      </c>
      <c r="AL116" s="407">
        <f t="shared" si="72"/>
        <v>4.0337999999999999E-2</v>
      </c>
      <c r="AM116" s="407">
        <f t="shared" si="86"/>
        <v>0.13814789189189189</v>
      </c>
      <c r="AN116" s="407">
        <f t="shared" si="114"/>
        <v>0.100338</v>
      </c>
      <c r="AO116" s="407">
        <f t="shared" si="115"/>
        <v>2.0004108156447873</v>
      </c>
      <c r="AP116">
        <f t="shared" si="74"/>
        <v>67.410000000000011</v>
      </c>
      <c r="AQ116" s="10">
        <f t="shared" si="116"/>
        <v>0.97117996000689422</v>
      </c>
      <c r="AR116" s="63">
        <f t="shared" si="117"/>
        <v>52.532721965491632</v>
      </c>
      <c r="AS116" s="63">
        <f t="shared" si="118"/>
        <v>8.7279278142151124</v>
      </c>
      <c r="AT116" s="10"/>
      <c r="AU116">
        <f t="shared" si="119"/>
        <v>97.117996000689416</v>
      </c>
    </row>
    <row r="117" spans="7:47" x14ac:dyDescent="0.2">
      <c r="G117">
        <v>108</v>
      </c>
      <c r="H117">
        <f t="shared" si="55"/>
        <v>4.8600000000000003</v>
      </c>
      <c r="I117" s="406">
        <f t="shared" si="97"/>
        <v>0.47163825334240839</v>
      </c>
      <c r="J117" s="407">
        <f t="shared" si="56"/>
        <v>3.3425815261687339</v>
      </c>
      <c r="K117" s="407">
        <f t="shared" si="77"/>
        <v>6.5312907630843675</v>
      </c>
      <c r="L117" s="407">
        <f t="shared" si="98"/>
        <v>3.1887092369156331</v>
      </c>
      <c r="M117" s="63">
        <f t="shared" si="57"/>
        <v>0</v>
      </c>
      <c r="N117" s="406">
        <f t="shared" si="99"/>
        <v>4.954863362218684</v>
      </c>
      <c r="O117" s="406">
        <f t="shared" si="100"/>
        <v>2.1641995741986168E-2</v>
      </c>
      <c r="P117">
        <f t="shared" si="59"/>
        <v>0.2</v>
      </c>
      <c r="Q117" s="406">
        <f t="shared" si="80"/>
        <v>0.22164199574198618</v>
      </c>
      <c r="R117" s="9">
        <f t="shared" si="101"/>
        <v>0.96492017196089441</v>
      </c>
      <c r="S117" s="9">
        <f t="shared" si="102"/>
        <v>2.6069986271197177E-4</v>
      </c>
      <c r="T117" s="9">
        <f t="shared" si="103"/>
        <v>2.6069986271197177E-4</v>
      </c>
      <c r="U117" s="406">
        <f t="shared" si="104"/>
        <v>3.4027981955596158</v>
      </c>
      <c r="V117" s="408">
        <f t="shared" si="105"/>
        <v>1.1579035559703778E-2</v>
      </c>
      <c r="W117" s="406">
        <f t="shared" si="106"/>
        <v>1.1579035559703778E-2</v>
      </c>
      <c r="X117" s="406">
        <f t="shared" si="107"/>
        <v>3.4027981955596158</v>
      </c>
      <c r="Y117" s="406">
        <f t="shared" si="108"/>
        <v>0.60210984910459642</v>
      </c>
      <c r="Z117" s="406">
        <f t="shared" si="62"/>
        <v>0.11790657194346481</v>
      </c>
      <c r="AA117" s="406">
        <f t="shared" si="63"/>
        <v>0.1228566</v>
      </c>
      <c r="AB117" s="406">
        <f t="shared" si="64"/>
        <v>0</v>
      </c>
      <c r="AC117" s="406">
        <f t="shared" si="109"/>
        <v>0.97157141964033733</v>
      </c>
      <c r="AD117" s="406">
        <f t="shared" si="110"/>
        <v>3.6016156622484394</v>
      </c>
      <c r="AE117" s="406">
        <f t="shared" si="111"/>
        <v>0.12971635378553265</v>
      </c>
      <c r="AF117" s="406">
        <f t="shared" si="67"/>
        <v>8.7130079999999985E-2</v>
      </c>
      <c r="AG117" s="406">
        <f t="shared" si="112"/>
        <v>0.22144238559888582</v>
      </c>
      <c r="AH117" s="406">
        <f t="shared" si="113"/>
        <v>0</v>
      </c>
      <c r="AI117">
        <f t="shared" si="70"/>
        <v>0</v>
      </c>
      <c r="AJ117" s="407">
        <f t="shared" si="71"/>
        <v>0.49380484800000002</v>
      </c>
      <c r="AK117">
        <f t="shared" si="85"/>
        <v>0.06</v>
      </c>
      <c r="AL117" s="407">
        <f t="shared" si="72"/>
        <v>4.0337999999999999E-2</v>
      </c>
      <c r="AM117" s="407">
        <f t="shared" si="86"/>
        <v>0.13814789189189189</v>
      </c>
      <c r="AN117" s="407">
        <f t="shared" si="114"/>
        <v>0.100338</v>
      </c>
      <c r="AO117" s="407">
        <f t="shared" si="115"/>
        <v>2.0206383844036249</v>
      </c>
      <c r="AP117">
        <f t="shared" si="74"/>
        <v>68.040000000000006</v>
      </c>
      <c r="AQ117" s="10">
        <f t="shared" si="116"/>
        <v>0.97115872148756432</v>
      </c>
      <c r="AR117" s="63">
        <f t="shared" si="117"/>
        <v>53.436428080218555</v>
      </c>
      <c r="AS117" s="63">
        <f t="shared" si="118"/>
        <v>8.8576954239554322</v>
      </c>
      <c r="AT117" s="10"/>
      <c r="AU117">
        <f t="shared" si="119"/>
        <v>97.115872148756438</v>
      </c>
    </row>
    <row r="118" spans="7:47" x14ac:dyDescent="0.2">
      <c r="G118">
        <v>109</v>
      </c>
      <c r="H118">
        <f t="shared" si="55"/>
        <v>4.9050000000000002</v>
      </c>
      <c r="I118" s="406">
        <f t="shared" si="97"/>
        <v>0.47168460484815894</v>
      </c>
      <c r="J118" s="407">
        <f t="shared" si="56"/>
        <v>3.3429100272725649</v>
      </c>
      <c r="K118" s="407">
        <f t="shared" si="77"/>
        <v>6.5764550136362825</v>
      </c>
      <c r="L118" s="407">
        <f t="shared" si="98"/>
        <v>3.233544986363718</v>
      </c>
      <c r="M118" s="63">
        <f t="shared" si="57"/>
        <v>0</v>
      </c>
      <c r="N118" s="406">
        <f t="shared" si="99"/>
        <v>4.999027800903221</v>
      </c>
      <c r="O118" s="406">
        <f t="shared" si="100"/>
        <v>2.2030203561340972E-2</v>
      </c>
      <c r="P118">
        <f t="shared" si="59"/>
        <v>0.2</v>
      </c>
      <c r="Q118" s="406">
        <f t="shared" si="80"/>
        <v>0.22203020356134098</v>
      </c>
      <c r="R118" s="9">
        <f t="shared" si="101"/>
        <v>0.96501500206125734</v>
      </c>
      <c r="S118" s="9">
        <f t="shared" si="102"/>
        <v>2.6075110717692081E-4</v>
      </c>
      <c r="T118" s="9">
        <f t="shared" si="103"/>
        <v>2.6075110717692081E-4</v>
      </c>
      <c r="U118" s="406">
        <f t="shared" si="104"/>
        <v>3.43329722767468</v>
      </c>
      <c r="V118" s="408">
        <f t="shared" si="105"/>
        <v>1.1787529853558644E-2</v>
      </c>
      <c r="W118" s="406">
        <f t="shared" si="106"/>
        <v>1.1787529853558644E-2</v>
      </c>
      <c r="X118" s="406">
        <f t="shared" si="107"/>
        <v>3.43329722767468</v>
      </c>
      <c r="Y118" s="406">
        <f t="shared" si="108"/>
        <v>0.61295155238504939</v>
      </c>
      <c r="Z118" s="406">
        <f t="shared" si="62"/>
        <v>0.11916395203761379</v>
      </c>
      <c r="AA118" s="406">
        <f t="shared" si="63"/>
        <v>0.1228566</v>
      </c>
      <c r="AB118" s="406">
        <f t="shared" si="64"/>
        <v>0</v>
      </c>
      <c r="AC118" s="406">
        <f t="shared" si="109"/>
        <v>0.98823493462911505</v>
      </c>
      <c r="AD118" s="406">
        <f t="shared" si="110"/>
        <v>3.6335587377452221</v>
      </c>
      <c r="AE118" s="406">
        <f t="shared" si="111"/>
        <v>0.13202749100644653</v>
      </c>
      <c r="AF118" s="406">
        <f t="shared" si="67"/>
        <v>8.7936839999999988E-2</v>
      </c>
      <c r="AG118" s="406">
        <f t="shared" si="112"/>
        <v>0.22471122038703809</v>
      </c>
      <c r="AH118" s="406">
        <f t="shared" si="113"/>
        <v>0</v>
      </c>
      <c r="AI118">
        <f t="shared" si="70"/>
        <v>0</v>
      </c>
      <c r="AJ118" s="407">
        <f t="shared" si="71"/>
        <v>0.49376600399999998</v>
      </c>
      <c r="AK118">
        <f t="shared" si="85"/>
        <v>0.06</v>
      </c>
      <c r="AL118" s="407">
        <f t="shared" si="72"/>
        <v>4.0337999999999999E-2</v>
      </c>
      <c r="AM118" s="407">
        <f t="shared" si="86"/>
        <v>0.13814789189189189</v>
      </c>
      <c r="AN118" s="407">
        <f t="shared" si="114"/>
        <v>0.100338</v>
      </c>
      <c r="AO118" s="407">
        <f t="shared" si="115"/>
        <v>2.0411286435382294</v>
      </c>
      <c r="AP118">
        <f t="shared" si="74"/>
        <v>68.67</v>
      </c>
      <c r="AQ118" s="10">
        <f t="shared" si="116"/>
        <v>0.97113426581227746</v>
      </c>
      <c r="AR118" s="63">
        <f t="shared" si="117"/>
        <v>54.352921404601325</v>
      </c>
      <c r="AS118" s="63">
        <f t="shared" si="118"/>
        <v>8.9884488154815241</v>
      </c>
      <c r="AT118" s="10"/>
      <c r="AU118">
        <f t="shared" si="119"/>
        <v>97.113426581227742</v>
      </c>
    </row>
    <row r="119" spans="7:47" x14ac:dyDescent="0.2">
      <c r="G119">
        <v>110</v>
      </c>
      <c r="H119">
        <f t="shared" si="55"/>
        <v>4.95</v>
      </c>
      <c r="I119" s="406">
        <f t="shared" si="97"/>
        <v>0.47173096223495492</v>
      </c>
      <c r="J119" s="407">
        <f t="shared" si="56"/>
        <v>3.343238570056378</v>
      </c>
      <c r="K119" s="407">
        <f t="shared" si="77"/>
        <v>6.6216192850281894</v>
      </c>
      <c r="L119" s="407">
        <f t="shared" si="98"/>
        <v>3.2783807149718109</v>
      </c>
      <c r="M119" s="63">
        <f t="shared" si="57"/>
        <v>0</v>
      </c>
      <c r="N119" s="406">
        <f t="shared" si="99"/>
        <v>5.0432070165083829</v>
      </c>
      <c r="O119" s="406">
        <f t="shared" si="100"/>
        <v>2.2422012285384919E-2</v>
      </c>
      <c r="P119">
        <f t="shared" si="59"/>
        <v>0.2</v>
      </c>
      <c r="Q119" s="406">
        <f t="shared" si="80"/>
        <v>0.22242201228538494</v>
      </c>
      <c r="R119" s="9">
        <f t="shared" si="101"/>
        <v>0.96510984419359469</v>
      </c>
      <c r="S119" s="9">
        <f t="shared" si="102"/>
        <v>2.6080236318062774E-4</v>
      </c>
      <c r="T119" s="9">
        <f t="shared" si="103"/>
        <v>2.6080236318062774E-4</v>
      </c>
      <c r="U119" s="406">
        <f t="shared" si="104"/>
        <v>3.4638094029250217</v>
      </c>
      <c r="V119" s="408">
        <f t="shared" si="105"/>
        <v>1.1997975579791795E-2</v>
      </c>
      <c r="W119" s="406">
        <f t="shared" si="106"/>
        <v>1.1997975579791795E-2</v>
      </c>
      <c r="X119" s="406">
        <f t="shared" si="107"/>
        <v>3.4638094029250217</v>
      </c>
      <c r="Y119" s="406">
        <f t="shared" si="108"/>
        <v>0.62389473014917329</v>
      </c>
      <c r="Z119" s="406">
        <f t="shared" si="62"/>
        <v>0.12042133190628605</v>
      </c>
      <c r="AA119" s="406">
        <f t="shared" si="63"/>
        <v>0.1228566</v>
      </c>
      <c r="AB119" s="406">
        <f t="shared" si="64"/>
        <v>0</v>
      </c>
      <c r="AC119" s="406">
        <f t="shared" si="109"/>
        <v>1.0051342078348398</v>
      </c>
      <c r="AD119" s="406">
        <f t="shared" si="110"/>
        <v>3.6655097096539775</v>
      </c>
      <c r="AE119" s="406">
        <f t="shared" si="111"/>
        <v>0.13435961431567586</v>
      </c>
      <c r="AF119" s="406">
        <f t="shared" si="67"/>
        <v>8.8743599999999978E-2</v>
      </c>
      <c r="AG119" s="406">
        <f t="shared" si="112"/>
        <v>0.22800475527256575</v>
      </c>
      <c r="AH119" s="406">
        <f t="shared" si="113"/>
        <v>0</v>
      </c>
      <c r="AI119">
        <f t="shared" si="70"/>
        <v>0</v>
      </c>
      <c r="AJ119" s="407">
        <f t="shared" si="71"/>
        <v>0.49372716</v>
      </c>
      <c r="AK119">
        <f t="shared" si="85"/>
        <v>0.06</v>
      </c>
      <c r="AL119" s="407">
        <f t="shared" si="72"/>
        <v>4.0337999999999999E-2</v>
      </c>
      <c r="AM119" s="407">
        <f t="shared" si="86"/>
        <v>0.13814789189189189</v>
      </c>
      <c r="AN119" s="407">
        <f t="shared" si="114"/>
        <v>0.100338</v>
      </c>
      <c r="AO119" s="407">
        <f t="shared" si="115"/>
        <v>2.0618849133357626</v>
      </c>
      <c r="AP119">
        <f t="shared" si="74"/>
        <v>69.3</v>
      </c>
      <c r="AQ119" s="10">
        <f t="shared" si="116"/>
        <v>0.97110663604472081</v>
      </c>
      <c r="AR119" s="63">
        <f t="shared" si="117"/>
        <v>55.282381430916189</v>
      </c>
      <c r="AS119" s="63">
        <f t="shared" si="118"/>
        <v>9.1201902109026296</v>
      </c>
      <c r="AT119" s="10"/>
      <c r="AU119">
        <f t="shared" si="119"/>
        <v>97.11066360447208</v>
      </c>
    </row>
    <row r="120" spans="7:47" x14ac:dyDescent="0.2">
      <c r="G120">
        <v>111</v>
      </c>
      <c r="H120">
        <f t="shared" si="55"/>
        <v>4.9950000000000001</v>
      </c>
      <c r="I120" s="406">
        <f t="shared" si="97"/>
        <v>0.4717773255039156</v>
      </c>
      <c r="J120" s="407">
        <f t="shared" si="56"/>
        <v>3.3435671545281047</v>
      </c>
      <c r="K120" s="407">
        <f t="shared" si="77"/>
        <v>6.6667835772640522</v>
      </c>
      <c r="L120" s="407">
        <f t="shared" si="98"/>
        <v>3.323216422735948</v>
      </c>
      <c r="M120" s="63">
        <f t="shared" si="57"/>
        <v>0</v>
      </c>
      <c r="N120" s="406">
        <f t="shared" si="99"/>
        <v>5.0874006240649647</v>
      </c>
      <c r="O120" s="406">
        <f t="shared" si="100"/>
        <v>2.2817422587903428E-2</v>
      </c>
      <c r="P120">
        <f t="shared" si="59"/>
        <v>0.2</v>
      </c>
      <c r="Q120" s="406">
        <f t="shared" si="80"/>
        <v>0.22281742258790344</v>
      </c>
      <c r="R120" s="9">
        <f t="shared" si="101"/>
        <v>0.96520469836019618</v>
      </c>
      <c r="S120" s="9">
        <f t="shared" si="102"/>
        <v>2.6085363072624724E-4</v>
      </c>
      <c r="T120" s="9">
        <f t="shared" si="103"/>
        <v>2.6085363072624724E-4</v>
      </c>
      <c r="U120" s="406">
        <f t="shared" si="104"/>
        <v>3.4943344587364598</v>
      </c>
      <c r="V120" s="408">
        <f t="shared" si="105"/>
        <v>1.2210373309513028E-2</v>
      </c>
      <c r="W120" s="406">
        <f t="shared" si="106"/>
        <v>1.2210373309513028E-2</v>
      </c>
      <c r="X120" s="406">
        <f t="shared" si="107"/>
        <v>3.4943344587364598</v>
      </c>
      <c r="Y120" s="406">
        <f t="shared" si="108"/>
        <v>0.63493941209467741</v>
      </c>
      <c r="Z120" s="406">
        <f t="shared" si="62"/>
        <v>0.12167871154943871</v>
      </c>
      <c r="AA120" s="406">
        <f t="shared" si="63"/>
        <v>0.1228566</v>
      </c>
      <c r="AB120" s="406">
        <f t="shared" si="64"/>
        <v>0</v>
      </c>
      <c r="AC120" s="406">
        <f t="shared" si="109"/>
        <v>1.0222725763410681</v>
      </c>
      <c r="AD120" s="406">
        <f t="shared" si="110"/>
        <v>3.6974682960403551</v>
      </c>
      <c r="AE120" s="406">
        <f t="shared" si="111"/>
        <v>0.13671271800223567</v>
      </c>
      <c r="AF120" s="406">
        <f t="shared" si="67"/>
        <v>8.9550359999999982E-2</v>
      </c>
      <c r="AG120" s="406">
        <f t="shared" si="112"/>
        <v>0.23132304638754747</v>
      </c>
      <c r="AH120" s="406">
        <f t="shared" si="113"/>
        <v>0</v>
      </c>
      <c r="AI120">
        <f t="shared" si="70"/>
        <v>0</v>
      </c>
      <c r="AJ120" s="407">
        <f t="shared" si="71"/>
        <v>0.49368831600000002</v>
      </c>
      <c r="AK120">
        <f t="shared" si="85"/>
        <v>0.06</v>
      </c>
      <c r="AL120" s="407">
        <f t="shared" si="72"/>
        <v>4.0337999999999999E-2</v>
      </c>
      <c r="AM120" s="407">
        <f t="shared" si="86"/>
        <v>0.13814789189189189</v>
      </c>
      <c r="AN120" s="407">
        <f t="shared" si="114"/>
        <v>0.100338</v>
      </c>
      <c r="AO120" s="407">
        <f t="shared" si="115"/>
        <v>2.0829105882567585</v>
      </c>
      <c r="AP120">
        <f t="shared" si="74"/>
        <v>69.930000000000007</v>
      </c>
      <c r="AQ120" s="10">
        <f t="shared" si="116"/>
        <v>0.97107587276723106</v>
      </c>
      <c r="AR120" s="63">
        <f t="shared" si="117"/>
        <v>56.224991698758743</v>
      </c>
      <c r="AS120" s="63">
        <f t="shared" si="118"/>
        <v>9.2529218555018993</v>
      </c>
      <c r="AT120" s="10"/>
      <c r="AU120">
        <f t="shared" si="119"/>
        <v>97.107587276723109</v>
      </c>
    </row>
    <row r="121" spans="7:47" x14ac:dyDescent="0.2">
      <c r="G121">
        <v>112</v>
      </c>
      <c r="H121">
        <f t="shared" si="55"/>
        <v>5.0400000000000009</v>
      </c>
      <c r="I121" s="406">
        <f t="shared" si="97"/>
        <v>0.47182369465616053</v>
      </c>
      <c r="J121" s="407">
        <f t="shared" si="56"/>
        <v>3.3438957806956804</v>
      </c>
      <c r="K121" s="407">
        <f t="shared" si="77"/>
        <v>6.7119478903478411</v>
      </c>
      <c r="L121" s="407">
        <f t="shared" si="98"/>
        <v>3.3680521096521607</v>
      </c>
      <c r="M121" s="63">
        <f t="shared" si="57"/>
        <v>0</v>
      </c>
      <c r="N121" s="406">
        <f t="shared" si="99"/>
        <v>5.1316082517419632</v>
      </c>
      <c r="O121" s="406">
        <f t="shared" si="100"/>
        <v>2.3216435148939431E-2</v>
      </c>
      <c r="P121">
        <f t="shared" si="59"/>
        <v>0.2</v>
      </c>
      <c r="Q121" s="406">
        <f t="shared" si="80"/>
        <v>0.22321643514893943</v>
      </c>
      <c r="R121" s="9">
        <f t="shared" si="101"/>
        <v>0.96529956456335253</v>
      </c>
      <c r="S121" s="9">
        <f t="shared" si="102"/>
        <v>2.6090490981693545E-4</v>
      </c>
      <c r="T121" s="9">
        <f t="shared" si="103"/>
        <v>2.6090490981693545E-4</v>
      </c>
      <c r="U121" s="406">
        <f t="shared" si="104"/>
        <v>3.5248721415076987</v>
      </c>
      <c r="V121" s="408">
        <f t="shared" si="105"/>
        <v>1.2424723613977071E-2</v>
      </c>
      <c r="W121" s="406">
        <f t="shared" si="106"/>
        <v>1.2424723613977071E-2</v>
      </c>
      <c r="X121" s="406">
        <f t="shared" si="107"/>
        <v>3.5248721415076987</v>
      </c>
      <c r="Y121" s="406">
        <f t="shared" si="108"/>
        <v>0.64608562792680757</v>
      </c>
      <c r="Z121" s="406">
        <f t="shared" si="62"/>
        <v>0.12293609096702884</v>
      </c>
      <c r="AA121" s="406">
        <f t="shared" si="63"/>
        <v>0.1228566</v>
      </c>
      <c r="AB121" s="406">
        <f t="shared" si="64"/>
        <v>0</v>
      </c>
      <c r="AC121" s="406">
        <f t="shared" si="109"/>
        <v>1.0396534527383583</v>
      </c>
      <c r="AD121" s="406">
        <f t="shared" si="110"/>
        <v>3.7294342245666621</v>
      </c>
      <c r="AE121" s="406">
        <f t="shared" si="111"/>
        <v>0.13908679635369139</v>
      </c>
      <c r="AF121" s="406">
        <f t="shared" si="67"/>
        <v>9.0357119999999999E-2</v>
      </c>
      <c r="AG121" s="406">
        <f t="shared" si="112"/>
        <v>0.23466615044620595</v>
      </c>
      <c r="AH121" s="406">
        <f t="shared" si="113"/>
        <v>0</v>
      </c>
      <c r="AI121">
        <f t="shared" si="70"/>
        <v>0</v>
      </c>
      <c r="AJ121" s="407">
        <f t="shared" si="71"/>
        <v>0.49364947199999998</v>
      </c>
      <c r="AK121">
        <f t="shared" si="85"/>
        <v>0.06</v>
      </c>
      <c r="AL121" s="407">
        <f t="shared" si="72"/>
        <v>4.0337999999999999E-2</v>
      </c>
      <c r="AM121" s="407">
        <f t="shared" si="86"/>
        <v>0.13814789189189189</v>
      </c>
      <c r="AN121" s="407">
        <f t="shared" si="114"/>
        <v>0.100338</v>
      </c>
      <c r="AO121" s="407">
        <f t="shared" si="115"/>
        <v>2.1042091388572972</v>
      </c>
      <c r="AP121">
        <f t="shared" si="74"/>
        <v>70.560000000000016</v>
      </c>
      <c r="AQ121" s="10">
        <f t="shared" si="116"/>
        <v>0.97104201416633773</v>
      </c>
      <c r="AR121" s="63">
        <f t="shared" si="117"/>
        <v>57.180939900609708</v>
      </c>
      <c r="AS121" s="63">
        <f t="shared" si="118"/>
        <v>9.3866460178482374</v>
      </c>
      <c r="AT121" s="10"/>
      <c r="AU121">
        <f t="shared" si="119"/>
        <v>97.104201416633771</v>
      </c>
    </row>
    <row r="122" spans="7:47" x14ac:dyDescent="0.2">
      <c r="G122">
        <v>113</v>
      </c>
      <c r="H122">
        <f t="shared" si="55"/>
        <v>5.0849999999999991</v>
      </c>
      <c r="I122" s="406">
        <f t="shared" si="97"/>
        <v>0.47187006969280981</v>
      </c>
      <c r="J122" s="407">
        <f t="shared" si="56"/>
        <v>3.3442244485670432</v>
      </c>
      <c r="K122" s="407">
        <f t="shared" si="77"/>
        <v>6.7571122242835209</v>
      </c>
      <c r="L122" s="407">
        <f t="shared" si="98"/>
        <v>3.4128877757164773</v>
      </c>
      <c r="M122" s="63">
        <f t="shared" si="57"/>
        <v>0</v>
      </c>
      <c r="N122" s="406">
        <f t="shared" si="99"/>
        <v>5.1758295402958794</v>
      </c>
      <c r="O122" s="406">
        <f t="shared" si="100"/>
        <v>2.3619050654796265E-2</v>
      </c>
      <c r="P122">
        <f t="shared" si="59"/>
        <v>0.2</v>
      </c>
      <c r="Q122" s="406">
        <f t="shared" si="80"/>
        <v>0.22361905065479629</v>
      </c>
      <c r="R122" s="9">
        <f t="shared" si="101"/>
        <v>0.96539444280535514</v>
      </c>
      <c r="S122" s="9">
        <f t="shared" si="102"/>
        <v>2.6095620045584942E-4</v>
      </c>
      <c r="T122" s="9">
        <f t="shared" si="103"/>
        <v>2.6095620045584942E-4</v>
      </c>
      <c r="U122" s="406">
        <f t="shared" si="104"/>
        <v>3.5554222062342515</v>
      </c>
      <c r="V122" s="408">
        <f t="shared" si="105"/>
        <v>1.2641027064583633E-2</v>
      </c>
      <c r="W122" s="406">
        <f t="shared" si="106"/>
        <v>1.2641027064583633E-2</v>
      </c>
      <c r="X122" s="406">
        <f t="shared" si="107"/>
        <v>3.5554222062342515</v>
      </c>
      <c r="Y122" s="406">
        <f t="shared" si="108"/>
        <v>0.65733340735834889</v>
      </c>
      <c r="Z122" s="406">
        <f t="shared" si="62"/>
        <v>0.12419347015901343</v>
      </c>
      <c r="AA122" s="406">
        <f t="shared" si="63"/>
        <v>0.1228566</v>
      </c>
      <c r="AB122" s="406">
        <f t="shared" si="64"/>
        <v>0</v>
      </c>
      <c r="AC122" s="406">
        <f t="shared" si="109"/>
        <v>1.0572803271063043</v>
      </c>
      <c r="AD122" s="406">
        <f t="shared" si="110"/>
        <v>3.7614072320895837</v>
      </c>
      <c r="AE122" s="406">
        <f t="shared" si="111"/>
        <v>0.14148184365615823</v>
      </c>
      <c r="AF122" s="406">
        <f t="shared" si="67"/>
        <v>9.1163879999999961E-2</v>
      </c>
      <c r="AG122" s="406">
        <f t="shared" si="112"/>
        <v>0.23803412474774066</v>
      </c>
      <c r="AH122" s="406">
        <f t="shared" si="113"/>
        <v>0</v>
      </c>
      <c r="AI122">
        <f t="shared" si="70"/>
        <v>0</v>
      </c>
      <c r="AJ122" s="407">
        <f t="shared" si="71"/>
        <v>0.493610628</v>
      </c>
      <c r="AK122">
        <f t="shared" si="85"/>
        <v>0.06</v>
      </c>
      <c r="AL122" s="407">
        <f t="shared" si="72"/>
        <v>4.0337999999999999E-2</v>
      </c>
      <c r="AM122" s="407">
        <f t="shared" si="86"/>
        <v>0.13814789189189189</v>
      </c>
      <c r="AN122" s="407">
        <f t="shared" si="114"/>
        <v>0.100338</v>
      </c>
      <c r="AO122" s="407">
        <f t="shared" si="115"/>
        <v>2.1257841137738804</v>
      </c>
      <c r="AP122">
        <f t="shared" si="74"/>
        <v>71.189999999999984</v>
      </c>
      <c r="AQ122" s="10">
        <f t="shared" si="116"/>
        <v>0.97100509611306873</v>
      </c>
      <c r="AR122" s="63">
        <f t="shared" si="117"/>
        <v>58.150417990846734</v>
      </c>
      <c r="AS122" s="63">
        <f t="shared" si="118"/>
        <v>9.5213649899096264</v>
      </c>
      <c r="AT122" s="10"/>
      <c r="AU122">
        <f t="shared" si="119"/>
        <v>97.100509611306876</v>
      </c>
    </row>
    <row r="123" spans="7:47" x14ac:dyDescent="0.2">
      <c r="G123">
        <v>114</v>
      </c>
      <c r="H123">
        <f t="shared" si="55"/>
        <v>5.13</v>
      </c>
      <c r="I123" s="406">
        <f t="shared" si="97"/>
        <v>0.47191645061498344</v>
      </c>
      <c r="J123" s="407">
        <f t="shared" si="56"/>
        <v>3.3445531581501307</v>
      </c>
      <c r="K123" s="407">
        <f t="shared" si="77"/>
        <v>6.8022765790750652</v>
      </c>
      <c r="L123" s="407">
        <f t="shared" si="98"/>
        <v>3.4577234209249346</v>
      </c>
      <c r="M123" s="63">
        <f t="shared" si="57"/>
        <v>0</v>
      </c>
      <c r="N123" s="406">
        <f t="shared" si="99"/>
        <v>5.2200641425472609</v>
      </c>
      <c r="O123" s="406">
        <f t="shared" si="100"/>
        <v>2.4025269798040771E-2</v>
      </c>
      <c r="P123">
        <f t="shared" si="59"/>
        <v>0.2</v>
      </c>
      <c r="Q123" s="406">
        <f t="shared" si="80"/>
        <v>0.22402526979804077</v>
      </c>
      <c r="R123" s="9">
        <f t="shared" si="101"/>
        <v>0.96548933308849549</v>
      </c>
      <c r="S123" s="9">
        <f t="shared" si="102"/>
        <v>2.6100750264614698E-4</v>
      </c>
      <c r="T123" s="9">
        <f t="shared" si="103"/>
        <v>2.6100750264614698E-4</v>
      </c>
      <c r="U123" s="406">
        <f t="shared" si="104"/>
        <v>3.585984416150954</v>
      </c>
      <c r="V123" s="408">
        <f t="shared" si="105"/>
        <v>1.2859284232877497E-2</v>
      </c>
      <c r="W123" s="406">
        <f t="shared" si="106"/>
        <v>1.2859284232877497E-2</v>
      </c>
      <c r="X123" s="406">
        <f t="shared" si="107"/>
        <v>3.585984416150954</v>
      </c>
      <c r="Y123" s="406">
        <f t="shared" si="108"/>
        <v>0.66868278010962978</v>
      </c>
      <c r="Z123" s="406">
        <f t="shared" si="62"/>
        <v>0.12545084912534962</v>
      </c>
      <c r="AA123" s="406">
        <f t="shared" si="63"/>
        <v>0.1228566</v>
      </c>
      <c r="AB123" s="406">
        <f t="shared" si="64"/>
        <v>0</v>
      </c>
      <c r="AC123" s="406">
        <f t="shared" si="109"/>
        <v>1.0751567690605857</v>
      </c>
      <c r="AD123" s="406">
        <f t="shared" si="110"/>
        <v>3.7933870642778036</v>
      </c>
      <c r="AE123" s="406">
        <f t="shared" si="111"/>
        <v>0.14389785419430173</v>
      </c>
      <c r="AF123" s="406">
        <f t="shared" si="67"/>
        <v>9.1970639999999979E-2</v>
      </c>
      <c r="AG123" s="406">
        <f t="shared" si="112"/>
        <v>0.24142702717919706</v>
      </c>
      <c r="AH123" s="406">
        <f t="shared" si="113"/>
        <v>0</v>
      </c>
      <c r="AI123">
        <f t="shared" si="70"/>
        <v>0</v>
      </c>
      <c r="AJ123" s="407">
        <f t="shared" si="71"/>
        <v>0.49357178399999996</v>
      </c>
      <c r="AK123">
        <f t="shared" si="85"/>
        <v>0.06</v>
      </c>
      <c r="AL123" s="407">
        <f t="shared" si="72"/>
        <v>4.0337999999999999E-2</v>
      </c>
      <c r="AM123" s="407">
        <f t="shared" si="86"/>
        <v>0.13814789189189189</v>
      </c>
      <c r="AN123" s="407">
        <f t="shared" si="114"/>
        <v>0.100338</v>
      </c>
      <c r="AO123" s="407">
        <f t="shared" si="115"/>
        <v>2.1476391417733471</v>
      </c>
      <c r="AP123">
        <f t="shared" si="74"/>
        <v>71.819999999999993</v>
      </c>
      <c r="AQ123" s="10">
        <f t="shared" si="116"/>
        <v>0.97096515223830537</v>
      </c>
      <c r="AR123" s="63">
        <f t="shared" si="117"/>
        <v>59.133622298332213</v>
      </c>
      <c r="AS123" s="63">
        <f t="shared" si="118"/>
        <v>9.6570810871678816</v>
      </c>
      <c r="AT123" s="10"/>
      <c r="AU123">
        <f t="shared" si="119"/>
        <v>97.096515223830536</v>
      </c>
    </row>
    <row r="124" spans="7:47" x14ac:dyDescent="0.2">
      <c r="G124">
        <v>115</v>
      </c>
      <c r="H124">
        <f t="shared" si="55"/>
        <v>5.1749999999999998</v>
      </c>
      <c r="I124" s="406">
        <f t="shared" si="97"/>
        <v>0.47196283742380218</v>
      </c>
      <c r="J124" s="407">
        <f t="shared" si="56"/>
        <v>3.3448819094528859</v>
      </c>
      <c r="K124" s="407">
        <f t="shared" si="77"/>
        <v>6.8474409547264425</v>
      </c>
      <c r="L124" s="407">
        <f t="shared" si="98"/>
        <v>3.5025590452735571</v>
      </c>
      <c r="M124" s="63">
        <f t="shared" si="57"/>
        <v>0</v>
      </c>
      <c r="N124" s="406">
        <f t="shared" si="99"/>
        <v>5.2643117228828782</v>
      </c>
      <c r="O124" s="406">
        <f t="shared" si="100"/>
        <v>2.4435093277506093E-2</v>
      </c>
      <c r="P124">
        <f t="shared" si="59"/>
        <v>0.2</v>
      </c>
      <c r="Q124" s="406">
        <f t="shared" si="80"/>
        <v>0.2244350932775061</v>
      </c>
      <c r="R124" s="9">
        <f t="shared" si="101"/>
        <v>0.96558423541506655</v>
      </c>
      <c r="S124" s="9">
        <f t="shared" si="102"/>
        <v>2.6105881639098763E-4</v>
      </c>
      <c r="T124" s="9">
        <f t="shared" si="103"/>
        <v>2.6105881639098763E-4</v>
      </c>
      <c r="U124" s="406">
        <f t="shared" si="104"/>
        <v>3.6165585423919921</v>
      </c>
      <c r="V124" s="408">
        <f t="shared" si="105"/>
        <v>1.3079495690548492E-2</v>
      </c>
      <c r="W124" s="406">
        <f t="shared" si="106"/>
        <v>1.3079495690548492E-2</v>
      </c>
      <c r="X124" s="406">
        <f t="shared" si="107"/>
        <v>3.6165585423919921</v>
      </c>
      <c r="Y124" s="406">
        <f t="shared" si="108"/>
        <v>0.68013377590852153</v>
      </c>
      <c r="Z124" s="406">
        <f t="shared" si="62"/>
        <v>0.12670822786599439</v>
      </c>
      <c r="AA124" s="406">
        <f t="shared" si="63"/>
        <v>0.1228566</v>
      </c>
      <c r="AB124" s="406">
        <f t="shared" si="64"/>
        <v>0</v>
      </c>
      <c r="AC124" s="406">
        <f t="shared" si="109"/>
        <v>1.0932864298674865</v>
      </c>
      <c r="AD124" s="406">
        <f t="shared" si="110"/>
        <v>3.8253734752483455</v>
      </c>
      <c r="AE124" s="406">
        <f t="shared" si="111"/>
        <v>0.14633482225133604</v>
      </c>
      <c r="AF124" s="406">
        <f t="shared" si="67"/>
        <v>9.2777399999999982E-2</v>
      </c>
      <c r="AG124" s="406">
        <f t="shared" si="112"/>
        <v>0.24484491621836935</v>
      </c>
      <c r="AH124" s="406">
        <f t="shared" si="113"/>
        <v>0</v>
      </c>
      <c r="AI124">
        <f t="shared" si="70"/>
        <v>0</v>
      </c>
      <c r="AJ124" s="407">
        <f t="shared" si="71"/>
        <v>0.49353293999999998</v>
      </c>
      <c r="AK124">
        <f t="shared" si="85"/>
        <v>0.06</v>
      </c>
      <c r="AL124" s="407">
        <f t="shared" si="72"/>
        <v>4.0337999999999999E-2</v>
      </c>
      <c r="AM124" s="407">
        <f t="shared" si="86"/>
        <v>0.13814789189189189</v>
      </c>
      <c r="AN124" s="407">
        <f t="shared" si="114"/>
        <v>0.100338</v>
      </c>
      <c r="AO124" s="407">
        <f t="shared" si="115"/>
        <v>2.1697779338703014</v>
      </c>
      <c r="AP124">
        <f t="shared" si="74"/>
        <v>72.45</v>
      </c>
      <c r="AQ124" s="10">
        <f t="shared" si="116"/>
        <v>0.97092221400346146</v>
      </c>
      <c r="AR124" s="63">
        <f t="shared" si="117"/>
        <v>60.130753642711753</v>
      </c>
      <c r="AS124" s="63">
        <f t="shared" si="118"/>
        <v>9.793796648734773</v>
      </c>
      <c r="AT124" s="10"/>
      <c r="AU124">
        <f t="shared" si="119"/>
        <v>97.092221400346148</v>
      </c>
    </row>
    <row r="125" spans="7:47" x14ac:dyDescent="0.2">
      <c r="G125">
        <v>116</v>
      </c>
      <c r="H125">
        <f t="shared" si="55"/>
        <v>5.22</v>
      </c>
      <c r="I125" s="406">
        <f t="shared" si="97"/>
        <v>0.47200923012038642</v>
      </c>
      <c r="J125" s="407">
        <f t="shared" si="56"/>
        <v>3.3452107024832487</v>
      </c>
      <c r="K125" s="407">
        <f t="shared" si="77"/>
        <v>6.8926053512416239</v>
      </c>
      <c r="L125" s="407">
        <f t="shared" si="98"/>
        <v>3.5473946487583756</v>
      </c>
      <c r="M125" s="63">
        <f t="shared" si="57"/>
        <v>0</v>
      </c>
      <c r="N125" s="406">
        <f t="shared" si="99"/>
        <v>5.3085719567821661</v>
      </c>
      <c r="O125" s="406">
        <f t="shared" si="100"/>
        <v>2.4848521798294852E-2</v>
      </c>
      <c r="P125">
        <f t="shared" si="59"/>
        <v>0.2</v>
      </c>
      <c r="Q125" s="406">
        <f t="shared" si="80"/>
        <v>0.22484852179829487</v>
      </c>
      <c r="R125" s="9">
        <f t="shared" si="101"/>
        <v>0.96567914978736047</v>
      </c>
      <c r="S125" s="9">
        <f t="shared" si="102"/>
        <v>2.6111014169353104E-4</v>
      </c>
      <c r="T125" s="9">
        <f t="shared" si="103"/>
        <v>2.6111014169353104E-4</v>
      </c>
      <c r="U125" s="406">
        <f t="shared" si="104"/>
        <v>3.6471443636674956</v>
      </c>
      <c r="V125" s="408">
        <f t="shared" si="105"/>
        <v>1.3301662009431581E-2</v>
      </c>
      <c r="W125" s="406">
        <f t="shared" si="106"/>
        <v>1.3301662009431581E-2</v>
      </c>
      <c r="X125" s="406">
        <f t="shared" si="107"/>
        <v>3.6471443636674956</v>
      </c>
      <c r="Y125" s="406">
        <f t="shared" si="108"/>
        <v>0.69168642449044215</v>
      </c>
      <c r="Z125" s="406">
        <f t="shared" si="62"/>
        <v>0.12796560638090479</v>
      </c>
      <c r="AA125" s="406">
        <f t="shared" si="63"/>
        <v>0.1228566</v>
      </c>
      <c r="AB125" s="406">
        <f t="shared" si="64"/>
        <v>0</v>
      </c>
      <c r="AC125" s="406">
        <f t="shared" si="109"/>
        <v>1.1116730446284704</v>
      </c>
      <c r="AD125" s="406">
        <f t="shared" si="110"/>
        <v>3.8573662272206475</v>
      </c>
      <c r="AE125" s="406">
        <f t="shared" si="111"/>
        <v>0.14879274210902452</v>
      </c>
      <c r="AF125" s="406">
        <f t="shared" si="67"/>
        <v>9.3584159999999972E-2</v>
      </c>
      <c r="AG125" s="406">
        <f t="shared" si="112"/>
        <v>0.24828785093674202</v>
      </c>
      <c r="AH125" s="406">
        <f t="shared" si="113"/>
        <v>0</v>
      </c>
      <c r="AI125">
        <f t="shared" si="70"/>
        <v>0</v>
      </c>
      <c r="AJ125" s="407">
        <f t="shared" si="71"/>
        <v>0.49349409600000005</v>
      </c>
      <c r="AK125">
        <f t="shared" si="85"/>
        <v>0.06</v>
      </c>
      <c r="AL125" s="407">
        <f t="shared" si="72"/>
        <v>4.0337999999999999E-2</v>
      </c>
      <c r="AM125" s="407">
        <f t="shared" si="86"/>
        <v>0.13814789189189189</v>
      </c>
      <c r="AN125" s="407">
        <f t="shared" si="114"/>
        <v>0.100338</v>
      </c>
      <c r="AO125" s="407">
        <f t="shared" si="115"/>
        <v>2.1922042855146322</v>
      </c>
      <c r="AP125">
        <f t="shared" si="74"/>
        <v>73.08</v>
      </c>
      <c r="AQ125" s="10">
        <f t="shared" si="116"/>
        <v>0.97087631076672876</v>
      </c>
      <c r="AR125" s="63">
        <f t="shared" si="117"/>
        <v>61.142017454565874</v>
      </c>
      <c r="AS125" s="63">
        <f t="shared" si="118"/>
        <v>9.9315140374696806</v>
      </c>
      <c r="AT125" s="10"/>
      <c r="AU125">
        <f t="shared" si="119"/>
        <v>97.087631076672878</v>
      </c>
    </row>
    <row r="126" spans="7:47" x14ac:dyDescent="0.2">
      <c r="G126">
        <v>117</v>
      </c>
      <c r="H126">
        <f t="shared" si="55"/>
        <v>5.2649999999999997</v>
      </c>
      <c r="I126" s="406">
        <f t="shared" si="97"/>
        <v>0.47205562870585754</v>
      </c>
      <c r="J126" s="407">
        <f t="shared" si="56"/>
        <v>3.3455395372491674</v>
      </c>
      <c r="K126" s="407">
        <f t="shared" si="77"/>
        <v>6.9377697686245838</v>
      </c>
      <c r="L126" s="407">
        <f t="shared" si="98"/>
        <v>3.592230231375416</v>
      </c>
      <c r="M126" s="63">
        <f t="shared" si="57"/>
        <v>0</v>
      </c>
      <c r="N126" s="406">
        <f t="shared" si="99"/>
        <v>5.3528445303665206</v>
      </c>
      <c r="O126" s="406">
        <f t="shared" si="100"/>
        <v>2.5265556071782089E-2</v>
      </c>
      <c r="P126">
        <f t="shared" si="59"/>
        <v>0.2</v>
      </c>
      <c r="Q126" s="406">
        <f t="shared" si="80"/>
        <v>0.22526555607178211</v>
      </c>
      <c r="R126" s="9">
        <f t="shared" si="101"/>
        <v>0.96577407620767142</v>
      </c>
      <c r="S126" s="9">
        <f t="shared" si="102"/>
        <v>2.6116147855693875E-4</v>
      </c>
      <c r="T126" s="9">
        <f t="shared" si="103"/>
        <v>2.6116147855693875E-4</v>
      </c>
      <c r="U126" s="406">
        <f t="shared" si="104"/>
        <v>3.6777416659557427</v>
      </c>
      <c r="V126" s="408">
        <f t="shared" si="105"/>
        <v>1.3525783761506923E-2</v>
      </c>
      <c r="W126" s="406">
        <f t="shared" si="106"/>
        <v>1.3525783761506923E-2</v>
      </c>
      <c r="X126" s="406">
        <f t="shared" si="107"/>
        <v>3.6777416659557427</v>
      </c>
      <c r="Y126" s="406">
        <f t="shared" si="108"/>
        <v>0.70334075559835996</v>
      </c>
      <c r="Z126" s="406">
        <f t="shared" si="62"/>
        <v>0.12922298467003787</v>
      </c>
      <c r="AA126" s="406">
        <f t="shared" si="63"/>
        <v>0.1228566</v>
      </c>
      <c r="AB126" s="406">
        <f t="shared" si="64"/>
        <v>0</v>
      </c>
      <c r="AC126" s="406">
        <f t="shared" si="109"/>
        <v>1.1303204345374878</v>
      </c>
      <c r="AD126" s="406">
        <f t="shared" si="110"/>
        <v>3.8893650901873245</v>
      </c>
      <c r="AE126" s="406">
        <f t="shared" si="111"/>
        <v>0.15127160804767856</v>
      </c>
      <c r="AF126" s="406">
        <f t="shared" si="67"/>
        <v>9.4390919999999975E-2</v>
      </c>
      <c r="AG126" s="406">
        <f t="shared" si="112"/>
        <v>0.25175589100246554</v>
      </c>
      <c r="AH126" s="406">
        <f t="shared" si="113"/>
        <v>0</v>
      </c>
      <c r="AI126">
        <f t="shared" si="70"/>
        <v>0</v>
      </c>
      <c r="AJ126" s="407">
        <f t="shared" si="71"/>
        <v>0.49345525200000001</v>
      </c>
      <c r="AK126">
        <f t="shared" si="85"/>
        <v>0.06</v>
      </c>
      <c r="AL126" s="407">
        <f t="shared" si="72"/>
        <v>4.0337999999999999E-2</v>
      </c>
      <c r="AM126" s="407">
        <f t="shared" si="86"/>
        <v>0.13814789189189189</v>
      </c>
      <c r="AN126" s="407">
        <f t="shared" si="114"/>
        <v>0.100338</v>
      </c>
      <c r="AO126" s="407">
        <f t="shared" si="115"/>
        <v>2.2149220788517994</v>
      </c>
      <c r="AP126">
        <f t="shared" si="74"/>
        <v>73.709999999999994</v>
      </c>
      <c r="AQ126" s="10">
        <f t="shared" si="116"/>
        <v>0.97082746984512547</v>
      </c>
      <c r="AR126" s="63">
        <f t="shared" si="117"/>
        <v>62.167623899561825</v>
      </c>
      <c r="AS126" s="63">
        <f t="shared" si="118"/>
        <v>10.070235640098621</v>
      </c>
      <c r="AT126" s="10"/>
      <c r="AU126">
        <f t="shared" si="119"/>
        <v>97.082746984512553</v>
      </c>
    </row>
    <row r="127" spans="7:47" x14ac:dyDescent="0.2">
      <c r="G127">
        <v>118</v>
      </c>
      <c r="H127">
        <f t="shared" si="55"/>
        <v>5.31</v>
      </c>
      <c r="I127" s="406">
        <f t="shared" si="97"/>
        <v>0.4721020331813367</v>
      </c>
      <c r="J127" s="407">
        <f t="shared" si="56"/>
        <v>3.3458684137585872</v>
      </c>
      <c r="K127" s="407">
        <f t="shared" si="77"/>
        <v>6.9829342068792934</v>
      </c>
      <c r="L127" s="407">
        <f t="shared" si="98"/>
        <v>3.6370657931207058</v>
      </c>
      <c r="M127" s="63">
        <f t="shared" si="57"/>
        <v>0</v>
      </c>
      <c r="N127" s="406">
        <f t="shared" si="99"/>
        <v>5.3971291399702128</v>
      </c>
      <c r="O127" s="406">
        <f t="shared" si="100"/>
        <v>2.5686196815618373E-2</v>
      </c>
      <c r="P127">
        <f t="shared" si="59"/>
        <v>0.2</v>
      </c>
      <c r="Q127" s="406">
        <f t="shared" si="80"/>
        <v>0.22568619681561838</v>
      </c>
      <c r="R127" s="9">
        <f t="shared" si="101"/>
        <v>0.96586901467829334</v>
      </c>
      <c r="S127" s="9">
        <f t="shared" si="102"/>
        <v>2.6121282698437283E-4</v>
      </c>
      <c r="T127" s="9">
        <f t="shared" si="103"/>
        <v>2.6121282698437283E-4</v>
      </c>
      <c r="U127" s="406">
        <f t="shared" si="104"/>
        <v>3.7083502422101233</v>
      </c>
      <c r="V127" s="408">
        <f t="shared" si="105"/>
        <v>1.3751861518899882E-2</v>
      </c>
      <c r="W127" s="406">
        <f t="shared" si="106"/>
        <v>1.3751861518899882E-2</v>
      </c>
      <c r="X127" s="406">
        <f t="shared" si="107"/>
        <v>3.7083502422101233</v>
      </c>
      <c r="Y127" s="406">
        <f t="shared" si="108"/>
        <v>0.71509679898279377</v>
      </c>
      <c r="Z127" s="406">
        <f t="shared" si="62"/>
        <v>0.13048036273335059</v>
      </c>
      <c r="AA127" s="406">
        <f t="shared" si="63"/>
        <v>0.1228566</v>
      </c>
      <c r="AB127" s="406">
        <f t="shared" si="64"/>
        <v>0</v>
      </c>
      <c r="AC127" s="406">
        <f t="shared" si="109"/>
        <v>1.1492325092138118</v>
      </c>
      <c r="AD127" s="406">
        <f t="shared" si="110"/>
        <v>3.9213698416007294</v>
      </c>
      <c r="AE127" s="406">
        <f t="shared" si="111"/>
        <v>0.15377141434615729</v>
      </c>
      <c r="AF127" s="406">
        <f t="shared" si="67"/>
        <v>9.5197679999999965E-2</v>
      </c>
      <c r="AG127" s="406">
        <f t="shared" si="112"/>
        <v>0.2552490966833702</v>
      </c>
      <c r="AH127" s="406">
        <f t="shared" si="113"/>
        <v>0</v>
      </c>
      <c r="AI127">
        <f t="shared" si="70"/>
        <v>0</v>
      </c>
      <c r="AJ127" s="407">
        <f t="shared" si="71"/>
        <v>0.49341640800000003</v>
      </c>
      <c r="AK127">
        <f t="shared" si="85"/>
        <v>0.06</v>
      </c>
      <c r="AL127" s="407">
        <f t="shared" si="72"/>
        <v>4.0337999999999999E-2</v>
      </c>
      <c r="AM127" s="407">
        <f t="shared" si="86"/>
        <v>0.13814789189189189</v>
      </c>
      <c r="AN127" s="407">
        <f t="shared" si="114"/>
        <v>0.100338</v>
      </c>
      <c r="AO127" s="407">
        <f t="shared" si="115"/>
        <v>2.2379352850586844</v>
      </c>
      <c r="AP127">
        <f t="shared" si="74"/>
        <v>74.339999999999989</v>
      </c>
      <c r="AQ127" s="10">
        <f t="shared" si="116"/>
        <v>0.97077571657256034</v>
      </c>
      <c r="AR127" s="63">
        <f t="shared" si="117"/>
        <v>63.20778800675965</v>
      </c>
      <c r="AS127" s="63">
        <f t="shared" si="118"/>
        <v>10.209963867334809</v>
      </c>
      <c r="AT127" s="10"/>
      <c r="AU127">
        <f t="shared" si="119"/>
        <v>97.07757165725603</v>
      </c>
    </row>
    <row r="128" spans="7:47" x14ac:dyDescent="0.2">
      <c r="G128">
        <v>119</v>
      </c>
      <c r="H128">
        <f t="shared" si="55"/>
        <v>5.3549999999999995</v>
      </c>
      <c r="I128" s="406">
        <f t="shared" si="97"/>
        <v>0.47214844354794561</v>
      </c>
      <c r="J128" s="407">
        <f t="shared" si="56"/>
        <v>3.3461973320194587</v>
      </c>
      <c r="K128" s="407">
        <f t="shared" si="77"/>
        <v>7.0280986660097291</v>
      </c>
      <c r="L128" s="407">
        <f t="shared" si="98"/>
        <v>3.68190133399027</v>
      </c>
      <c r="M128" s="63">
        <f t="shared" si="57"/>
        <v>0</v>
      </c>
      <c r="N128" s="406">
        <f t="shared" si="99"/>
        <v>5.4414254917317244</v>
      </c>
      <c r="O128" s="406">
        <f t="shared" si="100"/>
        <v>2.6110444753732882E-2</v>
      </c>
      <c r="P128">
        <f t="shared" si="59"/>
        <v>0.2</v>
      </c>
      <c r="Q128" s="406">
        <f t="shared" si="80"/>
        <v>0.2261104447537329</v>
      </c>
      <c r="R128" s="9">
        <f t="shared" si="101"/>
        <v>0.96596396520152106</v>
      </c>
      <c r="S128" s="9">
        <f t="shared" si="102"/>
        <v>2.6126418697899672E-4</v>
      </c>
      <c r="T128" s="9">
        <f t="shared" si="103"/>
        <v>2.6126418697899672E-4</v>
      </c>
      <c r="U128" s="406">
        <f t="shared" si="104"/>
        <v>3.7389698920800485</v>
      </c>
      <c r="V128" s="408">
        <f t="shared" si="105"/>
        <v>1.397989585388109E-2</v>
      </c>
      <c r="W128" s="406">
        <f t="shared" si="106"/>
        <v>1.397989585388109E-2</v>
      </c>
      <c r="X128" s="406">
        <f t="shared" si="107"/>
        <v>3.7389698920800485</v>
      </c>
      <c r="Y128" s="406">
        <f t="shared" si="108"/>
        <v>0.72695458440181659</v>
      </c>
      <c r="Z128" s="406">
        <f t="shared" si="62"/>
        <v>0.13173774057079998</v>
      </c>
      <c r="AA128" s="406">
        <f t="shared" si="63"/>
        <v>0.1228566</v>
      </c>
      <c r="AB128" s="406">
        <f t="shared" si="64"/>
        <v>0</v>
      </c>
      <c r="AC128" s="406">
        <f t="shared" si="109"/>
        <v>1.168413269113346</v>
      </c>
      <c r="AD128" s="406">
        <f t="shared" si="110"/>
        <v>3.9533802660744324</v>
      </c>
      <c r="AE128" s="406">
        <f t="shared" si="111"/>
        <v>0.15629215528186749</v>
      </c>
      <c r="AF128" s="406">
        <f t="shared" si="67"/>
        <v>9.6004439999999969E-2</v>
      </c>
      <c r="AG128" s="406">
        <f t="shared" si="112"/>
        <v>0.25876752885001653</v>
      </c>
      <c r="AH128" s="406">
        <f t="shared" si="113"/>
        <v>0</v>
      </c>
      <c r="AI128">
        <f t="shared" si="70"/>
        <v>0</v>
      </c>
      <c r="AJ128" s="407">
        <f t="shared" si="71"/>
        <v>0.49337756400000005</v>
      </c>
      <c r="AK128">
        <f t="shared" si="85"/>
        <v>0.06</v>
      </c>
      <c r="AL128" s="407">
        <f t="shared" si="72"/>
        <v>4.0337999999999999E-2</v>
      </c>
      <c r="AM128" s="407">
        <f t="shared" si="86"/>
        <v>0.13814789189189189</v>
      </c>
      <c r="AN128" s="407">
        <f t="shared" si="114"/>
        <v>0.100338</v>
      </c>
      <c r="AO128" s="407">
        <f t="shared" si="115"/>
        <v>2.2612479667579555</v>
      </c>
      <c r="AP128">
        <f t="shared" si="74"/>
        <v>74.97</v>
      </c>
      <c r="AQ128" s="10">
        <f t="shared" si="116"/>
        <v>0.97072107435411059</v>
      </c>
      <c r="AR128" s="63">
        <f t="shared" si="117"/>
        <v>64.26272980123403</v>
      </c>
      <c r="AS128" s="63">
        <f t="shared" si="118"/>
        <v>10.35070115400066</v>
      </c>
      <c r="AT128" s="10"/>
      <c r="AU128">
        <f t="shared" si="119"/>
        <v>97.072107435411056</v>
      </c>
    </row>
    <row r="129" spans="7:47" x14ac:dyDescent="0.2">
      <c r="G129">
        <v>120</v>
      </c>
      <c r="H129">
        <f t="shared" si="55"/>
        <v>5.3999999999999995</v>
      </c>
      <c r="I129" s="406">
        <f t="shared" si="97"/>
        <v>0.47219485980680614</v>
      </c>
      <c r="J129" s="407">
        <f t="shared" si="56"/>
        <v>3.3465262920397318</v>
      </c>
      <c r="K129" s="407">
        <f t="shared" si="77"/>
        <v>7.0732631460198654</v>
      </c>
      <c r="L129" s="407">
        <f t="shared" si="98"/>
        <v>3.7267368539801335</v>
      </c>
      <c r="M129" s="63">
        <f t="shared" si="57"/>
        <v>0</v>
      </c>
      <c r="N129" s="406">
        <f t="shared" si="99"/>
        <v>5.4857333012043847</v>
      </c>
      <c r="O129" s="406">
        <f t="shared" si="100"/>
        <v>2.6538300616336531E-2</v>
      </c>
      <c r="P129">
        <f t="shared" si="59"/>
        <v>0.2</v>
      </c>
      <c r="Q129" s="406">
        <f t="shared" si="80"/>
        <v>0.22653830061633654</v>
      </c>
      <c r="R129" s="9">
        <f t="shared" si="101"/>
        <v>0.96605892777964975</v>
      </c>
      <c r="S129" s="9">
        <f t="shared" si="102"/>
        <v>2.6131555854397466E-4</v>
      </c>
      <c r="T129" s="9">
        <f t="shared" si="103"/>
        <v>2.6131555854397466E-4</v>
      </c>
      <c r="U129" s="406">
        <f t="shared" si="104"/>
        <v>3.7696004216450447</v>
      </c>
      <c r="V129" s="408">
        <f t="shared" si="105"/>
        <v>1.42098873388665E-2</v>
      </c>
      <c r="W129" s="406">
        <f t="shared" si="106"/>
        <v>1.42098873388665E-2</v>
      </c>
      <c r="X129" s="406">
        <f t="shared" si="107"/>
        <v>3.7696004216450447</v>
      </c>
      <c r="Y129" s="406">
        <f t="shared" si="108"/>
        <v>0.73891414162105795</v>
      </c>
      <c r="Z129" s="406">
        <f t="shared" si="62"/>
        <v>0.13299511818234303</v>
      </c>
      <c r="AA129" s="406">
        <f t="shared" si="63"/>
        <v>0.1228566</v>
      </c>
      <c r="AB129" s="406">
        <f t="shared" si="64"/>
        <v>0</v>
      </c>
      <c r="AC129" s="406">
        <f t="shared" si="109"/>
        <v>1.1878668080214505</v>
      </c>
      <c r="AD129" s="406">
        <f t="shared" si="110"/>
        <v>3.9853961550987953</v>
      </c>
      <c r="AE129" s="406">
        <f t="shared" si="111"/>
        <v>0.15883382513076261</v>
      </c>
      <c r="AF129" s="406">
        <f t="shared" si="67"/>
        <v>9.6811199999999972E-2</v>
      </c>
      <c r="AG129" s="406">
        <f t="shared" si="112"/>
        <v>0.26231124897878311</v>
      </c>
      <c r="AH129" s="406">
        <f t="shared" si="113"/>
        <v>0</v>
      </c>
      <c r="AI129">
        <f t="shared" si="70"/>
        <v>0</v>
      </c>
      <c r="AJ129" s="407">
        <f t="shared" si="71"/>
        <v>0.49333872000000001</v>
      </c>
      <c r="AK129">
        <f t="shared" si="85"/>
        <v>0.06</v>
      </c>
      <c r="AL129" s="407">
        <f t="shared" si="72"/>
        <v>4.0337999999999999E-2</v>
      </c>
      <c r="AM129" s="407">
        <f t="shared" si="86"/>
        <v>0.13814789189189189</v>
      </c>
      <c r="AN129" s="407">
        <f t="shared" si="114"/>
        <v>0.100338</v>
      </c>
      <c r="AO129" s="407">
        <f t="shared" si="115"/>
        <v>2.2848642805139807</v>
      </c>
      <c r="AP129">
        <f t="shared" si="74"/>
        <v>75.599999999999994</v>
      </c>
      <c r="AQ129" s="10">
        <f t="shared" si="116"/>
        <v>0.9706635647166989</v>
      </c>
      <c r="AR129" s="63">
        <f t="shared" si="117"/>
        <v>65.332674441179776</v>
      </c>
      <c r="AS129" s="63">
        <f t="shared" si="118"/>
        <v>10.492449959151324</v>
      </c>
      <c r="AT129" s="10"/>
      <c r="AU129">
        <f t="shared" si="119"/>
        <v>97.066356471669891</v>
      </c>
    </row>
    <row r="130" spans="7:47" x14ac:dyDescent="0.2">
      <c r="G130">
        <v>121</v>
      </c>
      <c r="H130">
        <f t="shared" si="55"/>
        <v>5.4450000000000003</v>
      </c>
      <c r="I130" s="406">
        <f t="shared" si="97"/>
        <v>0.47224128195904042</v>
      </c>
      <c r="J130" s="407">
        <f t="shared" si="56"/>
        <v>3.3468552938273595</v>
      </c>
      <c r="K130" s="407">
        <f t="shared" si="77"/>
        <v>7.1184276469136805</v>
      </c>
      <c r="L130" s="407">
        <f t="shared" si="98"/>
        <v>3.7715723530863206</v>
      </c>
      <c r="M130" s="63">
        <f t="shared" si="57"/>
        <v>0</v>
      </c>
      <c r="N130" s="406">
        <f t="shared" si="99"/>
        <v>5.5300522929852738</v>
      </c>
      <c r="O130" s="406">
        <f t="shared" si="100"/>
        <v>2.6969765139925134E-2</v>
      </c>
      <c r="P130">
        <f t="shared" si="59"/>
        <v>0.2</v>
      </c>
      <c r="Q130" s="406">
        <f t="shared" si="80"/>
        <v>0.22696976513992514</v>
      </c>
      <c r="R130" s="9">
        <f t="shared" si="101"/>
        <v>0.96615390241497512</v>
      </c>
      <c r="S130" s="9">
        <f t="shared" si="102"/>
        <v>2.6136694168247187E-4</v>
      </c>
      <c r="T130" s="9">
        <f t="shared" si="103"/>
        <v>2.6136694168247187E-4</v>
      </c>
      <c r="U130" s="406">
        <f t="shared" si="104"/>
        <v>3.8002416431613146</v>
      </c>
      <c r="V130" s="408">
        <f t="shared" si="105"/>
        <v>1.4441836546417409E-2</v>
      </c>
      <c r="W130" s="406">
        <f t="shared" si="106"/>
        <v>1.4441836546417409E-2</v>
      </c>
      <c r="X130" s="406">
        <f t="shared" si="107"/>
        <v>3.8002416431613146</v>
      </c>
      <c r="Y130" s="406">
        <f t="shared" si="108"/>
        <v>0.75097550041370531</v>
      </c>
      <c r="Z130" s="406">
        <f t="shared" si="62"/>
        <v>0.13425249556793672</v>
      </c>
      <c r="AA130" s="406">
        <f t="shared" si="63"/>
        <v>0.1228566</v>
      </c>
      <c r="AB130" s="406">
        <f t="shared" si="64"/>
        <v>0</v>
      </c>
      <c r="AC130" s="406">
        <f t="shared" si="109"/>
        <v>1.20759731563049</v>
      </c>
      <c r="AD130" s="406">
        <f t="shared" si="110"/>
        <v>4.0174173067698948</v>
      </c>
      <c r="AE130" s="406">
        <f t="shared" si="111"/>
        <v>0.16139641816734276</v>
      </c>
      <c r="AF130" s="406">
        <f t="shared" si="67"/>
        <v>9.761795999999999E-2</v>
      </c>
      <c r="AG130" s="406">
        <f t="shared" si="112"/>
        <v>0.26588031915499166</v>
      </c>
      <c r="AH130" s="406">
        <f t="shared" si="113"/>
        <v>0</v>
      </c>
      <c r="AI130">
        <f t="shared" si="70"/>
        <v>0</v>
      </c>
      <c r="AJ130" s="407">
        <f t="shared" si="71"/>
        <v>0.49329987600000003</v>
      </c>
      <c r="AK130">
        <f t="shared" si="85"/>
        <v>0.06</v>
      </c>
      <c r="AL130" s="407">
        <f t="shared" si="72"/>
        <v>4.0337999999999999E-2</v>
      </c>
      <c r="AM130" s="407">
        <f t="shared" si="86"/>
        <v>0.13814789189189189</v>
      </c>
      <c r="AN130" s="407">
        <f t="shared" si="114"/>
        <v>0.100338</v>
      </c>
      <c r="AO130" s="407">
        <f t="shared" si="115"/>
        <v>2.3087884794135065</v>
      </c>
      <c r="AP130">
        <f t="shared" si="74"/>
        <v>76.23</v>
      </c>
      <c r="AQ130" s="10">
        <f t="shared" si="116"/>
        <v>0.97060320735634109</v>
      </c>
      <c r="AR130" s="63">
        <f t="shared" si="117"/>
        <v>66.417852359676957</v>
      </c>
      <c r="AS130" s="63">
        <f t="shared" si="118"/>
        <v>10.635212766199666</v>
      </c>
      <c r="AT130" s="10"/>
      <c r="AU130">
        <f t="shared" si="119"/>
        <v>97.060320735634107</v>
      </c>
    </row>
    <row r="131" spans="7:47" x14ac:dyDescent="0.2">
      <c r="G131">
        <v>122</v>
      </c>
      <c r="H131">
        <f t="shared" si="55"/>
        <v>5.49</v>
      </c>
      <c r="I131" s="406">
        <f t="shared" si="97"/>
        <v>0.47228771000577102</v>
      </c>
      <c r="J131" s="407">
        <f t="shared" si="56"/>
        <v>3.3471843373902979</v>
      </c>
      <c r="K131" s="407">
        <f t="shared" si="77"/>
        <v>7.1635921686951489</v>
      </c>
      <c r="L131" s="407">
        <f t="shared" si="98"/>
        <v>3.8164078313048515</v>
      </c>
      <c r="M131" s="63">
        <f t="shared" si="57"/>
        <v>0</v>
      </c>
      <c r="N131" s="406">
        <f t="shared" si="99"/>
        <v>5.5743822003613923</v>
      </c>
      <c r="O131" s="406">
        <f t="shared" si="100"/>
        <v>2.7404839067282548E-2</v>
      </c>
      <c r="P131">
        <f t="shared" si="59"/>
        <v>0.2</v>
      </c>
      <c r="Q131" s="406">
        <f t="shared" si="80"/>
        <v>0.22740483906728257</v>
      </c>
      <c r="R131" s="9">
        <f t="shared" si="101"/>
        <v>0.9662488891097939</v>
      </c>
      <c r="S131" s="9">
        <f t="shared" si="102"/>
        <v>2.6141833639765504E-4</v>
      </c>
      <c r="T131" s="9">
        <f t="shared" si="103"/>
        <v>2.6141833639765504E-4</v>
      </c>
      <c r="U131" s="406">
        <f t="shared" si="104"/>
        <v>3.8308933748201004</v>
      </c>
      <c r="V131" s="408">
        <f t="shared" si="105"/>
        <v>1.467574404924054E-2</v>
      </c>
      <c r="W131" s="406">
        <f t="shared" si="106"/>
        <v>1.467574404924054E-2</v>
      </c>
      <c r="X131" s="406">
        <f t="shared" si="107"/>
        <v>3.8308933748201004</v>
      </c>
      <c r="Y131" s="406">
        <f t="shared" si="108"/>
        <v>0.76313869056050798</v>
      </c>
      <c r="Z131" s="406">
        <f t="shared" si="62"/>
        <v>0.13550987272753795</v>
      </c>
      <c r="AA131" s="406">
        <f t="shared" si="63"/>
        <v>0.1228566</v>
      </c>
      <c r="AB131" s="406">
        <f t="shared" si="64"/>
        <v>0</v>
      </c>
      <c r="AC131" s="406">
        <f t="shared" si="109"/>
        <v>1.2276090802054436</v>
      </c>
      <c r="AD131" s="406">
        <f t="shared" si="110"/>
        <v>4.0494435255310552</v>
      </c>
      <c r="AE131" s="406">
        <f t="shared" si="111"/>
        <v>0.16397992866465383</v>
      </c>
      <c r="AF131" s="406">
        <f t="shared" si="67"/>
        <v>9.8424719999999979E-2</v>
      </c>
      <c r="AG131" s="406">
        <f t="shared" si="112"/>
        <v>0.26947480207607072</v>
      </c>
      <c r="AH131" s="406">
        <f t="shared" si="113"/>
        <v>0</v>
      </c>
      <c r="AI131">
        <f t="shared" si="70"/>
        <v>0</v>
      </c>
      <c r="AJ131" s="407">
        <f t="shared" si="71"/>
        <v>0.49326103199999999</v>
      </c>
      <c r="AK131">
        <f t="shared" si="85"/>
        <v>0.06</v>
      </c>
      <c r="AL131" s="407">
        <f t="shared" si="72"/>
        <v>4.0337999999999999E-2</v>
      </c>
      <c r="AM131" s="407">
        <f t="shared" si="86"/>
        <v>0.13814789189189189</v>
      </c>
      <c r="AN131" s="407">
        <f t="shared" si="114"/>
        <v>0.100338</v>
      </c>
      <c r="AO131" s="407">
        <f t="shared" si="115"/>
        <v>2.3330249157344349</v>
      </c>
      <c r="AP131">
        <f t="shared" si="74"/>
        <v>76.86</v>
      </c>
      <c r="AQ131" s="10">
        <f t="shared" si="116"/>
        <v>0.97054002018211949</v>
      </c>
      <c r="AR131" s="63">
        <f t="shared" si="117"/>
        <v>67.518499411299402</v>
      </c>
      <c r="AS131" s="63">
        <f t="shared" si="118"/>
        <v>10.778992083042828</v>
      </c>
      <c r="AT131" s="10"/>
      <c r="AU131">
        <f t="shared" si="119"/>
        <v>97.054002018211946</v>
      </c>
    </row>
    <row r="132" spans="7:47" x14ac:dyDescent="0.2">
      <c r="G132">
        <v>123</v>
      </c>
      <c r="H132">
        <f t="shared" si="55"/>
        <v>5.5350000000000001</v>
      </c>
      <c r="I132" s="406">
        <f t="shared" si="97"/>
        <v>0.47233414394812068</v>
      </c>
      <c r="J132" s="407">
        <f t="shared" si="56"/>
        <v>3.3475134227365038</v>
      </c>
      <c r="K132" s="407">
        <f t="shared" si="77"/>
        <v>7.2087567113682525</v>
      </c>
      <c r="L132" s="407">
        <f t="shared" si="98"/>
        <v>3.8612432886317483</v>
      </c>
      <c r="M132" s="63">
        <f t="shared" si="57"/>
        <v>0</v>
      </c>
      <c r="N132" s="406">
        <f t="shared" si="99"/>
        <v>5.6187227649721923</v>
      </c>
      <c r="O132" s="406">
        <f t="shared" si="100"/>
        <v>2.7843523147483902E-2</v>
      </c>
      <c r="P132">
        <f t="shared" si="59"/>
        <v>0.2</v>
      </c>
      <c r="Q132" s="406">
        <f t="shared" si="80"/>
        <v>0.22784352314748391</v>
      </c>
      <c r="R132" s="9">
        <f t="shared" si="101"/>
        <v>0.96634388786640302</v>
      </c>
      <c r="S132" s="9">
        <f t="shared" si="102"/>
        <v>2.6146974269269154E-4</v>
      </c>
      <c r="T132" s="9">
        <f t="shared" si="103"/>
        <v>2.6146974269269154E-4</v>
      </c>
      <c r="U132" s="406">
        <f t="shared" si="104"/>
        <v>3.8615554405172068</v>
      </c>
      <c r="V132" s="408">
        <f t="shared" si="105"/>
        <v>1.4911610420188039E-2</v>
      </c>
      <c r="W132" s="406">
        <f t="shared" si="106"/>
        <v>1.4911610420188039E-2</v>
      </c>
      <c r="X132" s="406">
        <f t="shared" si="107"/>
        <v>3.8615554405172068</v>
      </c>
      <c r="Y132" s="406">
        <f t="shared" si="108"/>
        <v>0.77540374184977801</v>
      </c>
      <c r="Z132" s="406">
        <f t="shared" si="62"/>
        <v>0.13676724966110373</v>
      </c>
      <c r="AA132" s="406">
        <f t="shared" si="63"/>
        <v>0.1228566</v>
      </c>
      <c r="AB132" s="406">
        <f t="shared" si="64"/>
        <v>0</v>
      </c>
      <c r="AC132" s="406">
        <f t="shared" si="109"/>
        <v>1.2479064913410705</v>
      </c>
      <c r="AD132" s="406">
        <f t="shared" si="110"/>
        <v>4.0814746219263345</v>
      </c>
      <c r="AE132" s="406">
        <f t="shared" si="111"/>
        <v>0.16658435089428714</v>
      </c>
      <c r="AF132" s="406">
        <f t="shared" si="67"/>
        <v>9.9231479999999983E-2</v>
      </c>
      <c r="AG132" s="406">
        <f t="shared" si="112"/>
        <v>0.27309476105475705</v>
      </c>
      <c r="AH132" s="406">
        <f t="shared" si="113"/>
        <v>0</v>
      </c>
      <c r="AI132">
        <f t="shared" si="70"/>
        <v>0</v>
      </c>
      <c r="AJ132" s="407">
        <f t="shared" si="71"/>
        <v>0.49322218800000001</v>
      </c>
      <c r="AK132">
        <f t="shared" si="85"/>
        <v>0.06</v>
      </c>
      <c r="AL132" s="407">
        <f t="shared" si="72"/>
        <v>4.0337999999999999E-2</v>
      </c>
      <c r="AM132" s="407">
        <f t="shared" si="86"/>
        <v>0.13814789189189189</v>
      </c>
      <c r="AN132" s="407">
        <f t="shared" si="114"/>
        <v>0.100338</v>
      </c>
      <c r="AO132" s="407">
        <f t="shared" si="115"/>
        <v>2.3575780437061922</v>
      </c>
      <c r="AP132">
        <f t="shared" si="74"/>
        <v>77.490000000000009</v>
      </c>
      <c r="AQ132" s="10">
        <f t="shared" si="116"/>
        <v>0.97047401935703381</v>
      </c>
      <c r="AR132" s="63">
        <f t="shared" si="117"/>
        <v>68.634857023758869</v>
      </c>
      <c r="AS132" s="63">
        <f t="shared" si="118"/>
        <v>10.923790442190281</v>
      </c>
      <c r="AT132" s="10"/>
      <c r="AU132">
        <f t="shared" si="119"/>
        <v>97.047401935703377</v>
      </c>
    </row>
    <row r="133" spans="7:47" x14ac:dyDescent="0.2">
      <c r="G133">
        <v>124</v>
      </c>
      <c r="H133">
        <f t="shared" si="55"/>
        <v>5.58</v>
      </c>
      <c r="I133" s="406">
        <f t="shared" si="97"/>
        <v>0.47238058378721232</v>
      </c>
      <c r="J133" s="407">
        <f t="shared" si="56"/>
        <v>3.3478425498739357</v>
      </c>
      <c r="K133" s="407">
        <f t="shared" si="77"/>
        <v>7.2539212749369675</v>
      </c>
      <c r="L133" s="407">
        <f t="shared" si="98"/>
        <v>3.9060787250630322</v>
      </c>
      <c r="M133" s="63">
        <f t="shared" si="57"/>
        <v>0</v>
      </c>
      <c r="N133" s="406">
        <f t="shared" si="99"/>
        <v>5.6630737364875916</v>
      </c>
      <c r="O133" s="406">
        <f t="shared" si="100"/>
        <v>2.8285818135898855E-2</v>
      </c>
      <c r="P133">
        <f t="shared" si="59"/>
        <v>0.2</v>
      </c>
      <c r="Q133" s="406">
        <f t="shared" si="80"/>
        <v>0.22828581813589888</v>
      </c>
      <c r="R133" s="9">
        <f t="shared" si="101"/>
        <v>0.96643889868709998</v>
      </c>
      <c r="S133" s="9">
        <f t="shared" si="102"/>
        <v>2.6152116057074975E-4</v>
      </c>
      <c r="T133" s="9">
        <f t="shared" si="103"/>
        <v>2.6152116057074975E-4</v>
      </c>
      <c r="U133" s="406">
        <f t="shared" si="104"/>
        <v>3.8922276696331095</v>
      </c>
      <c r="V133" s="408">
        <f t="shared" si="105"/>
        <v>1.5149436232257587E-2</v>
      </c>
      <c r="W133" s="406">
        <f t="shared" si="106"/>
        <v>1.5149436232257587E-2</v>
      </c>
      <c r="X133" s="406">
        <f t="shared" si="107"/>
        <v>3.8922276696331095</v>
      </c>
      <c r="Y133" s="406">
        <f t="shared" si="108"/>
        <v>0.78777068407739448</v>
      </c>
      <c r="Z133" s="406">
        <f t="shared" si="62"/>
        <v>0.138024626368591</v>
      </c>
      <c r="AA133" s="406">
        <f t="shared" si="63"/>
        <v>0.1228566</v>
      </c>
      <c r="AB133" s="406">
        <f t="shared" si="64"/>
        <v>0</v>
      </c>
      <c r="AC133" s="406">
        <f t="shared" si="109"/>
        <v>1.2684940428142857</v>
      </c>
      <c r="AD133" s="406">
        <f t="shared" si="110"/>
        <v>4.1135104123653248</v>
      </c>
      <c r="AE133" s="406">
        <f t="shared" si="111"/>
        <v>0.16920967912637946</v>
      </c>
      <c r="AF133" s="406">
        <f t="shared" si="67"/>
        <v>0.10003823999999997</v>
      </c>
      <c r="AG133" s="406">
        <f t="shared" si="112"/>
        <v>0.27674026002233632</v>
      </c>
      <c r="AH133" s="406">
        <f t="shared" si="113"/>
        <v>0</v>
      </c>
      <c r="AI133">
        <f t="shared" si="70"/>
        <v>0</v>
      </c>
      <c r="AJ133" s="407">
        <f t="shared" si="71"/>
        <v>0.49318334400000002</v>
      </c>
      <c r="AK133">
        <f t="shared" si="85"/>
        <v>0.06</v>
      </c>
      <c r="AL133" s="407">
        <f t="shared" si="72"/>
        <v>4.0337999999999999E-2</v>
      </c>
      <c r="AM133" s="407">
        <f t="shared" si="86"/>
        <v>0.13814789189189189</v>
      </c>
      <c r="AN133" s="407">
        <f t="shared" si="114"/>
        <v>0.100338</v>
      </c>
      <c r="AO133" s="407">
        <f t="shared" si="115"/>
        <v>2.3824524223653492</v>
      </c>
      <c r="AP133">
        <f t="shared" si="74"/>
        <v>78.12</v>
      </c>
      <c r="AQ133" s="10">
        <f t="shared" si="116"/>
        <v>0.97040521933585899</v>
      </c>
      <c r="AR133" s="63">
        <f t="shared" si="117"/>
        <v>69.767172354785714</v>
      </c>
      <c r="AS133" s="63">
        <f t="shared" si="118"/>
        <v>11.069610400893453</v>
      </c>
      <c r="AT133" s="10"/>
      <c r="AU133">
        <f t="shared" si="119"/>
        <v>97.040521933585893</v>
      </c>
    </row>
    <row r="134" spans="7:47" x14ac:dyDescent="0.2">
      <c r="G134">
        <v>125</v>
      </c>
      <c r="H134">
        <f t="shared" si="55"/>
        <v>5.625</v>
      </c>
      <c r="I134" s="406">
        <f t="shared" si="97"/>
        <v>0.47242702952416954</v>
      </c>
      <c r="J134" s="407">
        <f t="shared" si="56"/>
        <v>3.3481717188105566</v>
      </c>
      <c r="K134" s="407">
        <f t="shared" si="77"/>
        <v>7.2990858594052783</v>
      </c>
      <c r="L134" s="407">
        <f t="shared" si="98"/>
        <v>3.9509141405947217</v>
      </c>
      <c r="M134" s="63">
        <f t="shared" si="57"/>
        <v>0</v>
      </c>
      <c r="N134" s="406">
        <f t="shared" si="99"/>
        <v>5.7074348723006532</v>
      </c>
      <c r="O134" s="406">
        <f t="shared" si="100"/>
        <v>2.8731724794194818E-2</v>
      </c>
      <c r="P134">
        <f t="shared" si="59"/>
        <v>0.2</v>
      </c>
      <c r="Q134" s="406">
        <f t="shared" si="80"/>
        <v>0.22873172479419482</v>
      </c>
      <c r="R134" s="9">
        <f t="shared" si="101"/>
        <v>0.9665339215741835</v>
      </c>
      <c r="S134" s="9">
        <f t="shared" si="102"/>
        <v>2.615725900349996E-4</v>
      </c>
      <c r="T134" s="9">
        <f t="shared" si="103"/>
        <v>2.615725900349996E-4</v>
      </c>
      <c r="U134" s="406">
        <f t="shared" si="104"/>
        <v>3.9229098968230693</v>
      </c>
      <c r="V134" s="408">
        <f t="shared" si="105"/>
        <v>1.5389222058592385E-2</v>
      </c>
      <c r="W134" s="406">
        <f t="shared" si="106"/>
        <v>1.5389222058592385E-2</v>
      </c>
      <c r="X134" s="406">
        <f t="shared" si="107"/>
        <v>3.9229098968230693</v>
      </c>
      <c r="Y134" s="406">
        <f t="shared" si="108"/>
        <v>0.800239547046804</v>
      </c>
      <c r="Z134" s="406">
        <f t="shared" si="62"/>
        <v>0.1392820028499567</v>
      </c>
      <c r="AA134" s="406">
        <f t="shared" si="63"/>
        <v>0.1228566</v>
      </c>
      <c r="AB134" s="406">
        <f t="shared" si="64"/>
        <v>0</v>
      </c>
      <c r="AC134" s="406">
        <f t="shared" si="109"/>
        <v>1.2893763355355676</v>
      </c>
      <c r="AD134" s="406">
        <f t="shared" si="110"/>
        <v>4.1455507188986589</v>
      </c>
      <c r="AE134" s="406">
        <f t="shared" si="111"/>
        <v>0.17185590762961186</v>
      </c>
      <c r="AF134" s="406">
        <f t="shared" si="67"/>
        <v>0.10084499999999998</v>
      </c>
      <c r="AG134" s="406">
        <f t="shared" si="112"/>
        <v>0.28041136353192153</v>
      </c>
      <c r="AH134" s="406">
        <f t="shared" si="113"/>
        <v>0</v>
      </c>
      <c r="AI134">
        <f t="shared" si="70"/>
        <v>0</v>
      </c>
      <c r="AJ134" s="407">
        <f t="shared" si="71"/>
        <v>0.49314449999999999</v>
      </c>
      <c r="AK134">
        <f t="shared" si="85"/>
        <v>0.06</v>
      </c>
      <c r="AL134" s="407">
        <f t="shared" si="72"/>
        <v>4.0337999999999999E-2</v>
      </c>
      <c r="AM134" s="407">
        <f t="shared" si="86"/>
        <v>0.13814789189189189</v>
      </c>
      <c r="AN134" s="407">
        <f t="shared" si="114"/>
        <v>0.100338</v>
      </c>
      <c r="AO134" s="407">
        <f t="shared" si="115"/>
        <v>2.4076527185103109</v>
      </c>
      <c r="AP134">
        <f t="shared" si="74"/>
        <v>78.75</v>
      </c>
      <c r="AQ134" s="10">
        <f t="shared" si="116"/>
        <v>0.97033363290013963</v>
      </c>
      <c r="AR134" s="63">
        <f t="shared" si="117"/>
        <v>70.915698454456219</v>
      </c>
      <c r="AS134" s="63">
        <f t="shared" si="118"/>
        <v>11.21645454127686</v>
      </c>
      <c r="AT134" s="10"/>
      <c r="AU134">
        <f t="shared" si="119"/>
        <v>97.033363290013966</v>
      </c>
    </row>
    <row r="135" spans="7:47" x14ac:dyDescent="0.2">
      <c r="G135">
        <v>126</v>
      </c>
      <c r="H135">
        <f t="shared" si="55"/>
        <v>5.67</v>
      </c>
      <c r="I135" s="406">
        <f t="shared" si="97"/>
        <v>0.47247348116011567</v>
      </c>
      <c r="J135" s="407">
        <f t="shared" si="56"/>
        <v>3.3485009295543278</v>
      </c>
      <c r="K135" s="407">
        <f t="shared" si="77"/>
        <v>7.344250464777164</v>
      </c>
      <c r="L135" s="407">
        <f t="shared" si="98"/>
        <v>3.9957495352228358</v>
      </c>
      <c r="M135" s="63">
        <f t="shared" si="57"/>
        <v>0</v>
      </c>
      <c r="N135" s="406">
        <f t="shared" si="99"/>
        <v>5.7518059372341641</v>
      </c>
      <c r="O135" s="406">
        <f t="shared" si="100"/>
        <v>2.9181243890340238E-2</v>
      </c>
      <c r="P135">
        <f t="shared" si="59"/>
        <v>0.2</v>
      </c>
      <c r="Q135" s="406">
        <f t="shared" si="80"/>
        <v>0.22918124389034025</v>
      </c>
      <c r="R135" s="9">
        <f t="shared" si="101"/>
        <v>0.96662895652995162</v>
      </c>
      <c r="S135" s="9">
        <f t="shared" si="102"/>
        <v>2.616240310886113E-4</v>
      </c>
      <c r="T135" s="9">
        <f t="shared" si="103"/>
        <v>2.616240310886113E-4</v>
      </c>
      <c r="U135" s="406">
        <f t="shared" si="104"/>
        <v>3.9536019618167457</v>
      </c>
      <c r="V135" s="408">
        <f t="shared" si="105"/>
        <v>1.5630968472481219E-2</v>
      </c>
      <c r="W135" s="406">
        <f t="shared" si="106"/>
        <v>1.5630968472481219E-2</v>
      </c>
      <c r="X135" s="406">
        <f t="shared" si="107"/>
        <v>3.9536019618167457</v>
      </c>
      <c r="Y135" s="406">
        <f t="shared" si="108"/>
        <v>0.81281036056902334</v>
      </c>
      <c r="Z135" s="406">
        <f t="shared" si="62"/>
        <v>0.14053937910515774</v>
      </c>
      <c r="AA135" s="406">
        <f t="shared" si="63"/>
        <v>0.1228566</v>
      </c>
      <c r="AB135" s="406">
        <f t="shared" si="64"/>
        <v>0</v>
      </c>
      <c r="AC135" s="406">
        <f t="shared" si="109"/>
        <v>1.3105580806033978</v>
      </c>
      <c r="AD135" s="406">
        <f t="shared" si="110"/>
        <v>4.1775953690036758</v>
      </c>
      <c r="AE135" s="406">
        <f t="shared" si="111"/>
        <v>0.17452303067120958</v>
      </c>
      <c r="AF135" s="406">
        <f t="shared" si="67"/>
        <v>0.10165175999999998</v>
      </c>
      <c r="AG135" s="406">
        <f t="shared" si="112"/>
        <v>0.28410813676177193</v>
      </c>
      <c r="AH135" s="406">
        <f t="shared" si="113"/>
        <v>0</v>
      </c>
      <c r="AI135">
        <f t="shared" si="70"/>
        <v>0</v>
      </c>
      <c r="AJ135" s="407">
        <f t="shared" si="71"/>
        <v>0.493105656</v>
      </c>
      <c r="AK135">
        <f t="shared" si="85"/>
        <v>0.06</v>
      </c>
      <c r="AL135" s="407">
        <f t="shared" si="72"/>
        <v>4.0337999999999999E-2</v>
      </c>
      <c r="AM135" s="407">
        <f t="shared" si="86"/>
        <v>0.13814789189189189</v>
      </c>
      <c r="AN135" s="407">
        <f t="shared" si="114"/>
        <v>0.100338</v>
      </c>
      <c r="AO135" s="407">
        <f t="shared" si="115"/>
        <v>2.4331837097590796</v>
      </c>
      <c r="AP135">
        <f t="shared" si="74"/>
        <v>79.38</v>
      </c>
      <c r="AQ135" s="10">
        <f t="shared" si="116"/>
        <v>0.97025927119043487</v>
      </c>
      <c r="AR135" s="63">
        <f t="shared" si="117"/>
        <v>72.080694433186878</v>
      </c>
      <c r="AS135" s="63">
        <f t="shared" si="118"/>
        <v>11.364325470470877</v>
      </c>
      <c r="AT135" s="10"/>
      <c r="AU135">
        <f t="shared" si="119"/>
        <v>97.025927119043487</v>
      </c>
    </row>
    <row r="136" spans="7:47" x14ac:dyDescent="0.2">
      <c r="G136">
        <v>127</v>
      </c>
      <c r="H136">
        <f t="shared" si="55"/>
        <v>5.7149999999999999</v>
      </c>
      <c r="I136" s="406">
        <f t="shared" si="97"/>
        <v>0.47251993869617476</v>
      </c>
      <c r="J136" s="407">
        <f t="shared" si="56"/>
        <v>3.3488301821132156</v>
      </c>
      <c r="K136" s="407">
        <f t="shared" si="77"/>
        <v>7.3894150910566072</v>
      </c>
      <c r="L136" s="407">
        <f t="shared" si="98"/>
        <v>4.0405849089433925</v>
      </c>
      <c r="M136" s="63">
        <f t="shared" si="57"/>
        <v>0</v>
      </c>
      <c r="N136" s="406">
        <f t="shared" si="99"/>
        <v>5.7961867032604033</v>
      </c>
      <c r="O136" s="406">
        <f t="shared" si="100"/>
        <v>2.9634376198607964E-2</v>
      </c>
      <c r="P136">
        <f t="shared" si="59"/>
        <v>0.2</v>
      </c>
      <c r="Q136" s="406">
        <f t="shared" si="80"/>
        <v>0.22963437619860796</v>
      </c>
      <c r="R136" s="9">
        <f t="shared" si="101"/>
        <v>0.96672400355670429</v>
      </c>
      <c r="S136" s="9">
        <f t="shared" si="102"/>
        <v>2.6167548373475685E-4</v>
      </c>
      <c r="T136" s="9">
        <f t="shared" si="103"/>
        <v>2.6167548373475685E-4</v>
      </c>
      <c r="U136" s="406">
        <f t="shared" si="104"/>
        <v>3.9843037092268125</v>
      </c>
      <c r="V136" s="408">
        <f t="shared" si="105"/>
        <v>1.5874676047358538E-2</v>
      </c>
      <c r="W136" s="406">
        <f t="shared" si="106"/>
        <v>1.5874676047358538E-2</v>
      </c>
      <c r="X136" s="406">
        <f t="shared" si="107"/>
        <v>3.9843037092268125</v>
      </c>
      <c r="Y136" s="406">
        <f t="shared" si="108"/>
        <v>0.82548315446264386</v>
      </c>
      <c r="Z136" s="406">
        <f t="shared" si="62"/>
        <v>0.14179675513415099</v>
      </c>
      <c r="AA136" s="406">
        <f t="shared" si="63"/>
        <v>0.1228566</v>
      </c>
      <c r="AB136" s="406">
        <f t="shared" si="64"/>
        <v>0</v>
      </c>
      <c r="AC136" s="406">
        <f t="shared" si="109"/>
        <v>1.3320441024659189</v>
      </c>
      <c r="AD136" s="406">
        <f t="shared" si="110"/>
        <v>4.2096441953797195</v>
      </c>
      <c r="AE136" s="406">
        <f t="shared" si="111"/>
        <v>0.17721104251694164</v>
      </c>
      <c r="AF136" s="406">
        <f t="shared" si="67"/>
        <v>0.10245851999999997</v>
      </c>
      <c r="AG136" s="406">
        <f t="shared" si="112"/>
        <v>0.28783064551865112</v>
      </c>
      <c r="AH136" s="406">
        <f t="shared" si="113"/>
        <v>0</v>
      </c>
      <c r="AI136">
        <f t="shared" si="70"/>
        <v>0</v>
      </c>
      <c r="AJ136" s="407">
        <f t="shared" si="71"/>
        <v>0.49306681199999997</v>
      </c>
      <c r="AK136">
        <f t="shared" si="85"/>
        <v>0.06</v>
      </c>
      <c r="AL136" s="407">
        <f t="shared" si="72"/>
        <v>4.0337999999999999E-2</v>
      </c>
      <c r="AM136" s="407">
        <f t="shared" si="86"/>
        <v>0.13814789189189189</v>
      </c>
      <c r="AN136" s="407">
        <f t="shared" si="114"/>
        <v>0.100338</v>
      </c>
      <c r="AO136" s="407">
        <f t="shared" si="115"/>
        <v>2.459050287714271</v>
      </c>
      <c r="AP136">
        <f t="shared" si="74"/>
        <v>80.009999999999991</v>
      </c>
      <c r="AQ136" s="10">
        <f t="shared" si="116"/>
        <v>0.97018214373591971</v>
      </c>
      <c r="AR136" s="63">
        <f t="shared" si="117"/>
        <v>73.262425635625533</v>
      </c>
      <c r="AS136" s="63">
        <f t="shared" si="118"/>
        <v>11.513225820746044</v>
      </c>
      <c r="AT136" s="10"/>
      <c r="AU136">
        <f t="shared" si="119"/>
        <v>97.018214373591974</v>
      </c>
    </row>
    <row r="137" spans="7:47" x14ac:dyDescent="0.2">
      <c r="G137">
        <v>128</v>
      </c>
      <c r="H137">
        <f t="shared" ref="H137:H200" si="120">Iout*(G137/200)</f>
        <v>5.76</v>
      </c>
      <c r="I137" s="406">
        <f t="shared" si="97"/>
        <v>0.47256640213347101</v>
      </c>
      <c r="J137" s="407">
        <f t="shared" ref="J137:J200" si="121">(Vin-Vout)*I137/(Fsw*Lout2)</f>
        <v>3.349159476495188</v>
      </c>
      <c r="K137" s="407">
        <f t="shared" si="77"/>
        <v>7.434579738247594</v>
      </c>
      <c r="L137" s="407">
        <f t="shared" si="98"/>
        <v>4.0854202617524056</v>
      </c>
      <c r="M137" s="63">
        <f t="shared" ref="M137:M200" si="122">IF(MIN(Vin, -L137/(CossTop+CossBot)*0.00000002)&lt;0, 0, MIN(Vin, -L137/(CossTop+CossBot)*0.00000002))</f>
        <v>0</v>
      </c>
      <c r="N137" s="406">
        <f t="shared" si="99"/>
        <v>5.8405769492333945</v>
      </c>
      <c r="O137" s="406">
        <f t="shared" si="100"/>
        <v>3.0091122499578526E-2</v>
      </c>
      <c r="P137">
        <f t="shared" ref="P137:P200" si="123">Core_Loss</f>
        <v>0.2</v>
      </c>
      <c r="Q137" s="406">
        <f t="shared" si="80"/>
        <v>0.23009112249957853</v>
      </c>
      <c r="R137" s="9">
        <f t="shared" si="101"/>
        <v>0.96681906265674145</v>
      </c>
      <c r="S137" s="9">
        <f t="shared" si="102"/>
        <v>2.6172694797660883E-4</v>
      </c>
      <c r="T137" s="9">
        <f t="shared" si="103"/>
        <v>2.6172694797660883E-4</v>
      </c>
      <c r="U137" s="406">
        <f t="shared" si="104"/>
        <v>4.0150149883661026</v>
      </c>
      <c r="V137" s="408">
        <f t="shared" si="105"/>
        <v>1.6120345356804455E-2</v>
      </c>
      <c r="W137" s="406">
        <f t="shared" si="106"/>
        <v>1.6120345356804455E-2</v>
      </c>
      <c r="X137" s="406">
        <f t="shared" si="107"/>
        <v>4.0150149883661026</v>
      </c>
      <c r="Y137" s="406">
        <f t="shared" si="108"/>
        <v>0.83825795855383167</v>
      </c>
      <c r="Z137" s="406">
        <f t="shared" ref="Z137:Z200" si="124">IF(L137&lt;0, (Vin*K137*Tf/2)*Fsw, (Vin*L137*Tr/2+Vin*K137*Tf/2)*Fsw)</f>
        <v>0.1430541309368934</v>
      </c>
      <c r="AA137" s="406">
        <f t="shared" ref="AA137:AA200" si="125">(0.5*CossTop*(Vin-M137)^2-0.5*CossBot*(Vin-M137)^2+(QossBot*(Vin-M137)/Vin)*Vin)*Fsw</f>
        <v>0.1228566</v>
      </c>
      <c r="AB137" s="406">
        <f t="shared" ref="AB137:AB200" si="126">IF(L137&gt;0,0,-L137*VsdTop*Deadtime*Fsw)</f>
        <v>0</v>
      </c>
      <c r="AC137" s="406">
        <f t="shared" si="109"/>
        <v>1.3538393421941888</v>
      </c>
      <c r="AD137" s="406">
        <f t="shared" si="110"/>
        <v>4.2416970357525559</v>
      </c>
      <c r="AE137" s="406">
        <f t="shared" si="111"/>
        <v>0.1799199374311202</v>
      </c>
      <c r="AF137" s="406">
        <f t="shared" ref="AF137:AF200" si="127">IF(L137&lt;0, Deadtime*Fsw*IF(VfdSky&gt;0,0,VsdBot)*K137, Deadtime*Fsw*IF(VfdSky&gt;0,0,VsdBot)*(K137+L137))</f>
        <v>0.10326527999999997</v>
      </c>
      <c r="AG137" s="406">
        <f t="shared" si="112"/>
        <v>0.2915789562412246</v>
      </c>
      <c r="AH137" s="406">
        <f t="shared" si="113"/>
        <v>0</v>
      </c>
      <c r="AI137">
        <f t="shared" ref="AI137:AI200" si="128">2*Deadtime*Fsw*IF(VfdSky&gt;0,VfdSky,0)*H137</f>
        <v>0</v>
      </c>
      <c r="AJ137" s="407">
        <f t="shared" ref="AJ137:AJ200" si="129">IF(QrrSky&gt;0,QrrSky,QrrBot)*Fsw*(Vin-H137*RdsonTop)</f>
        <v>0.49302796799999998</v>
      </c>
      <c r="AK137">
        <f t="shared" si="85"/>
        <v>0.06</v>
      </c>
      <c r="AL137" s="407">
        <f t="shared" ref="AL137:AL200" si="130">IF(Ext_VCC=1, Vdd*(QgTop+QgBot)*Fsw, Vin*(QgTop+QgBot)*Fsw)</f>
        <v>4.0337999999999999E-2</v>
      </c>
      <c r="AM137" s="407">
        <f t="shared" si="86"/>
        <v>0.13814789189189189</v>
      </c>
      <c r="AN137" s="407">
        <f t="shared" si="114"/>
        <v>0.100338</v>
      </c>
      <c r="AO137" s="407">
        <f t="shared" si="115"/>
        <v>2.4852574612397729</v>
      </c>
      <c r="AP137">
        <f t="shared" ref="AP137:AP200" si="131">Vout*H137</f>
        <v>80.64</v>
      </c>
      <c r="AQ137" s="10">
        <f t="shared" si="116"/>
        <v>0.9701022584814416</v>
      </c>
      <c r="AR137" s="63">
        <f t="shared" si="117"/>
        <v>74.461163820680383</v>
      </c>
      <c r="AS137" s="63">
        <f t="shared" si="118"/>
        <v>11.663158249648983</v>
      </c>
      <c r="AT137" s="10"/>
      <c r="AU137">
        <f t="shared" si="119"/>
        <v>97.010225848144159</v>
      </c>
    </row>
    <row r="138" spans="7:47" x14ac:dyDescent="0.2">
      <c r="G138">
        <v>129</v>
      </c>
      <c r="H138">
        <f t="shared" si="120"/>
        <v>5.8049999999999997</v>
      </c>
      <c r="I138" s="406">
        <f t="shared" si="97"/>
        <v>0.47261287147312875</v>
      </c>
      <c r="J138" s="407">
        <f t="shared" si="121"/>
        <v>3.3494888127082123</v>
      </c>
      <c r="K138" s="407">
        <f t="shared" ref="K138:K201" si="132">H138+J138/2</f>
        <v>7.4797444063541061</v>
      </c>
      <c r="L138" s="407">
        <f t="shared" si="98"/>
        <v>4.1302555936458933</v>
      </c>
      <c r="M138" s="63">
        <f t="shared" si="122"/>
        <v>0</v>
      </c>
      <c r="N138" s="406">
        <f t="shared" si="99"/>
        <v>5.8849764606330224</v>
      </c>
      <c r="O138" s="406">
        <f t="shared" si="100"/>
        <v>3.0551483580143535E-2</v>
      </c>
      <c r="P138">
        <f t="shared" si="123"/>
        <v>0.2</v>
      </c>
      <c r="Q138" s="406">
        <f t="shared" ref="Q138:Q201" si="133">O138+P138</f>
        <v>0.23055148358014355</v>
      </c>
      <c r="R138" s="9">
        <f t="shared" si="101"/>
        <v>0.96691413383236324</v>
      </c>
      <c r="S138" s="9">
        <f t="shared" si="102"/>
        <v>2.6177842381734103E-4</v>
      </c>
      <c r="T138" s="9">
        <f t="shared" si="103"/>
        <v>2.6177842381734103E-4</v>
      </c>
      <c r="U138" s="406">
        <f t="shared" si="104"/>
        <v>4.0457356530728479</v>
      </c>
      <c r="V138" s="408">
        <f t="shared" si="105"/>
        <v>1.6367976974544781E-2</v>
      </c>
      <c r="W138" s="406">
        <f t="shared" si="106"/>
        <v>1.6367976974544781E-2</v>
      </c>
      <c r="X138" s="406">
        <f t="shared" si="107"/>
        <v>4.0457356530728479</v>
      </c>
      <c r="Y138" s="406">
        <f t="shared" si="108"/>
        <v>0.85113480267632857</v>
      </c>
      <c r="Z138" s="406">
        <f t="shared" si="124"/>
        <v>0.14431150651334188</v>
      </c>
      <c r="AA138" s="406">
        <f t="shared" si="125"/>
        <v>0.1228566</v>
      </c>
      <c r="AB138" s="406">
        <f t="shared" si="126"/>
        <v>0</v>
      </c>
      <c r="AC138" s="406">
        <f t="shared" si="109"/>
        <v>1.3759488608716217</v>
      </c>
      <c r="AD138" s="406">
        <f t="shared" si="110"/>
        <v>4.2737537326874593</v>
      </c>
      <c r="AE138" s="406">
        <f t="shared" si="111"/>
        <v>0.18264970967659991</v>
      </c>
      <c r="AF138" s="406">
        <f t="shared" si="127"/>
        <v>0.10407203999999998</v>
      </c>
      <c r="AG138" s="406">
        <f t="shared" si="112"/>
        <v>0.29535313600349788</v>
      </c>
      <c r="AH138" s="406">
        <f t="shared" si="113"/>
        <v>0</v>
      </c>
      <c r="AI138">
        <f t="shared" si="128"/>
        <v>0</v>
      </c>
      <c r="AJ138" s="407">
        <f t="shared" si="129"/>
        <v>0.492989124</v>
      </c>
      <c r="AK138">
        <f t="shared" ref="AK138:AK201" si="134">Iq*Vin</f>
        <v>0.06</v>
      </c>
      <c r="AL138" s="407">
        <f t="shared" si="130"/>
        <v>4.0337999999999999E-2</v>
      </c>
      <c r="AM138" s="407">
        <f t="shared" ref="AM138:AM201" si="135">(Vin-Vdd)*Fsw*(QgTop+QgBot)+(RdsonDRT+RdsonDRT2)*Fsw*QgTop*Vdd/(RdsonDRT+2*RGateTop+RdsonDRT2)+(RdsonDRB+RdsonDRB2)*Fsw*QgBot*Vdd/(RdsonDRB+2*RGateBot+RdsonDRB2)</f>
        <v>0.13814789189189189</v>
      </c>
      <c r="AN138" s="407">
        <f t="shared" si="114"/>
        <v>0.100338</v>
      </c>
      <c r="AO138" s="407">
        <f t="shared" si="115"/>
        <v>2.5118103598536252</v>
      </c>
      <c r="AP138">
        <f t="shared" si="131"/>
        <v>81.27</v>
      </c>
      <c r="AQ138" s="10">
        <f t="shared" si="116"/>
        <v>0.97001962181212031</v>
      </c>
      <c r="AR138" s="63">
        <f t="shared" si="117"/>
        <v>75.677187347939196</v>
      </c>
      <c r="AS138" s="63">
        <f t="shared" si="118"/>
        <v>11.814125440139915</v>
      </c>
      <c r="AT138" s="10"/>
      <c r="AU138">
        <f t="shared" si="119"/>
        <v>97.001962181212036</v>
      </c>
    </row>
    <row r="139" spans="7:47" x14ac:dyDescent="0.2">
      <c r="G139">
        <v>130</v>
      </c>
      <c r="H139">
        <f t="shared" si="120"/>
        <v>5.8500000000000005</v>
      </c>
      <c r="I139" s="406">
        <f t="shared" si="97"/>
        <v>0.47265934671627302</v>
      </c>
      <c r="J139" s="407">
        <f t="shared" si="121"/>
        <v>3.3498181907602622</v>
      </c>
      <c r="K139" s="407">
        <f t="shared" si="132"/>
        <v>7.5249090953801314</v>
      </c>
      <c r="L139" s="407">
        <f t="shared" si="98"/>
        <v>4.1750909046198696</v>
      </c>
      <c r="M139" s="63">
        <f t="shared" si="122"/>
        <v>0</v>
      </c>
      <c r="N139" s="406">
        <f t="shared" si="99"/>
        <v>5.9293850293204136</v>
      </c>
      <c r="O139" s="406">
        <f t="shared" si="100"/>
        <v>3.1015460233509172E-2</v>
      </c>
      <c r="P139">
        <f t="shared" si="123"/>
        <v>0.2</v>
      </c>
      <c r="Q139" s="406">
        <f t="shared" si="133"/>
        <v>0.23101546023350919</v>
      </c>
      <c r="R139" s="9">
        <f t="shared" si="101"/>
        <v>0.96700921708587129</v>
      </c>
      <c r="S139" s="9">
        <f t="shared" si="102"/>
        <v>2.6182991126012833E-4</v>
      </c>
      <c r="T139" s="9">
        <f t="shared" si="103"/>
        <v>2.6182991126012833E-4</v>
      </c>
      <c r="U139" s="406">
        <f t="shared" si="104"/>
        <v>4.0764655615436274</v>
      </c>
      <c r="V139" s="408">
        <f t="shared" si="105"/>
        <v>1.6617571474451202E-2</v>
      </c>
      <c r="W139" s="406">
        <f t="shared" si="106"/>
        <v>1.6617571474451202E-2</v>
      </c>
      <c r="X139" s="406">
        <f t="shared" si="107"/>
        <v>4.0764655615436274</v>
      </c>
      <c r="Y139" s="406">
        <f t="shared" si="108"/>
        <v>0.86411371667146231</v>
      </c>
      <c r="Z139" s="406">
        <f t="shared" si="124"/>
        <v>0.14556888186345324</v>
      </c>
      <c r="AA139" s="406">
        <f t="shared" si="125"/>
        <v>0.1228566</v>
      </c>
      <c r="AB139" s="406">
        <f t="shared" si="126"/>
        <v>0</v>
      </c>
      <c r="AC139" s="406">
        <f t="shared" si="109"/>
        <v>1.3983778431044347</v>
      </c>
      <c r="AD139" s="406">
        <f t="shared" si="110"/>
        <v>4.3058141334105269</v>
      </c>
      <c r="AE139" s="406">
        <f t="shared" si="111"/>
        <v>0.18540035351477849</v>
      </c>
      <c r="AF139" s="406">
        <f t="shared" si="127"/>
        <v>0.10487879999999998</v>
      </c>
      <c r="AG139" s="406">
        <f t="shared" si="112"/>
        <v>0.29915325251829655</v>
      </c>
      <c r="AH139" s="406">
        <f t="shared" si="113"/>
        <v>0</v>
      </c>
      <c r="AI139">
        <f t="shared" si="128"/>
        <v>0</v>
      </c>
      <c r="AJ139" s="407">
        <f t="shared" si="129"/>
        <v>0.49295027999999996</v>
      </c>
      <c r="AK139">
        <f t="shared" si="134"/>
        <v>0.06</v>
      </c>
      <c r="AL139" s="407">
        <f t="shared" si="130"/>
        <v>4.0337999999999999E-2</v>
      </c>
      <c r="AM139" s="407">
        <f t="shared" si="135"/>
        <v>0.13814789189189189</v>
      </c>
      <c r="AN139" s="407">
        <f t="shared" si="114"/>
        <v>0.100338</v>
      </c>
      <c r="AO139" s="407">
        <f t="shared" si="115"/>
        <v>2.5387142372419516</v>
      </c>
      <c r="AP139">
        <f t="shared" si="131"/>
        <v>81.900000000000006</v>
      </c>
      <c r="AQ139" s="10">
        <f t="shared" si="116"/>
        <v>0.96993423857557703</v>
      </c>
      <c r="AR139" s="63">
        <f t="shared" si="117"/>
        <v>76.910781370743905</v>
      </c>
      <c r="AS139" s="63">
        <f t="shared" si="118"/>
        <v>11.966130100731862</v>
      </c>
      <c r="AT139" s="10"/>
      <c r="AU139">
        <f t="shared" si="119"/>
        <v>96.993423857557701</v>
      </c>
    </row>
    <row r="140" spans="7:47" x14ac:dyDescent="0.2">
      <c r="G140">
        <v>131</v>
      </c>
      <c r="H140">
        <f t="shared" si="120"/>
        <v>5.8950000000000005</v>
      </c>
      <c r="I140" s="406">
        <f t="shared" si="97"/>
        <v>0.47270582786402843</v>
      </c>
      <c r="J140" s="407">
        <f t="shared" si="121"/>
        <v>3.3501476106593082</v>
      </c>
      <c r="K140" s="407">
        <f t="shared" si="132"/>
        <v>7.5700738053296543</v>
      </c>
      <c r="L140" s="407">
        <f t="shared" si="98"/>
        <v>4.2199261946703466</v>
      </c>
      <c r="M140" s="63">
        <f t="shared" si="122"/>
        <v>0</v>
      </c>
      <c r="N140" s="406">
        <f t="shared" si="99"/>
        <v>5.9738024533039695</v>
      </c>
      <c r="O140" s="406">
        <f t="shared" si="100"/>
        <v>3.1483053259199381E-2</v>
      </c>
      <c r="P140">
        <f t="shared" si="123"/>
        <v>0.2</v>
      </c>
      <c r="Q140" s="406">
        <f t="shared" si="133"/>
        <v>0.23148305325919938</v>
      </c>
      <c r="R140" s="9">
        <f t="shared" si="101"/>
        <v>0.96710431241956663</v>
      </c>
      <c r="S140" s="9">
        <f t="shared" si="102"/>
        <v>2.618814103081464E-4</v>
      </c>
      <c r="T140" s="9">
        <f t="shared" si="103"/>
        <v>2.618814103081464E-4</v>
      </c>
      <c r="U140" s="406">
        <f t="shared" si="104"/>
        <v>4.1072045761735669</v>
      </c>
      <c r="V140" s="408">
        <f t="shared" si="105"/>
        <v>1.6869129430541089E-2</v>
      </c>
      <c r="W140" s="406">
        <f t="shared" si="106"/>
        <v>1.6869129430541089E-2</v>
      </c>
      <c r="X140" s="406">
        <f t="shared" si="107"/>
        <v>4.1072045761735669</v>
      </c>
      <c r="Y140" s="406">
        <f t="shared" si="108"/>
        <v>0.87719473038813667</v>
      </c>
      <c r="Z140" s="406">
        <f t="shared" si="124"/>
        <v>0.14682625698718441</v>
      </c>
      <c r="AA140" s="406">
        <f t="shared" si="125"/>
        <v>0.1228566</v>
      </c>
      <c r="AB140" s="406">
        <f t="shared" si="126"/>
        <v>0</v>
      </c>
      <c r="AC140" s="406">
        <f t="shared" si="109"/>
        <v>1.4211316006580959</v>
      </c>
      <c r="AD140" s="406">
        <f t="shared" si="110"/>
        <v>4.3378780896377709</v>
      </c>
      <c r="AE140" s="406">
        <f t="shared" si="111"/>
        <v>0.18817186320559437</v>
      </c>
      <c r="AF140" s="406">
        <f t="shared" si="127"/>
        <v>0.10568555999999998</v>
      </c>
      <c r="AG140" s="406">
        <f t="shared" si="112"/>
        <v>0.30297937414078419</v>
      </c>
      <c r="AH140" s="406">
        <f t="shared" si="113"/>
        <v>0</v>
      </c>
      <c r="AI140">
        <f t="shared" si="128"/>
        <v>0</v>
      </c>
      <c r="AJ140" s="407">
        <f t="shared" si="129"/>
        <v>0.49291143600000004</v>
      </c>
      <c r="AK140">
        <f t="shared" si="134"/>
        <v>0.06</v>
      </c>
      <c r="AL140" s="407">
        <f t="shared" si="130"/>
        <v>4.0337999999999999E-2</v>
      </c>
      <c r="AM140" s="407">
        <f t="shared" si="135"/>
        <v>0.13814789189189189</v>
      </c>
      <c r="AN140" s="407">
        <f t="shared" si="114"/>
        <v>0.100338</v>
      </c>
      <c r="AO140" s="407">
        <f t="shared" si="115"/>
        <v>2.5659744748989284</v>
      </c>
      <c r="AP140">
        <f t="shared" si="131"/>
        <v>82.53</v>
      </c>
      <c r="AQ140" s="10">
        <f t="shared" si="116"/>
        <v>0.96984611210186189</v>
      </c>
      <c r="AR140" s="63">
        <f t="shared" si="117"/>
        <v>78.162238036195276</v>
      </c>
      <c r="AS140" s="63">
        <f t="shared" si="118"/>
        <v>12.119174965631368</v>
      </c>
      <c r="AT140" s="10"/>
      <c r="AU140">
        <f t="shared" si="119"/>
        <v>96.984611210186188</v>
      </c>
    </row>
    <row r="141" spans="7:47" x14ac:dyDescent="0.2">
      <c r="G141">
        <v>132</v>
      </c>
      <c r="H141">
        <f t="shared" si="120"/>
        <v>5.94</v>
      </c>
      <c r="I141" s="406">
        <f t="shared" si="97"/>
        <v>0.47275231491752073</v>
      </c>
      <c r="J141" s="407">
        <f t="shared" si="121"/>
        <v>3.3504770724133288</v>
      </c>
      <c r="K141" s="407">
        <f t="shared" si="132"/>
        <v>7.6152385362066646</v>
      </c>
      <c r="L141" s="407">
        <f t="shared" si="98"/>
        <v>4.2647614637933362</v>
      </c>
      <c r="M141" s="63">
        <f t="shared" si="122"/>
        <v>0</v>
      </c>
      <c r="N141" s="406">
        <f t="shared" si="99"/>
        <v>6.0182285365155934</v>
      </c>
      <c r="O141" s="406">
        <f t="shared" si="100"/>
        <v>3.1954263463059622E-2</v>
      </c>
      <c r="P141">
        <f t="shared" si="123"/>
        <v>0.2</v>
      </c>
      <c r="Q141" s="406">
        <f t="shared" si="133"/>
        <v>0.23195426346305964</v>
      </c>
      <c r="R141" s="9">
        <f t="shared" si="101"/>
        <v>0.96719941983575242</v>
      </c>
      <c r="S141" s="9">
        <f t="shared" si="102"/>
        <v>2.6193292096457255E-4</v>
      </c>
      <c r="T141" s="9">
        <f t="shared" si="103"/>
        <v>2.6193292096457255E-4</v>
      </c>
      <c r="U141" s="406">
        <f t="shared" si="104"/>
        <v>4.1379525634035241</v>
      </c>
      <c r="V141" s="408">
        <f t="shared" si="105"/>
        <v>1.7122651416977795E-2</v>
      </c>
      <c r="W141" s="406">
        <f t="shared" si="106"/>
        <v>1.7122651416977795E-2</v>
      </c>
      <c r="X141" s="406">
        <f t="shared" si="107"/>
        <v>4.1379525634035241</v>
      </c>
      <c r="Y141" s="406">
        <f t="shared" si="108"/>
        <v>0.89037787368284538</v>
      </c>
      <c r="Z141" s="406">
        <f t="shared" si="124"/>
        <v>0.1480836318844922</v>
      </c>
      <c r="AA141" s="406">
        <f t="shared" si="125"/>
        <v>0.1228566</v>
      </c>
      <c r="AB141" s="406">
        <f t="shared" si="126"/>
        <v>0</v>
      </c>
      <c r="AC141" s="406">
        <f t="shared" si="109"/>
        <v>1.4442155762251083</v>
      </c>
      <c r="AD141" s="406">
        <f t="shared" si="110"/>
        <v>4.3699454574116618</v>
      </c>
      <c r="AE141" s="406">
        <f t="shared" si="111"/>
        <v>0.19096423300752818</v>
      </c>
      <c r="AF141" s="406">
        <f t="shared" si="127"/>
        <v>0.10649231999999999</v>
      </c>
      <c r="AG141" s="406">
        <f t="shared" si="112"/>
        <v>0.30683156987202531</v>
      </c>
      <c r="AH141" s="406">
        <f t="shared" si="113"/>
        <v>0</v>
      </c>
      <c r="AI141">
        <f t="shared" si="128"/>
        <v>0</v>
      </c>
      <c r="AJ141" s="407">
        <f t="shared" si="129"/>
        <v>0.49287259200000005</v>
      </c>
      <c r="AK141">
        <f t="shared" si="134"/>
        <v>0.06</v>
      </c>
      <c r="AL141" s="407">
        <f t="shared" si="130"/>
        <v>4.0337999999999999E-2</v>
      </c>
      <c r="AM141" s="407">
        <f t="shared" si="135"/>
        <v>0.13814789189189189</v>
      </c>
      <c r="AN141" s="407">
        <f t="shared" si="114"/>
        <v>0.100338</v>
      </c>
      <c r="AO141" s="407">
        <f t="shared" si="115"/>
        <v>2.5935965858981356</v>
      </c>
      <c r="AP141">
        <f t="shared" si="131"/>
        <v>83.160000000000011</v>
      </c>
      <c r="AQ141" s="10">
        <f t="shared" si="116"/>
        <v>0.96975524422115433</v>
      </c>
      <c r="AR141" s="63">
        <f t="shared" si="117"/>
        <v>79.431856692380961</v>
      </c>
      <c r="AS141" s="63">
        <f t="shared" si="118"/>
        <v>12.273262794881013</v>
      </c>
      <c r="AT141" s="10"/>
      <c r="AU141">
        <f t="shared" si="119"/>
        <v>96.975524422115427</v>
      </c>
    </row>
    <row r="142" spans="7:47" x14ac:dyDescent="0.2">
      <c r="G142">
        <v>133</v>
      </c>
      <c r="H142">
        <f t="shared" si="120"/>
        <v>5.9850000000000003</v>
      </c>
      <c r="I142" s="406">
        <f t="shared" si="97"/>
        <v>0.47279880787787537</v>
      </c>
      <c r="J142" s="407">
        <f t="shared" si="121"/>
        <v>3.3508065760303003</v>
      </c>
      <c r="K142" s="407">
        <f t="shared" si="132"/>
        <v>7.66040328801515</v>
      </c>
      <c r="L142" s="407">
        <f t="shared" si="98"/>
        <v>4.3095967119848506</v>
      </c>
      <c r="M142" s="63">
        <f t="shared" si="122"/>
        <v>0</v>
      </c>
      <c r="N142" s="406">
        <f t="shared" si="99"/>
        <v>6.0626630885965165</v>
      </c>
      <c r="O142" s="406">
        <f t="shared" si="100"/>
        <v>3.242909165726008E-2</v>
      </c>
      <c r="P142">
        <f t="shared" si="123"/>
        <v>0.2</v>
      </c>
      <c r="Q142" s="406">
        <f t="shared" si="133"/>
        <v>0.23242909165726008</v>
      </c>
      <c r="R142" s="9">
        <f t="shared" si="101"/>
        <v>0.96729453933673115</v>
      </c>
      <c r="S142" s="9">
        <f t="shared" si="102"/>
        <v>2.6198444323258452E-4</v>
      </c>
      <c r="T142" s="9">
        <f t="shared" si="103"/>
        <v>2.6198444323258452E-4</v>
      </c>
      <c r="U142" s="406">
        <f t="shared" si="104"/>
        <v>4.1687093935738115</v>
      </c>
      <c r="V142" s="408">
        <f t="shared" si="105"/>
        <v>1.7378138008070535E-2</v>
      </c>
      <c r="W142" s="406">
        <f t="shared" si="106"/>
        <v>1.7378138008070535E-2</v>
      </c>
      <c r="X142" s="406">
        <f t="shared" si="107"/>
        <v>4.1687093935738115</v>
      </c>
      <c r="Y142" s="406">
        <f t="shared" si="108"/>
        <v>0.90366317641966787</v>
      </c>
      <c r="Z142" s="406">
        <f t="shared" si="124"/>
        <v>0.14934100655533342</v>
      </c>
      <c r="AA142" s="406">
        <f t="shared" si="125"/>
        <v>0.1228566</v>
      </c>
      <c r="AB142" s="406">
        <f t="shared" si="126"/>
        <v>0</v>
      </c>
      <c r="AC142" s="406">
        <f t="shared" si="109"/>
        <v>1.4676353473296051</v>
      </c>
      <c r="AD142" s="406">
        <f t="shared" si="110"/>
        <v>4.4020160969446858</v>
      </c>
      <c r="AE142" s="406">
        <f t="shared" si="111"/>
        <v>0.19377745717760125</v>
      </c>
      <c r="AF142" s="406">
        <f t="shared" si="127"/>
        <v>0.10729907999999998</v>
      </c>
      <c r="AG142" s="406">
        <f t="shared" si="112"/>
        <v>0.31070990936258769</v>
      </c>
      <c r="AH142" s="406">
        <f t="shared" si="113"/>
        <v>0</v>
      </c>
      <c r="AI142">
        <f t="shared" si="128"/>
        <v>0</v>
      </c>
      <c r="AJ142" s="407">
        <f t="shared" si="129"/>
        <v>0.49283374800000002</v>
      </c>
      <c r="AK142">
        <f t="shared" si="134"/>
        <v>0.06</v>
      </c>
      <c r="AL142" s="407">
        <f t="shared" si="130"/>
        <v>4.0337999999999999E-2</v>
      </c>
      <c r="AM142" s="407">
        <f t="shared" si="135"/>
        <v>0.13814789189189189</v>
      </c>
      <c r="AN142" s="407">
        <f t="shared" si="114"/>
        <v>0.100338</v>
      </c>
      <c r="AO142" s="407">
        <f t="shared" si="115"/>
        <v>2.6215862188007555</v>
      </c>
      <c r="AP142">
        <f t="shared" si="131"/>
        <v>83.79</v>
      </c>
      <c r="AQ142" s="10">
        <f t="shared" si="116"/>
        <v>0.9696616352792935</v>
      </c>
      <c r="AR142" s="63">
        <f t="shared" si="117"/>
        <v>80.719944103128284</v>
      </c>
      <c r="AS142" s="63">
        <f t="shared" si="118"/>
        <v>12.428396374503507</v>
      </c>
      <c r="AT142" s="10"/>
      <c r="AU142">
        <f t="shared" si="119"/>
        <v>96.966163527929353</v>
      </c>
    </row>
    <row r="143" spans="7:47" x14ac:dyDescent="0.2">
      <c r="G143">
        <v>134</v>
      </c>
      <c r="H143">
        <f t="shared" si="120"/>
        <v>6.03</v>
      </c>
      <c r="I143" s="406">
        <f t="shared" si="97"/>
        <v>0.47284530674621822</v>
      </c>
      <c r="J143" s="407">
        <f t="shared" si="121"/>
        <v>3.3511361215182012</v>
      </c>
      <c r="K143" s="407">
        <f t="shared" si="132"/>
        <v>7.7055680607591004</v>
      </c>
      <c r="L143" s="407">
        <f t="shared" si="98"/>
        <v>4.3544319392409001</v>
      </c>
      <c r="M143" s="63">
        <f t="shared" si="122"/>
        <v>0</v>
      </c>
      <c r="N143" s="406">
        <f t="shared" si="99"/>
        <v>6.1071059246923172</v>
      </c>
      <c r="O143" s="406">
        <f t="shared" si="100"/>
        <v>3.2907538660299433E-2</v>
      </c>
      <c r="P143">
        <f t="shared" si="123"/>
        <v>0.2</v>
      </c>
      <c r="Q143" s="406">
        <f t="shared" si="133"/>
        <v>0.23290753866029945</v>
      </c>
      <c r="R143" s="9">
        <f t="shared" si="101"/>
        <v>0.96738967092480599</v>
      </c>
      <c r="S143" s="9">
        <f t="shared" si="102"/>
        <v>2.6203597711536126E-4</v>
      </c>
      <c r="T143" s="9">
        <f t="shared" si="103"/>
        <v>2.6203597711536126E-4</v>
      </c>
      <c r="U143" s="406">
        <f t="shared" si="104"/>
        <v>4.1994749407842029</v>
      </c>
      <c r="V143" s="408">
        <f t="shared" si="105"/>
        <v>1.7635589778274487E-2</v>
      </c>
      <c r="W143" s="406">
        <f t="shared" si="106"/>
        <v>1.7635589778274487E-2</v>
      </c>
      <c r="X143" s="406">
        <f t="shared" si="107"/>
        <v>4.1994749407842029</v>
      </c>
      <c r="Y143" s="406">
        <f t="shared" si="108"/>
        <v>0.91705066847027328</v>
      </c>
      <c r="Z143" s="406">
        <f t="shared" si="124"/>
        <v>0.15059838099966497</v>
      </c>
      <c r="AA143" s="406">
        <f t="shared" si="125"/>
        <v>0.1228566</v>
      </c>
      <c r="AB143" s="406">
        <f t="shared" si="126"/>
        <v>0</v>
      </c>
      <c r="AC143" s="406">
        <f t="shared" si="109"/>
        <v>1.4913966303745911</v>
      </c>
      <c r="AD143" s="406">
        <f t="shared" si="110"/>
        <v>4.4340898724696043</v>
      </c>
      <c r="AE143" s="406">
        <f t="shared" si="111"/>
        <v>0.1966115299713751</v>
      </c>
      <c r="AF143" s="406">
        <f t="shared" si="127"/>
        <v>0.10810583999999998</v>
      </c>
      <c r="AG143" s="406">
        <f t="shared" si="112"/>
        <v>0.31461446291618694</v>
      </c>
      <c r="AH143" s="406">
        <f t="shared" si="113"/>
        <v>0</v>
      </c>
      <c r="AI143">
        <f t="shared" si="128"/>
        <v>0</v>
      </c>
      <c r="AJ143" s="407">
        <f t="shared" si="129"/>
        <v>0.49279490400000003</v>
      </c>
      <c r="AK143">
        <f t="shared" si="134"/>
        <v>0.06</v>
      </c>
      <c r="AL143" s="407">
        <f t="shared" si="130"/>
        <v>4.0337999999999999E-2</v>
      </c>
      <c r="AM143" s="407">
        <f t="shared" si="135"/>
        <v>0.13814789189189189</v>
      </c>
      <c r="AN143" s="407">
        <f t="shared" si="114"/>
        <v>0.100338</v>
      </c>
      <c r="AO143" s="407">
        <f t="shared" si="115"/>
        <v>2.6499491617064672</v>
      </c>
      <c r="AP143">
        <f t="shared" si="131"/>
        <v>84.42</v>
      </c>
      <c r="AQ143" s="10">
        <f t="shared" si="116"/>
        <v>0.96956528415119458</v>
      </c>
      <c r="AR143" s="63">
        <f t="shared" si="117"/>
        <v>82.026814670602519</v>
      </c>
      <c r="AS143" s="63">
        <f t="shared" si="118"/>
        <v>12.584578516647477</v>
      </c>
      <c r="AT143" s="10"/>
      <c r="AU143">
        <f t="shared" si="119"/>
        <v>96.956528415119465</v>
      </c>
    </row>
    <row r="144" spans="7:47" x14ac:dyDescent="0.2">
      <c r="G144">
        <v>135</v>
      </c>
      <c r="H144">
        <f t="shared" si="120"/>
        <v>6.0750000000000002</v>
      </c>
      <c r="I144" s="406">
        <f t="shared" si="97"/>
        <v>0.47289181152367554</v>
      </c>
      <c r="J144" s="407">
        <f t="shared" si="121"/>
        <v>3.3514657088850144</v>
      </c>
      <c r="K144" s="407">
        <f t="shared" si="132"/>
        <v>7.7507328544425071</v>
      </c>
      <c r="L144" s="407">
        <f t="shared" si="98"/>
        <v>4.3992671455574932</v>
      </c>
      <c r="M144" s="63">
        <f t="shared" si="122"/>
        <v>0</v>
      </c>
      <c r="N144" s="406">
        <f t="shared" si="99"/>
        <v>6.1515568652566328</v>
      </c>
      <c r="O144" s="406">
        <f t="shared" si="100"/>
        <v>3.338960529700815E-2</v>
      </c>
      <c r="P144">
        <f t="shared" si="123"/>
        <v>0.2</v>
      </c>
      <c r="Q144" s="406">
        <f t="shared" si="133"/>
        <v>0.23338960529700817</v>
      </c>
      <c r="R144" s="9">
        <f t="shared" si="101"/>
        <v>0.96748481460228153</v>
      </c>
      <c r="S144" s="9">
        <f t="shared" si="102"/>
        <v>2.6208752261608315E-4</v>
      </c>
      <c r="T144" s="9">
        <f t="shared" si="103"/>
        <v>2.6208752261608315E-4</v>
      </c>
      <c r="U144" s="406">
        <f t="shared" si="104"/>
        <v>4.2302490827598849</v>
      </c>
      <c r="V144" s="408">
        <f t="shared" si="105"/>
        <v>1.789500730219085E-2</v>
      </c>
      <c r="W144" s="406">
        <f t="shared" si="106"/>
        <v>1.789500730219085E-2</v>
      </c>
      <c r="X144" s="406">
        <f t="shared" si="107"/>
        <v>4.2302490827598849</v>
      </c>
      <c r="Y144" s="406">
        <f t="shared" si="108"/>
        <v>0.930540379713924</v>
      </c>
      <c r="Z144" s="406">
        <f t="shared" si="124"/>
        <v>0.15185575521744368</v>
      </c>
      <c r="AA144" s="406">
        <f t="shared" si="125"/>
        <v>0.1228566</v>
      </c>
      <c r="AB144" s="406">
        <f t="shared" si="126"/>
        <v>0</v>
      </c>
      <c r="AC144" s="406">
        <f t="shared" si="109"/>
        <v>1.515505284837902</v>
      </c>
      <c r="AD144" s="406">
        <f t="shared" si="110"/>
        <v>4.4661666520960859</v>
      </c>
      <c r="AE144" s="406">
        <f t="shared" si="111"/>
        <v>0.1994664456429516</v>
      </c>
      <c r="AF144" s="406">
        <f t="shared" si="127"/>
        <v>0.10891259999999998</v>
      </c>
      <c r="AG144" s="406">
        <f t="shared" si="112"/>
        <v>0.3185453014933749</v>
      </c>
      <c r="AH144" s="406">
        <f t="shared" si="113"/>
        <v>0</v>
      </c>
      <c r="AI144">
        <f t="shared" si="128"/>
        <v>0</v>
      </c>
      <c r="AJ144" s="407">
        <f t="shared" si="129"/>
        <v>0.49275606</v>
      </c>
      <c r="AK144">
        <f t="shared" si="134"/>
        <v>0.06</v>
      </c>
      <c r="AL144" s="407">
        <f t="shared" si="130"/>
        <v>4.0337999999999999E-2</v>
      </c>
      <c r="AM144" s="407">
        <f t="shared" si="135"/>
        <v>0.13814789189189189</v>
      </c>
      <c r="AN144" s="407">
        <f t="shared" si="114"/>
        <v>0.100338</v>
      </c>
      <c r="AO144" s="407">
        <f t="shared" si="115"/>
        <v>2.6786913464530921</v>
      </c>
      <c r="AP144">
        <f t="shared" si="131"/>
        <v>85.05</v>
      </c>
      <c r="AQ144" s="10">
        <f t="shared" si="116"/>
        <v>0.9694661882522041</v>
      </c>
      <c r="AR144" s="63">
        <f t="shared" si="117"/>
        <v>83.352790666084616</v>
      </c>
      <c r="AS144" s="63">
        <f t="shared" si="118"/>
        <v>12.741812059734997</v>
      </c>
      <c r="AT144" s="10"/>
      <c r="AU144">
        <f t="shared" si="119"/>
        <v>96.946618825220412</v>
      </c>
    </row>
    <row r="145" spans="7:47" x14ac:dyDescent="0.2">
      <c r="G145">
        <v>136</v>
      </c>
      <c r="H145">
        <f t="shared" si="120"/>
        <v>6.12</v>
      </c>
      <c r="I145" s="406">
        <f t="shared" si="97"/>
        <v>0.47293832221137372</v>
      </c>
      <c r="J145" s="407">
        <f t="shared" si="121"/>
        <v>3.3517953381387224</v>
      </c>
      <c r="K145" s="407">
        <f t="shared" si="132"/>
        <v>7.7958976690693618</v>
      </c>
      <c r="L145" s="407">
        <f t="shared" si="98"/>
        <v>4.4441023309306384</v>
      </c>
      <c r="M145" s="63">
        <f t="shared" si="122"/>
        <v>0</v>
      </c>
      <c r="N145" s="406">
        <f t="shared" si="99"/>
        <v>6.1960157358631713</v>
      </c>
      <c r="O145" s="406">
        <f t="shared" si="100"/>
        <v>3.3875292398552199E-2</v>
      </c>
      <c r="P145">
        <f t="shared" si="123"/>
        <v>0.2</v>
      </c>
      <c r="Q145" s="406">
        <f t="shared" si="133"/>
        <v>0.2338752923985522</v>
      </c>
      <c r="R145" s="9">
        <f t="shared" si="101"/>
        <v>0.96757997037146215</v>
      </c>
      <c r="S145" s="9">
        <f t="shared" si="102"/>
        <v>2.6213907973793109E-4</v>
      </c>
      <c r="T145" s="9">
        <f t="shared" si="103"/>
        <v>2.6213907973793109E-4</v>
      </c>
      <c r="U145" s="406">
        <f t="shared" si="104"/>
        <v>4.26103170072306</v>
      </c>
      <c r="V145" s="408">
        <f t="shared" si="105"/>
        <v>1.8156391154566853E-2</v>
      </c>
      <c r="W145" s="406">
        <f t="shared" si="106"/>
        <v>1.8156391154566853E-2</v>
      </c>
      <c r="X145" s="406">
        <f t="shared" si="107"/>
        <v>4.26103170072306</v>
      </c>
      <c r="Y145" s="406">
        <f t="shared" si="108"/>
        <v>0.94413234003747637</v>
      </c>
      <c r="Z145" s="406">
        <f t="shared" si="124"/>
        <v>0.15311312920862633</v>
      </c>
      <c r="AA145" s="406">
        <f t="shared" si="125"/>
        <v>0.1228566</v>
      </c>
      <c r="AB145" s="406">
        <f t="shared" si="126"/>
        <v>0</v>
      </c>
      <c r="AC145" s="406">
        <f t="shared" si="109"/>
        <v>1.5399673176232564</v>
      </c>
      <c r="AD145" s="406">
        <f t="shared" si="110"/>
        <v>4.4982463076733783</v>
      </c>
      <c r="AE145" s="406">
        <f t="shared" si="111"/>
        <v>0.20234219844497184</v>
      </c>
      <c r="AF145" s="406">
        <f t="shared" si="127"/>
        <v>0.10971935999999997</v>
      </c>
      <c r="AG145" s="406">
        <f t="shared" si="112"/>
        <v>0.32250249671526937</v>
      </c>
      <c r="AH145" s="406">
        <f t="shared" si="113"/>
        <v>0</v>
      </c>
      <c r="AI145">
        <f t="shared" si="128"/>
        <v>0</v>
      </c>
      <c r="AJ145" s="407">
        <f t="shared" si="129"/>
        <v>0.49271721600000001</v>
      </c>
      <c r="AK145">
        <f t="shared" si="134"/>
        <v>0.06</v>
      </c>
      <c r="AL145" s="407">
        <f t="shared" si="130"/>
        <v>4.0337999999999999E-2</v>
      </c>
      <c r="AM145" s="407">
        <f t="shared" si="135"/>
        <v>0.13814789189189189</v>
      </c>
      <c r="AN145" s="407">
        <f t="shared" si="114"/>
        <v>0.100338</v>
      </c>
      <c r="AO145" s="407">
        <f t="shared" si="115"/>
        <v>2.7078188529713829</v>
      </c>
      <c r="AP145">
        <f t="shared" si="131"/>
        <v>85.68</v>
      </c>
      <c r="AQ145" s="10">
        <f t="shared" si="116"/>
        <v>0.96936434354743262</v>
      </c>
      <c r="AR145" s="63">
        <f t="shared" si="117"/>
        <v>84.69820246927911</v>
      </c>
      <c r="AS145" s="63">
        <f t="shared" si="118"/>
        <v>12.900099868610775</v>
      </c>
      <c r="AT145" s="10"/>
      <c r="AU145">
        <f t="shared" si="119"/>
        <v>96.936434354743255</v>
      </c>
    </row>
    <row r="146" spans="7:47" x14ac:dyDescent="0.2">
      <c r="G146">
        <v>137</v>
      </c>
      <c r="H146">
        <f t="shared" si="120"/>
        <v>6.1650000000000009</v>
      </c>
      <c r="I146" s="406">
        <f t="shared" si="97"/>
        <v>0.47298483881043957</v>
      </c>
      <c r="J146" s="407">
        <f t="shared" si="121"/>
        <v>3.3521250092873109</v>
      </c>
      <c r="K146" s="407">
        <f t="shared" si="132"/>
        <v>7.8410625046436566</v>
      </c>
      <c r="L146" s="407">
        <f t="shared" si="98"/>
        <v>4.4889374953563452</v>
      </c>
      <c r="M146" s="63">
        <f t="shared" si="122"/>
        <v>0</v>
      </c>
      <c r="N146" s="406">
        <f t="shared" si="99"/>
        <v>6.2404823670256029</v>
      </c>
      <c r="O146" s="406">
        <f t="shared" si="100"/>
        <v>3.4364600802436654E-2</v>
      </c>
      <c r="P146">
        <f t="shared" si="123"/>
        <v>0.2</v>
      </c>
      <c r="Q146" s="406">
        <f t="shared" si="133"/>
        <v>0.23436460080243665</v>
      </c>
      <c r="R146" s="9">
        <f t="shared" si="101"/>
        <v>0.9676751382346529</v>
      </c>
      <c r="S146" s="9">
        <f t="shared" si="102"/>
        <v>2.6219064848408732E-4</v>
      </c>
      <c r="T146" s="9">
        <f t="shared" si="103"/>
        <v>2.6219064848408732E-4</v>
      </c>
      <c r="U146" s="406">
        <f t="shared" si="104"/>
        <v>4.2918226792699476</v>
      </c>
      <c r="V146" s="408">
        <f t="shared" si="105"/>
        <v>1.8419741910295873E-2</v>
      </c>
      <c r="W146" s="406">
        <f t="shared" si="106"/>
        <v>1.8419741910295873E-2</v>
      </c>
      <c r="X146" s="406">
        <f t="shared" si="107"/>
        <v>4.2918226792699476</v>
      </c>
      <c r="Y146" s="406">
        <f t="shared" si="108"/>
        <v>0.95782657933538529</v>
      </c>
      <c r="Z146" s="406">
        <f t="shared" si="124"/>
        <v>0.15437050297316973</v>
      </c>
      <c r="AA146" s="406">
        <f t="shared" si="125"/>
        <v>0.1228566</v>
      </c>
      <c r="AB146" s="406">
        <f t="shared" si="126"/>
        <v>0</v>
      </c>
      <c r="AC146" s="406">
        <f t="shared" si="109"/>
        <v>1.5647888875731142</v>
      </c>
      <c r="AD146" s="406">
        <f t="shared" si="110"/>
        <v>4.5303287146587499</v>
      </c>
      <c r="AE146" s="406">
        <f t="shared" si="111"/>
        <v>0.205238782628616</v>
      </c>
      <c r="AF146" s="406">
        <f t="shared" si="127"/>
        <v>0.11052611999999999</v>
      </c>
      <c r="AG146" s="406">
        <f t="shared" si="112"/>
        <v>0.32648612086732792</v>
      </c>
      <c r="AH146" s="406">
        <f t="shared" si="113"/>
        <v>0</v>
      </c>
      <c r="AI146">
        <f t="shared" si="128"/>
        <v>0</v>
      </c>
      <c r="AJ146" s="407">
        <f t="shared" si="129"/>
        <v>0.49267837200000003</v>
      </c>
      <c r="AK146">
        <f t="shared" si="134"/>
        <v>0.06</v>
      </c>
      <c r="AL146" s="407">
        <f t="shared" si="130"/>
        <v>4.0337999999999999E-2</v>
      </c>
      <c r="AM146" s="407">
        <f t="shared" si="135"/>
        <v>0.13814789189189189</v>
      </c>
      <c r="AN146" s="407">
        <f t="shared" si="114"/>
        <v>0.100338</v>
      </c>
      <c r="AO146" s="407">
        <f t="shared" si="115"/>
        <v>2.7373379138016585</v>
      </c>
      <c r="AP146">
        <f t="shared" si="131"/>
        <v>86.310000000000016</v>
      </c>
      <c r="AQ146" s="10">
        <f t="shared" si="116"/>
        <v>0.96925974455910846</v>
      </c>
      <c r="AR146" s="63">
        <f t="shared" si="117"/>
        <v>86.063388816521282</v>
      </c>
      <c r="AS146" s="63">
        <f t="shared" si="118"/>
        <v>13.059444834693117</v>
      </c>
      <c r="AT146" s="10"/>
      <c r="AU146">
        <f t="shared" si="119"/>
        <v>96.925974455910847</v>
      </c>
    </row>
    <row r="147" spans="7:47" x14ac:dyDescent="0.2">
      <c r="G147">
        <v>138</v>
      </c>
      <c r="H147">
        <f t="shared" si="120"/>
        <v>6.2099999999999991</v>
      </c>
      <c r="I147" s="406">
        <f t="shared" si="97"/>
        <v>0.47303136132200008</v>
      </c>
      <c r="J147" s="407">
        <f t="shared" si="121"/>
        <v>3.3524547223387673</v>
      </c>
      <c r="K147" s="407">
        <f t="shared" si="132"/>
        <v>7.8862273611693823</v>
      </c>
      <c r="L147" s="407">
        <f t="shared" si="98"/>
        <v>4.5337726388306159</v>
      </c>
      <c r="M147" s="63">
        <f t="shared" si="122"/>
        <v>0</v>
      </c>
      <c r="N147" s="406">
        <f t="shared" si="99"/>
        <v>6.2849565940249432</v>
      </c>
      <c r="O147" s="406">
        <f t="shared" si="100"/>
        <v>3.4857531352509179E-2</v>
      </c>
      <c r="P147">
        <f t="shared" si="123"/>
        <v>0.2</v>
      </c>
      <c r="Q147" s="406">
        <f t="shared" si="133"/>
        <v>0.2348575313525092</v>
      </c>
      <c r="R147" s="9">
        <f t="shared" si="101"/>
        <v>0.96777031819415971</v>
      </c>
      <c r="S147" s="9">
        <f t="shared" si="102"/>
        <v>2.6224222885773505E-4</v>
      </c>
      <c r="T147" s="9">
        <f t="shared" si="103"/>
        <v>2.6224222885773505E-4</v>
      </c>
      <c r="U147" s="406">
        <f t="shared" si="104"/>
        <v>4.3226219062528868</v>
      </c>
      <c r="V147" s="408">
        <f t="shared" si="105"/>
        <v>1.8685060144417343E-2</v>
      </c>
      <c r="W147" s="406">
        <f t="shared" si="106"/>
        <v>1.8685060144417343E-2</v>
      </c>
      <c r="X147" s="406">
        <f t="shared" si="107"/>
        <v>4.3226219062528868</v>
      </c>
      <c r="Y147" s="406">
        <f t="shared" si="108"/>
        <v>0.9716231275097017</v>
      </c>
      <c r="Z147" s="406">
        <f t="shared" si="124"/>
        <v>0.15562787651103061</v>
      </c>
      <c r="AA147" s="406">
        <f t="shared" si="125"/>
        <v>0.1228566</v>
      </c>
      <c r="AB147" s="406">
        <f t="shared" si="126"/>
        <v>0</v>
      </c>
      <c r="AC147" s="406">
        <f t="shared" si="109"/>
        <v>1.5899763101503479</v>
      </c>
      <c r="AD147" s="406">
        <f t="shared" si="110"/>
        <v>4.5624137519914028</v>
      </c>
      <c r="AE147" s="406">
        <f t="shared" si="111"/>
        <v>0.2081561924436027</v>
      </c>
      <c r="AF147" s="406">
        <f t="shared" si="127"/>
        <v>0.11133287999999995</v>
      </c>
      <c r="AG147" s="406">
        <f t="shared" si="112"/>
        <v>0.33049624690316481</v>
      </c>
      <c r="AH147" s="406">
        <f t="shared" si="113"/>
        <v>0</v>
      </c>
      <c r="AI147">
        <f t="shared" si="128"/>
        <v>0</v>
      </c>
      <c r="AJ147" s="407">
        <f t="shared" si="129"/>
        <v>0.49263952799999999</v>
      </c>
      <c r="AK147">
        <f t="shared" si="134"/>
        <v>0.06</v>
      </c>
      <c r="AL147" s="407">
        <f t="shared" si="130"/>
        <v>4.0337999999999999E-2</v>
      </c>
      <c r="AM147" s="407">
        <f t="shared" si="135"/>
        <v>0.13814789189189189</v>
      </c>
      <c r="AN147" s="407">
        <f t="shared" si="114"/>
        <v>0.100338</v>
      </c>
      <c r="AO147" s="407">
        <f t="shared" si="115"/>
        <v>2.7672549187792965</v>
      </c>
      <c r="AP147">
        <f t="shared" si="131"/>
        <v>86.939999999999984</v>
      </c>
      <c r="AQ147" s="10">
        <f t="shared" si="116"/>
        <v>0.96915238437198015</v>
      </c>
      <c r="AR147" s="63">
        <f t="shared" si="117"/>
        <v>87.448697058269133</v>
      </c>
      <c r="AS147" s="63">
        <f t="shared" si="118"/>
        <v>13.219849876126592</v>
      </c>
      <c r="AT147" s="10"/>
      <c r="AU147">
        <f t="shared" si="119"/>
        <v>96.915238437198013</v>
      </c>
    </row>
    <row r="148" spans="7:47" x14ac:dyDescent="0.2">
      <c r="G148">
        <v>139</v>
      </c>
      <c r="H148">
        <f t="shared" si="120"/>
        <v>6.2549999999999999</v>
      </c>
      <c r="I148" s="406">
        <f t="shared" si="97"/>
        <v>0.47307788974718268</v>
      </c>
      <c r="J148" s="407">
        <f t="shared" si="121"/>
        <v>3.352784477301082</v>
      </c>
      <c r="K148" s="407">
        <f t="shared" si="132"/>
        <v>7.9313922386505409</v>
      </c>
      <c r="L148" s="407">
        <f t="shared" si="98"/>
        <v>4.5786077613494589</v>
      </c>
      <c r="M148" s="63">
        <f t="shared" si="122"/>
        <v>0</v>
      </c>
      <c r="N148" s="406">
        <f t="shared" si="99"/>
        <v>6.329438256744111</v>
      </c>
      <c r="O148" s="406">
        <f t="shared" si="100"/>
        <v>3.5354084898963911E-2</v>
      </c>
      <c r="P148">
        <f t="shared" si="123"/>
        <v>0.2</v>
      </c>
      <c r="Q148" s="406">
        <f t="shared" si="133"/>
        <v>0.23535408489896392</v>
      </c>
      <c r="R148" s="9">
        <f t="shared" si="101"/>
        <v>0.96786551025228929</v>
      </c>
      <c r="S148" s="9">
        <f t="shared" si="102"/>
        <v>2.6229382086205886E-4</v>
      </c>
      <c r="T148" s="9">
        <f t="shared" si="103"/>
        <v>2.6229382086205886E-4</v>
      </c>
      <c r="U148" s="406">
        <f t="shared" si="104"/>
        <v>4.3534292726673547</v>
      </c>
      <c r="V148" s="408">
        <f t="shared" si="105"/>
        <v>1.8952346432117014E-2</v>
      </c>
      <c r="W148" s="406">
        <f t="shared" si="106"/>
        <v>1.8952346432117014E-2</v>
      </c>
      <c r="X148" s="406">
        <f t="shared" si="107"/>
        <v>4.3534292726673547</v>
      </c>
      <c r="Y148" s="406">
        <f t="shared" si="108"/>
        <v>0.9855220144700847</v>
      </c>
      <c r="Z148" s="406">
        <f t="shared" si="124"/>
        <v>0.15688524982216587</v>
      </c>
      <c r="AA148" s="406">
        <f t="shared" si="125"/>
        <v>0.1228566</v>
      </c>
      <c r="AB148" s="406">
        <f t="shared" si="126"/>
        <v>0</v>
      </c>
      <c r="AC148" s="406">
        <f t="shared" si="109"/>
        <v>1.6155360622961477</v>
      </c>
      <c r="AD148" s="406">
        <f t="shared" si="110"/>
        <v>4.5945013019716212</v>
      </c>
      <c r="AE148" s="406">
        <f t="shared" si="111"/>
        <v>0.21109442213818924</v>
      </c>
      <c r="AF148" s="406">
        <f t="shared" si="127"/>
        <v>0.11213963999999997</v>
      </c>
      <c r="AG148" s="406">
        <f t="shared" si="112"/>
        <v>0.33453294844841364</v>
      </c>
      <c r="AH148" s="406">
        <f t="shared" si="113"/>
        <v>0</v>
      </c>
      <c r="AI148">
        <f t="shared" si="128"/>
        <v>0</v>
      </c>
      <c r="AJ148" s="407">
        <f t="shared" si="129"/>
        <v>0.49260068400000001</v>
      </c>
      <c r="AK148">
        <f t="shared" si="134"/>
        <v>0.06</v>
      </c>
      <c r="AL148" s="407">
        <f t="shared" si="130"/>
        <v>4.0337999999999999E-2</v>
      </c>
      <c r="AM148" s="407">
        <f t="shared" si="135"/>
        <v>0.13814789189189189</v>
      </c>
      <c r="AN148" s="407">
        <f t="shared" si="114"/>
        <v>0.100338</v>
      </c>
      <c r="AO148" s="407">
        <f t="shared" si="115"/>
        <v>2.7975764198965045</v>
      </c>
      <c r="AP148">
        <f t="shared" si="131"/>
        <v>87.57</v>
      </c>
      <c r="AQ148" s="10">
        <f t="shared" si="116"/>
        <v>0.96904225463680194</v>
      </c>
      <c r="AR148" s="63">
        <f t="shared" si="117"/>
        <v>88.854483426288127</v>
      </c>
      <c r="AS148" s="63">
        <f t="shared" si="118"/>
        <v>13.381317937936545</v>
      </c>
      <c r="AT148" s="10"/>
      <c r="AU148">
        <f t="shared" si="119"/>
        <v>96.904225463680191</v>
      </c>
    </row>
    <row r="149" spans="7:47" x14ac:dyDescent="0.2">
      <c r="G149">
        <v>140</v>
      </c>
      <c r="H149">
        <f t="shared" si="120"/>
        <v>6.3</v>
      </c>
      <c r="I149" s="406">
        <f t="shared" si="97"/>
        <v>0.47312442408711508</v>
      </c>
      <c r="J149" s="407">
        <f t="shared" si="121"/>
        <v>3.3531142741822473</v>
      </c>
      <c r="K149" s="407">
        <f t="shared" si="132"/>
        <v>7.9765571370911239</v>
      </c>
      <c r="L149" s="407">
        <f t="shared" si="98"/>
        <v>4.6234428629088757</v>
      </c>
      <c r="M149" s="63">
        <f t="shared" si="122"/>
        <v>0</v>
      </c>
      <c r="N149" s="406">
        <f t="shared" si="99"/>
        <v>6.3739271995092412</v>
      </c>
      <c r="O149" s="406">
        <f t="shared" si="100"/>
        <v>3.5854262298344854E-2</v>
      </c>
      <c r="P149">
        <f t="shared" si="123"/>
        <v>0.2</v>
      </c>
      <c r="Q149" s="406">
        <f t="shared" si="133"/>
        <v>0.23585426229834486</v>
      </c>
      <c r="R149" s="9">
        <f t="shared" si="101"/>
        <v>0.96796071441134857</v>
      </c>
      <c r="S149" s="9">
        <f t="shared" si="102"/>
        <v>2.6234542450024397E-4</v>
      </c>
      <c r="T149" s="9">
        <f t="shared" si="103"/>
        <v>2.6234542450024397E-4</v>
      </c>
      <c r="U149" s="406">
        <f t="shared" si="104"/>
        <v>4.3842446725435797</v>
      </c>
      <c r="V149" s="408">
        <f t="shared" si="105"/>
        <v>1.9221601348726761E-2</v>
      </c>
      <c r="W149" s="406">
        <f t="shared" si="106"/>
        <v>1.9221601348726761E-2</v>
      </c>
      <c r="X149" s="406">
        <f t="shared" si="107"/>
        <v>4.3842446725435797</v>
      </c>
      <c r="Y149" s="406">
        <f t="shared" si="108"/>
        <v>0.9995232701337915</v>
      </c>
      <c r="Z149" s="406">
        <f t="shared" si="124"/>
        <v>0.15814262290653217</v>
      </c>
      <c r="AA149" s="406">
        <f t="shared" si="125"/>
        <v>0.1228566</v>
      </c>
      <c r="AB149" s="406">
        <f t="shared" si="126"/>
        <v>0</v>
      </c>
      <c r="AC149" s="406">
        <f t="shared" si="109"/>
        <v>1.6414747874718512</v>
      </c>
      <c r="AD149" s="406">
        <f t="shared" si="110"/>
        <v>4.6265912501448581</v>
      </c>
      <c r="AE149" s="406">
        <f t="shared" si="111"/>
        <v>0.2140534659591696</v>
      </c>
      <c r="AF149" s="406">
        <f t="shared" si="127"/>
        <v>0.11294639999999997</v>
      </c>
      <c r="AG149" s="406">
        <f t="shared" si="112"/>
        <v>0.33859629980463057</v>
      </c>
      <c r="AH149" s="406">
        <f t="shared" si="113"/>
        <v>0</v>
      </c>
      <c r="AI149">
        <f t="shared" si="128"/>
        <v>0</v>
      </c>
      <c r="AJ149" s="407">
        <f t="shared" si="129"/>
        <v>0.49256183999999997</v>
      </c>
      <c r="AK149">
        <f t="shared" si="134"/>
        <v>0.06</v>
      </c>
      <c r="AL149" s="407">
        <f t="shared" si="130"/>
        <v>4.0337999999999999E-2</v>
      </c>
      <c r="AM149" s="407">
        <f t="shared" si="135"/>
        <v>0.13814789189189189</v>
      </c>
      <c r="AN149" s="407">
        <f t="shared" si="114"/>
        <v>0.100338</v>
      </c>
      <c r="AO149" s="407">
        <f t="shared" si="115"/>
        <v>2.8283091363480537</v>
      </c>
      <c r="AP149">
        <f t="shared" si="131"/>
        <v>88.2</v>
      </c>
      <c r="AQ149" s="10">
        <f t="shared" si="116"/>
        <v>0.96892934557191834</v>
      </c>
      <c r="AR149" s="63">
        <f t="shared" si="117"/>
        <v>90.28111331095181</v>
      </c>
      <c r="AS149" s="63">
        <f t="shared" si="118"/>
        <v>13.543851992185223</v>
      </c>
      <c r="AT149" s="10"/>
      <c r="AU149">
        <f t="shared" si="119"/>
        <v>96.892934557191836</v>
      </c>
    </row>
    <row r="150" spans="7:47" x14ac:dyDescent="0.2">
      <c r="G150">
        <v>141</v>
      </c>
      <c r="H150">
        <f t="shared" si="120"/>
        <v>6.3449999999999998</v>
      </c>
      <c r="I150" s="406">
        <f t="shared" si="97"/>
        <v>0.47317096434292488</v>
      </c>
      <c r="J150" s="407">
        <f t="shared" si="121"/>
        <v>3.3534441129902541</v>
      </c>
      <c r="K150" s="407">
        <f t="shared" si="132"/>
        <v>8.0217220564951273</v>
      </c>
      <c r="L150" s="407">
        <f t="shared" si="98"/>
        <v>4.6682779435048722</v>
      </c>
      <c r="M150" s="63">
        <f t="shared" si="122"/>
        <v>0</v>
      </c>
      <c r="N150" s="406">
        <f t="shared" si="99"/>
        <v>6.4184232709375291</v>
      </c>
      <c r="O150" s="406">
        <f t="shared" si="100"/>
        <v>3.6358064413549877E-2</v>
      </c>
      <c r="P150">
        <f t="shared" si="123"/>
        <v>0.2</v>
      </c>
      <c r="Q150" s="406">
        <f t="shared" si="133"/>
        <v>0.2363580644135499</v>
      </c>
      <c r="R150" s="9">
        <f t="shared" si="101"/>
        <v>0.96805593067364459</v>
      </c>
      <c r="S150" s="9">
        <f t="shared" si="102"/>
        <v>2.6239703977547657E-4</v>
      </c>
      <c r="T150" s="9">
        <f t="shared" si="103"/>
        <v>2.6239703977547657E-4</v>
      </c>
      <c r="U150" s="406">
        <f t="shared" si="104"/>
        <v>4.4150680028426299</v>
      </c>
      <c r="V150" s="408">
        <f t="shared" si="105"/>
        <v>1.9492825469724809E-2</v>
      </c>
      <c r="W150" s="406">
        <f t="shared" si="106"/>
        <v>1.9492825469724809E-2</v>
      </c>
      <c r="X150" s="406">
        <f t="shared" si="107"/>
        <v>4.4150680028426299</v>
      </c>
      <c r="Y150" s="406">
        <f t="shared" si="108"/>
        <v>1.0136269244256901</v>
      </c>
      <c r="Z150" s="406">
        <f t="shared" si="124"/>
        <v>0.15939999576408631</v>
      </c>
      <c r="AA150" s="406">
        <f t="shared" si="125"/>
        <v>0.1228566</v>
      </c>
      <c r="AB150" s="406">
        <f t="shared" si="126"/>
        <v>0</v>
      </c>
      <c r="AC150" s="406">
        <f t="shared" si="109"/>
        <v>1.6677993008929277</v>
      </c>
      <c r="AD150" s="406">
        <f t="shared" si="110"/>
        <v>4.6586834851905961</v>
      </c>
      <c r="AE150" s="406">
        <f t="shared" si="111"/>
        <v>0.21703331815187599</v>
      </c>
      <c r="AF150" s="406">
        <f t="shared" si="127"/>
        <v>0.11375315999999996</v>
      </c>
      <c r="AG150" s="406">
        <f t="shared" si="112"/>
        <v>0.34268637595324791</v>
      </c>
      <c r="AH150" s="406">
        <f t="shared" si="113"/>
        <v>0</v>
      </c>
      <c r="AI150">
        <f t="shared" si="128"/>
        <v>0</v>
      </c>
      <c r="AJ150" s="407">
        <f t="shared" si="129"/>
        <v>0.49252299599999999</v>
      </c>
      <c r="AK150">
        <f t="shared" si="134"/>
        <v>0.06</v>
      </c>
      <c r="AL150" s="407">
        <f t="shared" si="130"/>
        <v>4.0337999999999999E-2</v>
      </c>
      <c r="AM150" s="407">
        <f t="shared" si="135"/>
        <v>0.13814789189189189</v>
      </c>
      <c r="AN150" s="407">
        <f t="shared" si="114"/>
        <v>0.100338</v>
      </c>
      <c r="AO150" s="407">
        <f t="shared" si="115"/>
        <v>2.8594599597692261</v>
      </c>
      <c r="AP150">
        <f t="shared" si="131"/>
        <v>88.83</v>
      </c>
      <c r="AQ150" s="10">
        <f t="shared" si="116"/>
        <v>0.96881364596297248</v>
      </c>
      <c r="AR150" s="63">
        <f t="shared" si="117"/>
        <v>91.72896154911102</v>
      </c>
      <c r="AS150" s="63">
        <f t="shared" si="118"/>
        <v>13.707455038129917</v>
      </c>
      <c r="AT150" s="10"/>
      <c r="AU150">
        <f t="shared" si="119"/>
        <v>96.881364596297246</v>
      </c>
    </row>
    <row r="151" spans="7:47" x14ac:dyDescent="0.2">
      <c r="G151">
        <v>142</v>
      </c>
      <c r="H151">
        <f t="shared" si="120"/>
        <v>6.39</v>
      </c>
      <c r="I151" s="406">
        <f t="shared" si="97"/>
        <v>0.47321751051574051</v>
      </c>
      <c r="J151" s="407">
        <f t="shared" si="121"/>
        <v>3.3537739937331006</v>
      </c>
      <c r="K151" s="407">
        <f t="shared" si="132"/>
        <v>8.0668869968665504</v>
      </c>
      <c r="L151" s="407">
        <f t="shared" si="98"/>
        <v>4.7131130031334489</v>
      </c>
      <c r="M151" s="63">
        <f t="shared" si="122"/>
        <v>0</v>
      </c>
      <c r="N151" s="406">
        <f t="shared" si="99"/>
        <v>6.4629263237912102</v>
      </c>
      <c r="O151" s="406">
        <f t="shared" si="100"/>
        <v>3.6865492113834185E-2</v>
      </c>
      <c r="P151">
        <f t="shared" si="123"/>
        <v>0.2</v>
      </c>
      <c r="Q151" s="406">
        <f t="shared" si="133"/>
        <v>0.2368654921138342</v>
      </c>
      <c r="R151" s="9">
        <f t="shared" si="101"/>
        <v>0.96815115904148596</v>
      </c>
      <c r="S151" s="9">
        <f t="shared" si="102"/>
        <v>2.624486666909444E-4</v>
      </c>
      <c r="T151" s="9">
        <f t="shared" si="103"/>
        <v>2.624486666909444E-4</v>
      </c>
      <c r="U151" s="406">
        <f t="shared" si="104"/>
        <v>4.4458991633566898</v>
      </c>
      <c r="V151" s="408">
        <f t="shared" si="105"/>
        <v>1.9766019370735712E-2</v>
      </c>
      <c r="W151" s="406">
        <f t="shared" si="106"/>
        <v>1.9766019370735712E-2</v>
      </c>
      <c r="X151" s="406">
        <f t="shared" si="107"/>
        <v>4.4458991633566898</v>
      </c>
      <c r="Y151" s="406">
        <f t="shared" si="108"/>
        <v>1.0278330072782571</v>
      </c>
      <c r="Z151" s="406">
        <f t="shared" si="124"/>
        <v>0.16065736839478506</v>
      </c>
      <c r="AA151" s="406">
        <f t="shared" si="125"/>
        <v>0.1228566</v>
      </c>
      <c r="AB151" s="406">
        <f t="shared" si="126"/>
        <v>0</v>
      </c>
      <c r="AC151" s="406">
        <f t="shared" si="109"/>
        <v>1.6945165949635987</v>
      </c>
      <c r="AD151" s="406">
        <f t="shared" si="110"/>
        <v>4.6907778988156812</v>
      </c>
      <c r="AE151" s="406">
        <f t="shared" si="111"/>
        <v>0.22003397296017657</v>
      </c>
      <c r="AF151" s="406">
        <f t="shared" si="127"/>
        <v>0.11455991999999997</v>
      </c>
      <c r="AG151" s="406">
        <f t="shared" si="112"/>
        <v>0.34680325255956745</v>
      </c>
      <c r="AH151" s="406">
        <f t="shared" si="113"/>
        <v>0</v>
      </c>
      <c r="AI151">
        <f t="shared" si="128"/>
        <v>0</v>
      </c>
      <c r="AJ151" s="407">
        <f t="shared" si="129"/>
        <v>0.49248415200000001</v>
      </c>
      <c r="AK151">
        <f t="shared" si="134"/>
        <v>0.06</v>
      </c>
      <c r="AL151" s="407">
        <f t="shared" si="130"/>
        <v>4.0337999999999999E-2</v>
      </c>
      <c r="AM151" s="407">
        <f t="shared" si="135"/>
        <v>0.13814789189189189</v>
      </c>
      <c r="AN151" s="407">
        <f t="shared" si="114"/>
        <v>0.100338</v>
      </c>
      <c r="AO151" s="407">
        <f t="shared" si="115"/>
        <v>2.8910359596744266</v>
      </c>
      <c r="AP151">
        <f t="shared" si="131"/>
        <v>89.46</v>
      </c>
      <c r="AQ151" s="10">
        <f t="shared" si="116"/>
        <v>0.96869514316074579</v>
      </c>
      <c r="AR151" s="63">
        <f t="shared" si="117"/>
        <v>93.198412722997929</v>
      </c>
      <c r="AS151" s="63">
        <f t="shared" si="118"/>
        <v>13.872130102382698</v>
      </c>
      <c r="AT151" s="10"/>
      <c r="AU151">
        <f t="shared" si="119"/>
        <v>96.869514316074572</v>
      </c>
    </row>
    <row r="152" spans="7:47" x14ac:dyDescent="0.2">
      <c r="G152">
        <v>143</v>
      </c>
      <c r="H152">
        <f t="shared" si="120"/>
        <v>6.4349999999999996</v>
      </c>
      <c r="I152" s="406">
        <f t="shared" si="97"/>
        <v>0.47326406260669029</v>
      </c>
      <c r="J152" s="407">
        <f t="shared" si="121"/>
        <v>3.3541039164187829</v>
      </c>
      <c r="K152" s="407">
        <f t="shared" si="132"/>
        <v>8.112051958209392</v>
      </c>
      <c r="L152" s="407">
        <f t="shared" si="98"/>
        <v>4.7579480417906082</v>
      </c>
      <c r="M152" s="63">
        <f t="shared" si="122"/>
        <v>0</v>
      </c>
      <c r="N152" s="406">
        <f t="shared" si="99"/>
        <v>6.5074362148374512</v>
      </c>
      <c r="O152" s="406">
        <f t="shared" si="100"/>
        <v>3.7376546274814293E-2</v>
      </c>
      <c r="P152">
        <f t="shared" si="123"/>
        <v>0.2</v>
      </c>
      <c r="Q152" s="406">
        <f t="shared" si="133"/>
        <v>0.2373765462748143</v>
      </c>
      <c r="R152" s="9">
        <f t="shared" si="101"/>
        <v>0.96824639951718128</v>
      </c>
      <c r="S152" s="9">
        <f t="shared" si="102"/>
        <v>2.6250030524983581E-4</v>
      </c>
      <c r="T152" s="9">
        <f t="shared" si="103"/>
        <v>2.6250030524983581E-4</v>
      </c>
      <c r="U152" s="406">
        <f t="shared" si="104"/>
        <v>4.4767380566133594</v>
      </c>
      <c r="V152" s="408">
        <f t="shared" si="105"/>
        <v>2.0041183627530358E-2</v>
      </c>
      <c r="W152" s="406">
        <f t="shared" si="106"/>
        <v>2.0041183627530358E-2</v>
      </c>
      <c r="X152" s="406">
        <f t="shared" si="107"/>
        <v>4.4767380566133594</v>
      </c>
      <c r="Y152" s="406">
        <f t="shared" si="108"/>
        <v>1.0421415486315786</v>
      </c>
      <c r="Z152" s="406">
        <f t="shared" si="124"/>
        <v>0.16191474079858514</v>
      </c>
      <c r="AA152" s="406">
        <f t="shared" si="125"/>
        <v>0.1228566</v>
      </c>
      <c r="AB152" s="406">
        <f t="shared" si="126"/>
        <v>0</v>
      </c>
      <c r="AC152" s="406">
        <f t="shared" si="109"/>
        <v>1.7216338449211506</v>
      </c>
      <c r="AD152" s="406">
        <f t="shared" si="110"/>
        <v>4.7228743856519859</v>
      </c>
      <c r="AE152" s="406">
        <f t="shared" si="111"/>
        <v>0.22305542462647623</v>
      </c>
      <c r="AF152" s="406">
        <f t="shared" si="127"/>
        <v>0.11536667999999999</v>
      </c>
      <c r="AG152" s="406">
        <f t="shared" si="112"/>
        <v>0.35094700597680362</v>
      </c>
      <c r="AH152" s="406">
        <f t="shared" si="113"/>
        <v>0</v>
      </c>
      <c r="AI152">
        <f t="shared" si="128"/>
        <v>0</v>
      </c>
      <c r="AJ152" s="407">
        <f t="shared" si="129"/>
        <v>0.49244530799999997</v>
      </c>
      <c r="AK152">
        <f t="shared" si="134"/>
        <v>0.06</v>
      </c>
      <c r="AL152" s="407">
        <f t="shared" si="130"/>
        <v>4.0337999999999999E-2</v>
      </c>
      <c r="AM152" s="407">
        <f t="shared" si="135"/>
        <v>0.13814789189189189</v>
      </c>
      <c r="AN152" s="407">
        <f t="shared" si="114"/>
        <v>0.100338</v>
      </c>
      <c r="AO152" s="407">
        <f t="shared" si="115"/>
        <v>2.9230443891055486</v>
      </c>
      <c r="AP152">
        <f t="shared" si="131"/>
        <v>90.089999999999989</v>
      </c>
      <c r="AQ152" s="10">
        <f t="shared" si="116"/>
        <v>0.96857382307714324</v>
      </c>
      <c r="AR152" s="63">
        <f t="shared" si="117"/>
        <v>94.689861470663288</v>
      </c>
      <c r="AS152" s="63">
        <f t="shared" si="118"/>
        <v>14.037880239072145</v>
      </c>
      <c r="AT152" s="10"/>
      <c r="AU152">
        <f t="shared" si="119"/>
        <v>96.857382307714317</v>
      </c>
    </row>
    <row r="153" spans="7:47" x14ac:dyDescent="0.2">
      <c r="G153">
        <v>144</v>
      </c>
      <c r="H153">
        <f t="shared" si="120"/>
        <v>6.4799999999999995</v>
      </c>
      <c r="I153" s="406">
        <f t="shared" si="97"/>
        <v>0.47331062061690321</v>
      </c>
      <c r="J153" s="407">
        <f t="shared" si="121"/>
        <v>3.3544338810553027</v>
      </c>
      <c r="K153" s="407">
        <f t="shared" si="132"/>
        <v>8.1572169405276505</v>
      </c>
      <c r="L153" s="407">
        <f t="shared" si="98"/>
        <v>4.8027830594723486</v>
      </c>
      <c r="M153" s="63">
        <f t="shared" si="122"/>
        <v>0</v>
      </c>
      <c r="N153" s="406">
        <f t="shared" si="99"/>
        <v>6.5519528047138467</v>
      </c>
      <c r="O153" s="406">
        <f t="shared" si="100"/>
        <v>3.7891227778471669E-2</v>
      </c>
      <c r="P153">
        <f t="shared" si="123"/>
        <v>0.2</v>
      </c>
      <c r="Q153" s="406">
        <f t="shared" si="133"/>
        <v>0.23789122777847169</v>
      </c>
      <c r="R153" s="9">
        <f t="shared" si="101"/>
        <v>0.96834165210304013</v>
      </c>
      <c r="S153" s="9">
        <f t="shared" si="102"/>
        <v>2.6255195545534069E-4</v>
      </c>
      <c r="T153" s="9">
        <f t="shared" si="103"/>
        <v>2.6255195545534069E-4</v>
      </c>
      <c r="U153" s="406">
        <f t="shared" si="104"/>
        <v>4.507584587783807</v>
      </c>
      <c r="V153" s="408">
        <f t="shared" si="105"/>
        <v>2.0318318816026113E-2</v>
      </c>
      <c r="W153" s="406">
        <f t="shared" si="106"/>
        <v>2.0318318816026113E-2</v>
      </c>
      <c r="X153" s="406">
        <f t="shared" si="107"/>
        <v>4.507584587783807</v>
      </c>
      <c r="Y153" s="406">
        <f t="shared" si="108"/>
        <v>1.0565525784333578</v>
      </c>
      <c r="Z153" s="406">
        <f t="shared" si="124"/>
        <v>0.16317211297544323</v>
      </c>
      <c r="AA153" s="406">
        <f t="shared" si="125"/>
        <v>0.1228566</v>
      </c>
      <c r="AB153" s="406">
        <f t="shared" si="126"/>
        <v>0</v>
      </c>
      <c r="AC153" s="406">
        <f t="shared" si="109"/>
        <v>1.7491584146993913</v>
      </c>
      <c r="AD153" s="406">
        <f t="shared" si="110"/>
        <v>4.7549728431581526</v>
      </c>
      <c r="AE153" s="406">
        <f t="shared" si="111"/>
        <v>0.22609766739171527</v>
      </c>
      <c r="AF153" s="406">
        <f t="shared" si="127"/>
        <v>0.11617343999999996</v>
      </c>
      <c r="AG153" s="406">
        <f t="shared" si="112"/>
        <v>0.35511771325017022</v>
      </c>
      <c r="AH153" s="406">
        <f t="shared" si="113"/>
        <v>0</v>
      </c>
      <c r="AI153">
        <f t="shared" si="128"/>
        <v>0</v>
      </c>
      <c r="AJ153" s="407">
        <f t="shared" si="129"/>
        <v>0.49240646399999999</v>
      </c>
      <c r="AK153">
        <f t="shared" si="134"/>
        <v>0.06</v>
      </c>
      <c r="AL153" s="407">
        <f t="shared" si="130"/>
        <v>4.0337999999999999E-2</v>
      </c>
      <c r="AM153" s="407">
        <f t="shared" si="135"/>
        <v>0.13814789189189189</v>
      </c>
      <c r="AN153" s="407">
        <f t="shared" si="114"/>
        <v>0.100338</v>
      </c>
      <c r="AO153" s="407">
        <f t="shared" si="115"/>
        <v>2.9554926904995149</v>
      </c>
      <c r="AP153">
        <f t="shared" si="131"/>
        <v>90.72</v>
      </c>
      <c r="AQ153" s="10">
        <f t="shared" si="116"/>
        <v>0.96844967017932482</v>
      </c>
      <c r="AR153" s="63">
        <f t="shared" si="117"/>
        <v>96.20371280846652</v>
      </c>
      <c r="AS153" s="63">
        <f t="shared" si="118"/>
        <v>14.204708530006808</v>
      </c>
      <c r="AT153" s="10"/>
      <c r="AU153">
        <f t="shared" si="119"/>
        <v>96.844967017932476</v>
      </c>
    </row>
    <row r="154" spans="7:47" x14ac:dyDescent="0.2">
      <c r="G154">
        <v>145</v>
      </c>
      <c r="H154">
        <f t="shared" si="120"/>
        <v>6.5249999999999995</v>
      </c>
      <c r="I154" s="406">
        <f t="shared" si="97"/>
        <v>0.47335718454750819</v>
      </c>
      <c r="J154" s="407">
        <f t="shared" si="121"/>
        <v>3.3547638876506602</v>
      </c>
      <c r="K154" s="407">
        <f t="shared" si="132"/>
        <v>8.2023819438253298</v>
      </c>
      <c r="L154" s="407">
        <f t="shared" si="98"/>
        <v>4.8476180561746691</v>
      </c>
      <c r="M154" s="63">
        <f t="shared" si="122"/>
        <v>0</v>
      </c>
      <c r="N154" s="406">
        <f t="shared" si="99"/>
        <v>6.5964759577992655</v>
      </c>
      <c r="O154" s="406">
        <f t="shared" si="100"/>
        <v>3.840953751315665E-2</v>
      </c>
      <c r="P154">
        <f t="shared" si="123"/>
        <v>0.2</v>
      </c>
      <c r="Q154" s="406">
        <f t="shared" si="133"/>
        <v>0.23840953751315666</v>
      </c>
      <c r="R154" s="9">
        <f t="shared" si="101"/>
        <v>0.96843691680137212</v>
      </c>
      <c r="S154" s="9">
        <f t="shared" si="102"/>
        <v>2.6260361731064941E-4</v>
      </c>
      <c r="T154" s="9">
        <f t="shared" si="103"/>
        <v>2.6260361731064941E-4</v>
      </c>
      <c r="U154" s="406">
        <f t="shared" si="104"/>
        <v>4.5384386645945529</v>
      </c>
      <c r="V154" s="408">
        <f t="shared" si="105"/>
        <v>2.0597425512286792E-2</v>
      </c>
      <c r="W154" s="406">
        <f t="shared" si="106"/>
        <v>2.0597425512286792E-2</v>
      </c>
      <c r="X154" s="406">
        <f t="shared" si="107"/>
        <v>4.5384386645945529</v>
      </c>
      <c r="Y154" s="406">
        <f t="shared" si="108"/>
        <v>1.071066126638913</v>
      </c>
      <c r="Z154" s="406">
        <f t="shared" si="124"/>
        <v>0.16442948492531609</v>
      </c>
      <c r="AA154" s="406">
        <f t="shared" si="125"/>
        <v>0.1228566</v>
      </c>
      <c r="AB154" s="406">
        <f t="shared" si="126"/>
        <v>0</v>
      </c>
      <c r="AC154" s="406">
        <f t="shared" si="109"/>
        <v>1.7770978630211978</v>
      </c>
      <c r="AD154" s="406">
        <f t="shared" si="110"/>
        <v>4.7870731715252646</v>
      </c>
      <c r="AE154" s="406">
        <f t="shared" si="111"/>
        <v>0.22916069549536958</v>
      </c>
      <c r="AF154" s="406">
        <f t="shared" si="127"/>
        <v>0.11698019999999996</v>
      </c>
      <c r="AG154" s="406">
        <f t="shared" si="112"/>
        <v>0.35931545212101512</v>
      </c>
      <c r="AH154" s="406">
        <f t="shared" si="113"/>
        <v>0</v>
      </c>
      <c r="AI154">
        <f t="shared" si="128"/>
        <v>0</v>
      </c>
      <c r="AJ154" s="407">
        <f t="shared" si="129"/>
        <v>0.49236762000000001</v>
      </c>
      <c r="AK154">
        <f t="shared" si="134"/>
        <v>0.06</v>
      </c>
      <c r="AL154" s="407">
        <f t="shared" si="130"/>
        <v>4.0337999999999999E-2</v>
      </c>
      <c r="AM154" s="407">
        <f t="shared" si="135"/>
        <v>0.13814789189189189</v>
      </c>
      <c r="AN154" s="407">
        <f t="shared" si="114"/>
        <v>0.100338</v>
      </c>
      <c r="AO154" s="407">
        <f t="shared" si="115"/>
        <v>2.988388501784967</v>
      </c>
      <c r="AP154">
        <f t="shared" si="131"/>
        <v>91.35</v>
      </c>
      <c r="AQ154" s="10">
        <f t="shared" si="116"/>
        <v>0.96832266748198248</v>
      </c>
      <c r="AR154" s="63">
        <f t="shared" si="117"/>
        <v>97.740382466165883</v>
      </c>
      <c r="AS154" s="63">
        <f t="shared" si="118"/>
        <v>14.372618084840605</v>
      </c>
      <c r="AT154" s="10"/>
      <c r="AU154">
        <f t="shared" si="119"/>
        <v>96.832266748198251</v>
      </c>
    </row>
    <row r="155" spans="7:47" x14ac:dyDescent="0.2">
      <c r="G155">
        <v>146</v>
      </c>
      <c r="H155">
        <f t="shared" si="120"/>
        <v>6.57</v>
      </c>
      <c r="I155" s="406">
        <f t="shared" si="97"/>
        <v>0.47340375439963456</v>
      </c>
      <c r="J155" s="407">
        <f t="shared" si="121"/>
        <v>3.3550939362128602</v>
      </c>
      <c r="K155" s="407">
        <f t="shared" si="132"/>
        <v>8.2475469681064304</v>
      </c>
      <c r="L155" s="407">
        <f t="shared" si="98"/>
        <v>4.8924530318935702</v>
      </c>
      <c r="M155" s="63">
        <f t="shared" si="122"/>
        <v>0</v>
      </c>
      <c r="N155" s="406">
        <f t="shared" si="99"/>
        <v>6.64100554208982</v>
      </c>
      <c r="O155" s="406">
        <f t="shared" si="100"/>
        <v>3.8931476373592268E-2</v>
      </c>
      <c r="P155">
        <f t="shared" si="123"/>
        <v>0.2</v>
      </c>
      <c r="Q155" s="406">
        <f t="shared" si="133"/>
        <v>0.23893147637359227</v>
      </c>
      <c r="R155" s="9">
        <f t="shared" si="101"/>
        <v>0.96853219361448806</v>
      </c>
      <c r="S155" s="9">
        <f t="shared" si="102"/>
        <v>2.6265529081895386E-4</v>
      </c>
      <c r="T155" s="9">
        <f t="shared" si="103"/>
        <v>2.6265529081895386E-4</v>
      </c>
      <c r="U155" s="406">
        <f t="shared" si="104"/>
        <v>4.5693001972427592</v>
      </c>
      <c r="V155" s="408">
        <f t="shared" si="105"/>
        <v>2.0878504292522717E-2</v>
      </c>
      <c r="W155" s="406">
        <f t="shared" si="106"/>
        <v>2.0878504292522717E-2</v>
      </c>
      <c r="X155" s="406">
        <f t="shared" si="107"/>
        <v>4.5693001972427592</v>
      </c>
      <c r="Y155" s="406">
        <f t="shared" si="108"/>
        <v>1.0856822232111811</v>
      </c>
      <c r="Z155" s="406">
        <f t="shared" si="124"/>
        <v>0.16568685664816041</v>
      </c>
      <c r="AA155" s="406">
        <f t="shared" si="125"/>
        <v>0.1228566</v>
      </c>
      <c r="AB155" s="406">
        <f t="shared" si="126"/>
        <v>0</v>
      </c>
      <c r="AC155" s="406">
        <f t="shared" si="109"/>
        <v>1.8054599497306525</v>
      </c>
      <c r="AD155" s="406">
        <f t="shared" si="110"/>
        <v>4.8191752735862368</v>
      </c>
      <c r="AE155" s="406">
        <f t="shared" si="111"/>
        <v>0.23224450317544981</v>
      </c>
      <c r="AF155" s="406">
        <f t="shared" si="127"/>
        <v>0.11778695999999998</v>
      </c>
      <c r="AG155" s="406">
        <f t="shared" si="112"/>
        <v>0.3635403010310016</v>
      </c>
      <c r="AH155" s="406">
        <f t="shared" si="113"/>
        <v>0</v>
      </c>
      <c r="AI155">
        <f t="shared" si="128"/>
        <v>0</v>
      </c>
      <c r="AJ155" s="407">
        <f t="shared" si="129"/>
        <v>0.49232877599999997</v>
      </c>
      <c r="AK155">
        <f t="shared" si="134"/>
        <v>0.06</v>
      </c>
      <c r="AL155" s="407">
        <f t="shared" si="130"/>
        <v>4.0337999999999999E-2</v>
      </c>
      <c r="AM155" s="407">
        <f t="shared" si="135"/>
        <v>0.13814789189189189</v>
      </c>
      <c r="AN155" s="407">
        <f t="shared" si="114"/>
        <v>0.100338</v>
      </c>
      <c r="AO155" s="407">
        <f t="shared" si="115"/>
        <v>3.0217396627185877</v>
      </c>
      <c r="AP155">
        <f t="shared" si="131"/>
        <v>91.98</v>
      </c>
      <c r="AQ155" s="10">
        <f t="shared" si="116"/>
        <v>0.96819279653776269</v>
      </c>
      <c r="AR155" s="63">
        <f t="shared" si="117"/>
        <v>99.30029723518588</v>
      </c>
      <c r="AS155" s="63">
        <f t="shared" si="118"/>
        <v>14.541612041240064</v>
      </c>
      <c r="AT155" s="10"/>
      <c r="AU155">
        <f t="shared" si="119"/>
        <v>96.819279653776263</v>
      </c>
    </row>
    <row r="156" spans="7:47" x14ac:dyDescent="0.2">
      <c r="G156">
        <v>147</v>
      </c>
      <c r="H156">
        <f t="shared" si="120"/>
        <v>6.6150000000000002</v>
      </c>
      <c r="I156" s="406">
        <f t="shared" si="97"/>
        <v>0.47345033017441185</v>
      </c>
      <c r="J156" s="407">
        <f t="shared" si="121"/>
        <v>3.3554240267499069</v>
      </c>
      <c r="K156" s="407">
        <f t="shared" si="132"/>
        <v>8.2927120133749543</v>
      </c>
      <c r="L156" s="407">
        <f t="shared" si="98"/>
        <v>4.937287986625047</v>
      </c>
      <c r="M156" s="63">
        <f t="shared" si="122"/>
        <v>0</v>
      </c>
      <c r="N156" s="406">
        <f t="shared" si="99"/>
        <v>6.6855414290796888</v>
      </c>
      <c r="O156" s="406">
        <f t="shared" si="100"/>
        <v>3.9457045260878044E-2</v>
      </c>
      <c r="P156">
        <f t="shared" si="123"/>
        <v>0.2</v>
      </c>
      <c r="Q156" s="406">
        <f t="shared" si="133"/>
        <v>0.23945704526087805</v>
      </c>
      <c r="R156" s="9">
        <f t="shared" si="101"/>
        <v>0.96862748254469844</v>
      </c>
      <c r="S156" s="9">
        <f t="shared" si="102"/>
        <v>2.6270697598344649E-4</v>
      </c>
      <c r="T156" s="9">
        <f t="shared" si="103"/>
        <v>2.6270697598344649E-4</v>
      </c>
      <c r="U156" s="406">
        <f t="shared" si="104"/>
        <v>4.6001690983148427</v>
      </c>
      <c r="V156" s="408">
        <f t="shared" si="105"/>
        <v>2.1161555733090795E-2</v>
      </c>
      <c r="W156" s="406">
        <f t="shared" si="106"/>
        <v>2.1161555733090795E-2</v>
      </c>
      <c r="X156" s="406">
        <f t="shared" si="107"/>
        <v>4.6001690983148427</v>
      </c>
      <c r="Y156" s="406">
        <f t="shared" si="108"/>
        <v>1.1004008981207212</v>
      </c>
      <c r="Z156" s="406">
        <f t="shared" si="124"/>
        <v>0.16694422814393287</v>
      </c>
      <c r="AA156" s="406">
        <f t="shared" si="125"/>
        <v>0.1228566</v>
      </c>
      <c r="AB156" s="406">
        <f t="shared" si="126"/>
        <v>0</v>
      </c>
      <c r="AC156" s="406">
        <f t="shared" si="109"/>
        <v>1.8342526423757921</v>
      </c>
      <c r="AD156" s="406">
        <f t="shared" si="110"/>
        <v>4.8512790547287734</v>
      </c>
      <c r="AE156" s="406">
        <f t="shared" si="111"/>
        <v>0.23534908466850102</v>
      </c>
      <c r="AF156" s="406">
        <f t="shared" si="127"/>
        <v>0.11859371999999997</v>
      </c>
      <c r="AG156" s="406">
        <f t="shared" si="112"/>
        <v>0.36779233912633624</v>
      </c>
      <c r="AH156" s="406">
        <f t="shared" si="113"/>
        <v>0</v>
      </c>
      <c r="AI156">
        <f t="shared" si="128"/>
        <v>0</v>
      </c>
      <c r="AJ156" s="407">
        <f t="shared" si="129"/>
        <v>0.49228993200000004</v>
      </c>
      <c r="AK156">
        <f t="shared" si="134"/>
        <v>0.06</v>
      </c>
      <c r="AL156" s="407">
        <f t="shared" si="130"/>
        <v>4.0337999999999999E-2</v>
      </c>
      <c r="AM156" s="407">
        <f t="shared" si="135"/>
        <v>0.13814789189189189</v>
      </c>
      <c r="AN156" s="407">
        <f t="shared" si="114"/>
        <v>0.100338</v>
      </c>
      <c r="AO156" s="407">
        <f t="shared" si="115"/>
        <v>3.0555542214720806</v>
      </c>
      <c r="AP156">
        <f t="shared" si="131"/>
        <v>92.61</v>
      </c>
      <c r="AQ156" s="10">
        <f t="shared" si="116"/>
        <v>0.96806003742581925</v>
      </c>
      <c r="AR156" s="63">
        <f t="shared" si="117"/>
        <v>100.88389533066857</v>
      </c>
      <c r="AS156" s="63">
        <f t="shared" si="118"/>
        <v>14.71169356505345</v>
      </c>
      <c r="AT156" s="10"/>
      <c r="AU156">
        <f t="shared" si="119"/>
        <v>96.806003742581922</v>
      </c>
    </row>
    <row r="157" spans="7:47" x14ac:dyDescent="0.2">
      <c r="G157">
        <v>148</v>
      </c>
      <c r="H157">
        <f t="shared" si="120"/>
        <v>6.66</v>
      </c>
      <c r="I157" s="406">
        <f t="shared" si="97"/>
        <v>0.47349691187297022</v>
      </c>
      <c r="J157" s="407">
        <f t="shared" si="121"/>
        <v>3.3557541592698099</v>
      </c>
      <c r="K157" s="407">
        <f t="shared" si="132"/>
        <v>8.3378770796349055</v>
      </c>
      <c r="L157" s="407">
        <f t="shared" si="98"/>
        <v>4.9821229203650947</v>
      </c>
      <c r="M157" s="63">
        <f t="shared" si="122"/>
        <v>0</v>
      </c>
      <c r="N157" s="406">
        <f t="shared" si="99"/>
        <v>6.7300834936466218</v>
      </c>
      <c r="O157" s="406">
        <f t="shared" si="100"/>
        <v>3.9986245082494008E-2</v>
      </c>
      <c r="P157">
        <f t="shared" si="123"/>
        <v>0.2</v>
      </c>
      <c r="Q157" s="406">
        <f t="shared" si="133"/>
        <v>0.23998624508249403</v>
      </c>
      <c r="R157" s="9">
        <f t="shared" si="101"/>
        <v>0.96872278359431563</v>
      </c>
      <c r="S157" s="9">
        <f t="shared" si="102"/>
        <v>2.6275867280732145E-4</v>
      </c>
      <c r="T157" s="9">
        <f t="shared" si="103"/>
        <v>2.6275867280732145E-4</v>
      </c>
      <c r="U157" s="406">
        <f t="shared" si="104"/>
        <v>4.6310452827082704</v>
      </c>
      <c r="V157" s="408">
        <f t="shared" si="105"/>
        <v>2.1446580410494524E-2</v>
      </c>
      <c r="W157" s="406">
        <f t="shared" si="106"/>
        <v>2.1446580410494524E-2</v>
      </c>
      <c r="X157" s="406">
        <f t="shared" si="107"/>
        <v>4.6310452827082704</v>
      </c>
      <c r="Y157" s="406">
        <f t="shared" si="108"/>
        <v>1.115222181345715</v>
      </c>
      <c r="Z157" s="406">
        <f t="shared" si="124"/>
        <v>0.16820159941259011</v>
      </c>
      <c r="AA157" s="406">
        <f t="shared" si="125"/>
        <v>0.1228566</v>
      </c>
      <c r="AB157" s="406">
        <f t="shared" si="126"/>
        <v>0</v>
      </c>
      <c r="AC157" s="406">
        <f t="shared" si="109"/>
        <v>1.8634841230535899</v>
      </c>
      <c r="AD157" s="406">
        <f t="shared" si="110"/>
        <v>4.8833844228117238</v>
      </c>
      <c r="AE157" s="406">
        <f t="shared" si="111"/>
        <v>0.23847443420960193</v>
      </c>
      <c r="AF157" s="406">
        <f t="shared" si="127"/>
        <v>0.11940047999999998</v>
      </c>
      <c r="AG157" s="406">
        <f t="shared" si="112"/>
        <v>0.3720716462620462</v>
      </c>
      <c r="AH157" s="406">
        <f t="shared" si="113"/>
        <v>0</v>
      </c>
      <c r="AI157">
        <f t="shared" si="128"/>
        <v>0</v>
      </c>
      <c r="AJ157" s="407">
        <f t="shared" si="129"/>
        <v>0.492251088</v>
      </c>
      <c r="AK157">
        <f t="shared" si="134"/>
        <v>0.06</v>
      </c>
      <c r="AL157" s="407">
        <f t="shared" si="130"/>
        <v>4.0337999999999999E-2</v>
      </c>
      <c r="AM157" s="407">
        <f t="shared" si="135"/>
        <v>0.13814789189189189</v>
      </c>
      <c r="AN157" s="407">
        <f t="shared" si="114"/>
        <v>0.100338</v>
      </c>
      <c r="AO157" s="407">
        <f t="shared" si="115"/>
        <v>3.089840441481432</v>
      </c>
      <c r="AP157">
        <f t="shared" si="131"/>
        <v>93.240000000000009</v>
      </c>
      <c r="AQ157" s="10">
        <f t="shared" si="116"/>
        <v>0.96792436873848609</v>
      </c>
      <c r="AR157" s="63">
        <f t="shared" si="117"/>
        <v>102.49162676794745</v>
      </c>
      <c r="AS157" s="63">
        <f t="shared" si="118"/>
        <v>14.882865850481847</v>
      </c>
      <c r="AT157" s="10"/>
      <c r="AU157">
        <f t="shared" si="119"/>
        <v>96.792436873848615</v>
      </c>
    </row>
    <row r="158" spans="7:47" x14ac:dyDescent="0.2">
      <c r="G158">
        <v>149</v>
      </c>
      <c r="H158">
        <f t="shared" si="120"/>
        <v>6.7050000000000001</v>
      </c>
      <c r="I158" s="406">
        <f t="shared" si="97"/>
        <v>0.47354349949643976</v>
      </c>
      <c r="J158" s="407">
        <f t="shared" si="121"/>
        <v>3.3560843337805792</v>
      </c>
      <c r="K158" s="407">
        <f t="shared" si="132"/>
        <v>8.3830421668902897</v>
      </c>
      <c r="L158" s="407">
        <f t="shared" si="98"/>
        <v>5.0269578331097104</v>
      </c>
      <c r="M158" s="63">
        <f t="shared" si="122"/>
        <v>0</v>
      </c>
      <c r="N158" s="406">
        <f t="shared" si="99"/>
        <v>6.7746316139418692</v>
      </c>
      <c r="O158" s="406">
        <f t="shared" si="100"/>
        <v>4.0519076752304622E-2</v>
      </c>
      <c r="P158">
        <f t="shared" si="123"/>
        <v>0.2</v>
      </c>
      <c r="Q158" s="406">
        <f t="shared" si="133"/>
        <v>0.24051907675230463</v>
      </c>
      <c r="R158" s="9">
        <f t="shared" si="101"/>
        <v>0.96881809676565167</v>
      </c>
      <c r="S158" s="9">
        <f t="shared" si="102"/>
        <v>2.628103812937735E-4</v>
      </c>
      <c r="T158" s="9">
        <f t="shared" si="103"/>
        <v>2.628103812937735E-4</v>
      </c>
      <c r="U158" s="406">
        <f t="shared" si="104"/>
        <v>4.6619286675563902</v>
      </c>
      <c r="V158" s="408">
        <f t="shared" si="105"/>
        <v>2.1733578901384099E-2</v>
      </c>
      <c r="W158" s="406">
        <f t="shared" si="106"/>
        <v>2.1733578901384099E-2</v>
      </c>
      <c r="X158" s="406">
        <f t="shared" si="107"/>
        <v>4.6619286675563902</v>
      </c>
      <c r="Y158" s="406">
        <f t="shared" si="108"/>
        <v>1.130146102871973</v>
      </c>
      <c r="Z158" s="406">
        <f t="shared" si="124"/>
        <v>0.16945897045408889</v>
      </c>
      <c r="AA158" s="406">
        <f t="shared" si="125"/>
        <v>0.1228566</v>
      </c>
      <c r="AB158" s="406">
        <f t="shared" si="126"/>
        <v>0</v>
      </c>
      <c r="AC158" s="406">
        <f t="shared" si="109"/>
        <v>1.8931627955294126</v>
      </c>
      <c r="AD158" s="406">
        <f t="shared" si="110"/>
        <v>4.9154912880846933</v>
      </c>
      <c r="AE158" s="406">
        <f t="shared" si="111"/>
        <v>0.24162054603236516</v>
      </c>
      <c r="AF158" s="406">
        <f t="shared" si="127"/>
        <v>0.12020723999999998</v>
      </c>
      <c r="AG158" s="406">
        <f t="shared" si="112"/>
        <v>0.37637830300630404</v>
      </c>
      <c r="AH158" s="406">
        <f t="shared" si="113"/>
        <v>0</v>
      </c>
      <c r="AI158">
        <f t="shared" si="128"/>
        <v>0</v>
      </c>
      <c r="AJ158" s="407">
        <f t="shared" si="129"/>
        <v>0.49221224400000002</v>
      </c>
      <c r="AK158">
        <f t="shared" si="134"/>
        <v>0.06</v>
      </c>
      <c r="AL158" s="407">
        <f t="shared" si="130"/>
        <v>4.0337999999999999E-2</v>
      </c>
      <c r="AM158" s="407">
        <f t="shared" si="135"/>
        <v>0.13814789189189189</v>
      </c>
      <c r="AN158" s="407">
        <f t="shared" si="114"/>
        <v>0.100338</v>
      </c>
      <c r="AO158" s="407">
        <f t="shared" si="115"/>
        <v>3.1246068085706988</v>
      </c>
      <c r="AP158">
        <f t="shared" si="131"/>
        <v>93.87</v>
      </c>
      <c r="AQ158" s="10">
        <f t="shared" si="116"/>
        <v>0.96778576756605184</v>
      </c>
      <c r="AR158" s="63">
        <f t="shared" si="117"/>
        <v>104.12395375411769</v>
      </c>
      <c r="AS158" s="63">
        <f t="shared" si="118"/>
        <v>15.055132120252161</v>
      </c>
      <c r="AT158" s="10"/>
      <c r="AU158">
        <f t="shared" si="119"/>
        <v>96.77857675660519</v>
      </c>
    </row>
    <row r="159" spans="7:47" x14ac:dyDescent="0.2">
      <c r="G159">
        <v>150</v>
      </c>
      <c r="H159">
        <f t="shared" si="120"/>
        <v>6.75</v>
      </c>
      <c r="I159" s="406">
        <f t="shared" si="97"/>
        <v>0.47359009304595096</v>
      </c>
      <c r="J159" s="407">
        <f t="shared" si="121"/>
        <v>3.3564145502902263</v>
      </c>
      <c r="K159" s="407">
        <f t="shared" si="132"/>
        <v>8.4282072751451125</v>
      </c>
      <c r="L159" s="407">
        <f t="shared" si="98"/>
        <v>5.0717927248548866</v>
      </c>
      <c r="M159" s="63">
        <f t="shared" si="122"/>
        <v>0</v>
      </c>
      <c r="N159" s="406">
        <f t="shared" si="99"/>
        <v>6.819185671284365</v>
      </c>
      <c r="O159" s="406">
        <f t="shared" si="100"/>
        <v>4.1055541190562664E-2</v>
      </c>
      <c r="P159">
        <f t="shared" si="123"/>
        <v>0.2</v>
      </c>
      <c r="Q159" s="406">
        <f t="shared" si="133"/>
        <v>0.24105554119056266</v>
      </c>
      <c r="R159" s="9">
        <f t="shared" si="101"/>
        <v>0.96891342206101949</v>
      </c>
      <c r="S159" s="9">
        <f t="shared" si="102"/>
        <v>2.6286210144599873E-4</v>
      </c>
      <c r="T159" s="9">
        <f t="shared" si="103"/>
        <v>2.6286210144599873E-4</v>
      </c>
      <c r="U159" s="406">
        <f t="shared" si="104"/>
        <v>4.6928191721561543</v>
      </c>
      <c r="V159" s="408">
        <f t="shared" si="105"/>
        <v>2.2022551782556375E-2</v>
      </c>
      <c r="W159" s="406">
        <f t="shared" si="106"/>
        <v>2.2022551782556375E-2</v>
      </c>
      <c r="X159" s="406">
        <f t="shared" si="107"/>
        <v>4.6928191721561543</v>
      </c>
      <c r="Y159" s="406">
        <f t="shared" si="108"/>
        <v>1.1451726926929313</v>
      </c>
      <c r="Z159" s="406">
        <f t="shared" si="124"/>
        <v>0.17071634126838581</v>
      </c>
      <c r="AA159" s="406">
        <f t="shared" si="125"/>
        <v>0.1228566</v>
      </c>
      <c r="AB159" s="406">
        <f t="shared" si="126"/>
        <v>0</v>
      </c>
      <c r="AC159" s="406">
        <f t="shared" si="109"/>
        <v>1.9232972926438279</v>
      </c>
      <c r="AD159" s="406">
        <f t="shared" si="110"/>
        <v>4.9475995631107441</v>
      </c>
      <c r="AE159" s="406">
        <f t="shared" si="111"/>
        <v>0.24478741436893625</v>
      </c>
      <c r="AF159" s="406">
        <f t="shared" si="127"/>
        <v>0.12101399999999997</v>
      </c>
      <c r="AG159" s="406">
        <f t="shared" si="112"/>
        <v>0.38071239064480139</v>
      </c>
      <c r="AH159" s="406">
        <f t="shared" si="113"/>
        <v>0</v>
      </c>
      <c r="AI159">
        <f t="shared" si="128"/>
        <v>0</v>
      </c>
      <c r="AJ159" s="407">
        <f t="shared" si="129"/>
        <v>0.49217340000000004</v>
      </c>
      <c r="AK159">
        <f t="shared" si="134"/>
        <v>0.06</v>
      </c>
      <c r="AL159" s="407">
        <f t="shared" si="130"/>
        <v>4.0337999999999999E-2</v>
      </c>
      <c r="AM159" s="407">
        <f t="shared" si="135"/>
        <v>0.13814789189189189</v>
      </c>
      <c r="AN159" s="407">
        <f t="shared" si="114"/>
        <v>0.100338</v>
      </c>
      <c r="AO159" s="407">
        <f t="shared" si="115"/>
        <v>3.1598620383631939</v>
      </c>
      <c r="AP159">
        <f t="shared" si="131"/>
        <v>94.5</v>
      </c>
      <c r="AQ159" s="10">
        <f t="shared" si="116"/>
        <v>0.96764420947961272</v>
      </c>
      <c r="AR159" s="63">
        <f t="shared" si="117"/>
        <v>105.78135109541053</v>
      </c>
      <c r="AS159" s="63">
        <f t="shared" si="118"/>
        <v>15.228495625792055</v>
      </c>
      <c r="AT159" s="10"/>
      <c r="AU159">
        <f t="shared" si="119"/>
        <v>96.76442094796127</v>
      </c>
    </row>
    <row r="160" spans="7:47" x14ac:dyDescent="0.2">
      <c r="G160">
        <v>151</v>
      </c>
      <c r="H160">
        <f t="shared" si="120"/>
        <v>6.7949999999999999</v>
      </c>
      <c r="I160" s="406">
        <f t="shared" si="97"/>
        <v>0.47363669252263446</v>
      </c>
      <c r="J160" s="407">
        <f t="shared" si="121"/>
        <v>3.3567448088067642</v>
      </c>
      <c r="K160" s="407">
        <f t="shared" si="132"/>
        <v>8.4733724044033814</v>
      </c>
      <c r="L160" s="407">
        <f t="shared" si="98"/>
        <v>5.1166275955966176</v>
      </c>
      <c r="M160" s="63">
        <f t="shared" si="122"/>
        <v>0</v>
      </c>
      <c r="N160" s="406">
        <f t="shared" si="99"/>
        <v>6.8637455500589661</v>
      </c>
      <c r="O160" s="406">
        <f t="shared" si="100"/>
        <v>4.1595639323913226E-2</v>
      </c>
      <c r="P160">
        <f t="shared" si="123"/>
        <v>0.2</v>
      </c>
      <c r="Q160" s="406">
        <f t="shared" si="133"/>
        <v>0.24159563932391323</v>
      </c>
      <c r="R160" s="9">
        <f t="shared" si="101"/>
        <v>0.96900875948273213</v>
      </c>
      <c r="S160" s="9">
        <f t="shared" si="102"/>
        <v>2.6291383326719378E-4</v>
      </c>
      <c r="T160" s="9">
        <f t="shared" si="103"/>
        <v>2.6291383326719378E-4</v>
      </c>
      <c r="U160" s="406">
        <f t="shared" si="104"/>
        <v>4.7237167178986255</v>
      </c>
      <c r="V160" s="408">
        <f t="shared" si="105"/>
        <v>2.2313499630954962E-2</v>
      </c>
      <c r="W160" s="406">
        <f t="shared" si="106"/>
        <v>2.2313499630954962E-2</v>
      </c>
      <c r="X160" s="406">
        <f t="shared" si="107"/>
        <v>4.7237167178986255</v>
      </c>
      <c r="Y160" s="406">
        <f t="shared" si="108"/>
        <v>1.160301980809658</v>
      </c>
      <c r="Z160" s="406">
        <f t="shared" si="124"/>
        <v>0.17197371185543756</v>
      </c>
      <c r="AA160" s="406">
        <f t="shared" si="125"/>
        <v>0.1228566</v>
      </c>
      <c r="AB160" s="406">
        <f t="shared" si="126"/>
        <v>0</v>
      </c>
      <c r="AC160" s="406">
        <f t="shared" si="109"/>
        <v>1.9538964840203901</v>
      </c>
      <c r="AD160" s="406">
        <f t="shared" si="110"/>
        <v>4.979709162692064</v>
      </c>
      <c r="AE160" s="406">
        <f t="shared" si="111"/>
        <v>0.24797503344999297</v>
      </c>
      <c r="AF160" s="406">
        <f t="shared" si="127"/>
        <v>0.12182075999999997</v>
      </c>
      <c r="AG160" s="406">
        <f t="shared" si="112"/>
        <v>0.38507399118517133</v>
      </c>
      <c r="AH160" s="406">
        <f t="shared" si="113"/>
        <v>0</v>
      </c>
      <c r="AI160">
        <f t="shared" si="128"/>
        <v>0</v>
      </c>
      <c r="AJ160" s="407">
        <f t="shared" si="129"/>
        <v>0.492134556</v>
      </c>
      <c r="AK160">
        <f t="shared" si="134"/>
        <v>0.06</v>
      </c>
      <c r="AL160" s="407">
        <f t="shared" si="130"/>
        <v>4.0337999999999999E-2</v>
      </c>
      <c r="AM160" s="407">
        <f t="shared" si="135"/>
        <v>0.13814789189189189</v>
      </c>
      <c r="AN160" s="407">
        <f t="shared" si="114"/>
        <v>0.100338</v>
      </c>
      <c r="AO160" s="407">
        <f t="shared" si="115"/>
        <v>3.1956150839936965</v>
      </c>
      <c r="AP160">
        <f t="shared" si="131"/>
        <v>95.13</v>
      </c>
      <c r="AQ160" s="10">
        <f t="shared" si="116"/>
        <v>0.96749966851197544</v>
      </c>
      <c r="AR160" s="63">
        <f t="shared" si="117"/>
        <v>107.46430662112145</v>
      </c>
      <c r="AS160" s="63">
        <f t="shared" si="118"/>
        <v>15.402959647406853</v>
      </c>
      <c r="AT160" s="10"/>
      <c r="AU160">
        <f t="shared" si="119"/>
        <v>96.749966851197541</v>
      </c>
    </row>
    <row r="161" spans="7:47" x14ac:dyDescent="0.2">
      <c r="G161">
        <v>152</v>
      </c>
      <c r="H161">
        <f t="shared" si="120"/>
        <v>6.84</v>
      </c>
      <c r="I161" s="406">
        <f t="shared" si="97"/>
        <v>0.47368329792762159</v>
      </c>
      <c r="J161" s="407">
        <f t="shared" si="121"/>
        <v>3.357075109338211</v>
      </c>
      <c r="K161" s="407">
        <f t="shared" si="132"/>
        <v>8.5185375546691056</v>
      </c>
      <c r="L161" s="407">
        <f t="shared" si="98"/>
        <v>5.1614624453308942</v>
      </c>
      <c r="M161" s="63">
        <f t="shared" si="122"/>
        <v>0</v>
      </c>
      <c r="N161" s="406">
        <f t="shared" si="99"/>
        <v>6.9083111376185746</v>
      </c>
      <c r="O161" s="406">
        <f t="shared" si="100"/>
        <v>4.213937208539785E-2</v>
      </c>
      <c r="P161">
        <f t="shared" si="123"/>
        <v>0.2</v>
      </c>
      <c r="Q161" s="406">
        <f t="shared" si="133"/>
        <v>0.24213937208539787</v>
      </c>
      <c r="R161" s="9">
        <f t="shared" si="101"/>
        <v>0.96910410903310429</v>
      </c>
      <c r="S161" s="9">
        <f t="shared" si="102"/>
        <v>2.6296557676055716E-4</v>
      </c>
      <c r="T161" s="9">
        <f t="shared" si="103"/>
        <v>2.6296557676055716E-4</v>
      </c>
      <c r="U161" s="406">
        <f t="shared" si="104"/>
        <v>4.7546212282021285</v>
      </c>
      <c r="V161" s="408">
        <f t="shared" si="105"/>
        <v>2.2606423023670316E-2</v>
      </c>
      <c r="W161" s="406">
        <f t="shared" si="106"/>
        <v>2.2606423023670316E-2</v>
      </c>
      <c r="X161" s="406">
        <f t="shared" si="107"/>
        <v>4.7546212282021285</v>
      </c>
      <c r="Y161" s="406">
        <f t="shared" si="108"/>
        <v>1.1755339972308565</v>
      </c>
      <c r="Z161" s="406">
        <f t="shared" si="124"/>
        <v>0.17323108221520067</v>
      </c>
      <c r="AA161" s="406">
        <f t="shared" si="125"/>
        <v>0.1228566</v>
      </c>
      <c r="AB161" s="406">
        <f t="shared" si="126"/>
        <v>0</v>
      </c>
      <c r="AC161" s="406">
        <f t="shared" si="109"/>
        <v>1.9849694840887142</v>
      </c>
      <c r="AD161" s="406">
        <f t="shared" si="110"/>
        <v>5.0118200037984737</v>
      </c>
      <c r="AE161" s="406">
        <f t="shared" si="111"/>
        <v>0.25118339750474533</v>
      </c>
      <c r="AF161" s="406">
        <f t="shared" si="127"/>
        <v>0.12262751999999998</v>
      </c>
      <c r="AG161" s="406">
        <f t="shared" si="112"/>
        <v>0.38946318736146196</v>
      </c>
      <c r="AH161" s="406">
        <f t="shared" si="113"/>
        <v>0</v>
      </c>
      <c r="AI161">
        <f t="shared" si="128"/>
        <v>0</v>
      </c>
      <c r="AJ161" s="407">
        <f t="shared" si="129"/>
        <v>0.49209571200000002</v>
      </c>
      <c r="AK161">
        <f t="shared" si="134"/>
        <v>0.06</v>
      </c>
      <c r="AL161" s="407">
        <f t="shared" si="130"/>
        <v>4.0337999999999999E-2</v>
      </c>
      <c r="AM161" s="407">
        <f t="shared" si="135"/>
        <v>0.13814789189189189</v>
      </c>
      <c r="AN161" s="407">
        <f t="shared" si="114"/>
        <v>0.100338</v>
      </c>
      <c r="AO161" s="407">
        <f t="shared" si="115"/>
        <v>3.2318751441360045</v>
      </c>
      <c r="AP161">
        <f t="shared" si="131"/>
        <v>95.759999999999991</v>
      </c>
      <c r="AQ161" s="10">
        <f t="shared" si="116"/>
        <v>0.96735211713658054</v>
      </c>
      <c r="AR161" s="63">
        <f t="shared" si="117"/>
        <v>109.17332162487928</v>
      </c>
      <c r="AS161" s="63">
        <f t="shared" si="118"/>
        <v>15.578527494458479</v>
      </c>
      <c r="AT161" s="10"/>
      <c r="AU161">
        <f t="shared" si="119"/>
        <v>96.73521171365806</v>
      </c>
    </row>
    <row r="162" spans="7:47" x14ac:dyDescent="0.2">
      <c r="G162">
        <v>153</v>
      </c>
      <c r="H162">
        <f t="shared" si="120"/>
        <v>6.8849999999999998</v>
      </c>
      <c r="I162" s="406">
        <f t="shared" si="97"/>
        <v>0.47372990926204345</v>
      </c>
      <c r="J162" s="407">
        <f t="shared" si="121"/>
        <v>3.3574054518925829</v>
      </c>
      <c r="K162" s="407">
        <f t="shared" si="132"/>
        <v>8.5637027259462908</v>
      </c>
      <c r="L162" s="407">
        <f t="shared" si="98"/>
        <v>5.2062972740537088</v>
      </c>
      <c r="M162" s="63">
        <f t="shared" si="122"/>
        <v>0</v>
      </c>
      <c r="N162" s="406">
        <f t="shared" si="99"/>
        <v>6.9528823241899591</v>
      </c>
      <c r="O162" s="406">
        <f t="shared" si="100"/>
        <v>4.2686740414458406E-2</v>
      </c>
      <c r="P162">
        <f t="shared" si="123"/>
        <v>0.2</v>
      </c>
      <c r="Q162" s="406">
        <f t="shared" si="133"/>
        <v>0.24268674041445842</v>
      </c>
      <c r="R162" s="9">
        <f t="shared" si="101"/>
        <v>0.96919947071445001</v>
      </c>
      <c r="S162" s="9">
        <f t="shared" si="102"/>
        <v>2.6301733192928765E-4</v>
      </c>
      <c r="T162" s="9">
        <f t="shared" si="103"/>
        <v>2.6301733192928765E-4</v>
      </c>
      <c r="U162" s="406">
        <f t="shared" si="104"/>
        <v>4.785532628447922</v>
      </c>
      <c r="V162" s="408">
        <f t="shared" si="105"/>
        <v>2.2901322537939677E-2</v>
      </c>
      <c r="W162" s="406">
        <f t="shared" si="106"/>
        <v>2.2901322537939677E-2</v>
      </c>
      <c r="X162" s="406">
        <f t="shared" si="107"/>
        <v>4.785532628447922</v>
      </c>
      <c r="Y162" s="406">
        <f t="shared" si="108"/>
        <v>1.1908687719728632</v>
      </c>
      <c r="Z162" s="406">
        <f t="shared" si="124"/>
        <v>0.17448845234763194</v>
      </c>
      <c r="AA162" s="406">
        <f t="shared" si="125"/>
        <v>0.1228566</v>
      </c>
      <c r="AB162" s="406">
        <f t="shared" si="126"/>
        <v>0</v>
      </c>
      <c r="AC162" s="406">
        <f t="shared" si="109"/>
        <v>2.0165256604379462</v>
      </c>
      <c r="AD162" s="406">
        <f t="shared" si="110"/>
        <v>5.0439320054986352</v>
      </c>
      <c r="AE162" s="406">
        <f t="shared" si="111"/>
        <v>0.25441250076093486</v>
      </c>
      <c r="AF162" s="406">
        <f t="shared" si="127"/>
        <v>0.12343427999999997</v>
      </c>
      <c r="AG162" s="406">
        <f t="shared" si="112"/>
        <v>0.39388006263865882</v>
      </c>
      <c r="AH162" s="406">
        <f t="shared" si="113"/>
        <v>0</v>
      </c>
      <c r="AI162">
        <f t="shared" si="128"/>
        <v>0</v>
      </c>
      <c r="AJ162" s="407">
        <f t="shared" si="129"/>
        <v>0.49205686800000004</v>
      </c>
      <c r="AK162">
        <f t="shared" si="134"/>
        <v>0.06</v>
      </c>
      <c r="AL162" s="407">
        <f t="shared" si="130"/>
        <v>4.0337999999999999E-2</v>
      </c>
      <c r="AM162" s="407">
        <f t="shared" si="135"/>
        <v>0.13814789189189189</v>
      </c>
      <c r="AN162" s="407">
        <f t="shared" si="114"/>
        <v>0.100338</v>
      </c>
      <c r="AO162" s="407">
        <f t="shared" si="115"/>
        <v>3.2686516713609324</v>
      </c>
      <c r="AP162">
        <f t="shared" si="131"/>
        <v>96.39</v>
      </c>
      <c r="AQ162" s="10">
        <f t="shared" si="116"/>
        <v>0.96720152624440692</v>
      </c>
      <c r="AR162" s="63">
        <f t="shared" si="117"/>
        <v>110.90891132408704</v>
      </c>
      <c r="AS162" s="63">
        <f t="shared" si="118"/>
        <v>15.755202505546354</v>
      </c>
      <c r="AT162" s="10"/>
      <c r="AU162">
        <f t="shared" si="119"/>
        <v>96.720152624440686</v>
      </c>
    </row>
    <row r="163" spans="7:47" x14ac:dyDescent="0.2">
      <c r="G163">
        <v>154</v>
      </c>
      <c r="H163">
        <f t="shared" si="120"/>
        <v>6.93</v>
      </c>
      <c r="I163" s="406">
        <f t="shared" si="97"/>
        <v>0.473776526527032</v>
      </c>
      <c r="J163" s="407">
        <f t="shared" si="121"/>
        <v>3.357735836477902</v>
      </c>
      <c r="K163" s="407">
        <f t="shared" si="132"/>
        <v>8.6088679182389498</v>
      </c>
      <c r="L163" s="407">
        <f t="shared" si="98"/>
        <v>5.2511320817610487</v>
      </c>
      <c r="M163" s="63">
        <f t="shared" si="122"/>
        <v>0</v>
      </c>
      <c r="N163" s="406">
        <f t="shared" si="99"/>
        <v>6.9974590027831285</v>
      </c>
      <c r="O163" s="406">
        <f t="shared" si="100"/>
        <v>4.323774525694131E-2</v>
      </c>
      <c r="P163">
        <f t="shared" si="123"/>
        <v>0.2</v>
      </c>
      <c r="Q163" s="406">
        <f t="shared" si="133"/>
        <v>0.24323774525694131</v>
      </c>
      <c r="R163" s="9">
        <f t="shared" si="101"/>
        <v>0.96929484452908499</v>
      </c>
      <c r="S163" s="9">
        <f t="shared" si="102"/>
        <v>2.6306909877658565E-4</v>
      </c>
      <c r="T163" s="9">
        <f t="shared" si="103"/>
        <v>2.6306909877658565E-4</v>
      </c>
      <c r="U163" s="406">
        <f t="shared" si="104"/>
        <v>4.816450845918312</v>
      </c>
      <c r="V163" s="408">
        <f t="shared" si="105"/>
        <v>2.3198198751147224E-2</v>
      </c>
      <c r="W163" s="406">
        <f t="shared" si="106"/>
        <v>2.3198198751147224E-2</v>
      </c>
      <c r="X163" s="406">
        <f t="shared" si="107"/>
        <v>4.816450845918312</v>
      </c>
      <c r="Y163" s="406">
        <f t="shared" si="108"/>
        <v>1.2063063350596557</v>
      </c>
      <c r="Z163" s="406">
        <f t="shared" si="124"/>
        <v>0.17574582225268781</v>
      </c>
      <c r="AA163" s="406">
        <f t="shared" si="125"/>
        <v>0.1228566</v>
      </c>
      <c r="AB163" s="406">
        <f t="shared" si="126"/>
        <v>0</v>
      </c>
      <c r="AC163" s="406">
        <f t="shared" si="109"/>
        <v>2.048574642516626</v>
      </c>
      <c r="AD163" s="406">
        <f t="shared" si="110"/>
        <v>5.0760450888938555</v>
      </c>
      <c r="AE163" s="406">
        <f t="shared" si="111"/>
        <v>0.2576623374448343</v>
      </c>
      <c r="AF163" s="406">
        <f t="shared" si="127"/>
        <v>0.12424103999999997</v>
      </c>
      <c r="AG163" s="406">
        <f t="shared" si="112"/>
        <v>0.39832470121725894</v>
      </c>
      <c r="AH163" s="406">
        <f t="shared" si="113"/>
        <v>0</v>
      </c>
      <c r="AI163">
        <f t="shared" si="128"/>
        <v>0</v>
      </c>
      <c r="AJ163" s="407">
        <f t="shared" si="129"/>
        <v>0.492018024</v>
      </c>
      <c r="AK163">
        <f t="shared" si="134"/>
        <v>0.06</v>
      </c>
      <c r="AL163" s="407">
        <f t="shared" si="130"/>
        <v>4.0337999999999999E-2</v>
      </c>
      <c r="AM163" s="407">
        <f t="shared" si="135"/>
        <v>0.13814789189189189</v>
      </c>
      <c r="AN163" s="407">
        <f t="shared" si="114"/>
        <v>0.100338</v>
      </c>
      <c r="AO163" s="407">
        <f t="shared" si="115"/>
        <v>3.3059543808407499</v>
      </c>
      <c r="AP163">
        <f t="shared" si="131"/>
        <v>97.02</v>
      </c>
      <c r="AQ163" s="10">
        <f t="shared" si="116"/>
        <v>0.96704786511881835</v>
      </c>
      <c r="AR163" s="63">
        <f t="shared" si="117"/>
        <v>112.67160533841444</v>
      </c>
      <c r="AS163" s="63">
        <f t="shared" si="118"/>
        <v>15.932988048690358</v>
      </c>
      <c r="AT163" s="10"/>
      <c r="AU163">
        <f t="shared" si="119"/>
        <v>96.704786511881835</v>
      </c>
    </row>
    <row r="164" spans="7:47" x14ac:dyDescent="0.2">
      <c r="G164">
        <v>155</v>
      </c>
      <c r="H164">
        <f t="shared" si="120"/>
        <v>6.9750000000000005</v>
      </c>
      <c r="I164" s="406">
        <f t="shared" si="97"/>
        <v>0.47382314972371881</v>
      </c>
      <c r="J164" s="407">
        <f t="shared" si="121"/>
        <v>3.3580662631021885</v>
      </c>
      <c r="K164" s="407">
        <f t="shared" si="132"/>
        <v>8.6540331315510954</v>
      </c>
      <c r="L164" s="407">
        <f t="shared" si="98"/>
        <v>5.2959668684489065</v>
      </c>
      <c r="M164" s="63">
        <f t="shared" si="122"/>
        <v>0</v>
      </c>
      <c r="N164" s="406">
        <f t="shared" si="99"/>
        <v>7.042041069104096</v>
      </c>
      <c r="O164" s="406">
        <f t="shared" si="100"/>
        <v>4.3792387565101558E-2</v>
      </c>
      <c r="P164">
        <f t="shared" si="123"/>
        <v>0.2</v>
      </c>
      <c r="Q164" s="406">
        <f t="shared" si="133"/>
        <v>0.24379238756510158</v>
      </c>
      <c r="R164" s="9">
        <f t="shared" si="101"/>
        <v>0.9693902304793246</v>
      </c>
      <c r="S164" s="9">
        <f t="shared" si="102"/>
        <v>2.6312087730565227E-4</v>
      </c>
      <c r="T164" s="9">
        <f t="shared" si="103"/>
        <v>2.6312087730565227E-4</v>
      </c>
      <c r="U164" s="406">
        <f t="shared" si="104"/>
        <v>4.8473758097370618</v>
      </c>
      <c r="V164" s="408">
        <f t="shared" si="105"/>
        <v>2.3497052240824035E-2</v>
      </c>
      <c r="W164" s="406">
        <f t="shared" si="106"/>
        <v>2.3497052240824035E-2</v>
      </c>
      <c r="X164" s="406">
        <f t="shared" si="107"/>
        <v>4.8473758097370618</v>
      </c>
      <c r="Y164" s="406">
        <f t="shared" si="108"/>
        <v>1.2218467165228499</v>
      </c>
      <c r="Z164" s="406">
        <f t="shared" si="124"/>
        <v>0.17700319193032499</v>
      </c>
      <c r="AA164" s="406">
        <f t="shared" si="125"/>
        <v>0.1228566</v>
      </c>
      <c r="AB164" s="406">
        <f t="shared" si="126"/>
        <v>0</v>
      </c>
      <c r="AC164" s="406">
        <f t="shared" si="109"/>
        <v>2.0811263306957386</v>
      </c>
      <c r="AD164" s="406">
        <f t="shared" si="110"/>
        <v>5.1081591770543637</v>
      </c>
      <c r="AE164" s="406">
        <f t="shared" si="111"/>
        <v>0.26093290178124717</v>
      </c>
      <c r="AF164" s="406">
        <f t="shared" si="127"/>
        <v>0.12504779999999999</v>
      </c>
      <c r="AG164" s="406">
        <f t="shared" si="112"/>
        <v>0.40279718803789594</v>
      </c>
      <c r="AH164" s="406">
        <f t="shared" si="113"/>
        <v>0</v>
      </c>
      <c r="AI164">
        <f t="shared" si="128"/>
        <v>0</v>
      </c>
      <c r="AJ164" s="407">
        <f t="shared" si="129"/>
        <v>0.49197918000000002</v>
      </c>
      <c r="AK164">
        <f t="shared" si="134"/>
        <v>0.06</v>
      </c>
      <c r="AL164" s="407">
        <f t="shared" si="130"/>
        <v>4.0337999999999999E-2</v>
      </c>
      <c r="AM164" s="407">
        <f t="shared" si="135"/>
        <v>0.13814789189189189</v>
      </c>
      <c r="AN164" s="407">
        <f t="shared" si="114"/>
        <v>0.100338</v>
      </c>
      <c r="AO164" s="407">
        <f t="shared" si="115"/>
        <v>3.3437932594168656</v>
      </c>
      <c r="AP164">
        <f t="shared" si="131"/>
        <v>97.65</v>
      </c>
      <c r="AQ164" s="10">
        <f t="shared" si="116"/>
        <v>0.96689110140830281</v>
      </c>
      <c r="AR164" s="63">
        <f t="shared" si="117"/>
        <v>114.46194818826562</v>
      </c>
      <c r="AS164" s="63">
        <f t="shared" si="118"/>
        <v>16.111887521515836</v>
      </c>
      <c r="AT164" s="10"/>
      <c r="AU164">
        <f t="shared" si="119"/>
        <v>96.68911014083028</v>
      </c>
    </row>
    <row r="165" spans="7:47" x14ac:dyDescent="0.2">
      <c r="G165">
        <v>156</v>
      </c>
      <c r="H165">
        <f t="shared" si="120"/>
        <v>7.0200000000000005</v>
      </c>
      <c r="I165" s="406">
        <f t="shared" si="97"/>
        <v>0.47386977885323622</v>
      </c>
      <c r="J165" s="407">
        <f t="shared" si="121"/>
        <v>3.3583967317734671</v>
      </c>
      <c r="K165" s="407">
        <f t="shared" si="132"/>
        <v>8.6991983658867333</v>
      </c>
      <c r="L165" s="407">
        <f t="shared" si="98"/>
        <v>5.3408016341132667</v>
      </c>
      <c r="M165" s="63">
        <f t="shared" si="122"/>
        <v>0</v>
      </c>
      <c r="N165" s="406">
        <f t="shared" si="99"/>
        <v>7.0866284214708832</v>
      </c>
      <c r="O165" s="406">
        <f t="shared" si="100"/>
        <v>4.4350668297606852E-2</v>
      </c>
      <c r="P165">
        <f t="shared" si="123"/>
        <v>0.2</v>
      </c>
      <c r="Q165" s="406">
        <f t="shared" si="133"/>
        <v>0.24435066829760688</v>
      </c>
      <c r="R165" s="9">
        <f t="shared" si="101"/>
        <v>0.96948562856748532</v>
      </c>
      <c r="S165" s="9">
        <f t="shared" si="102"/>
        <v>2.6317266751968985E-4</v>
      </c>
      <c r="T165" s="9">
        <f t="shared" si="103"/>
        <v>2.6317266751968985E-4</v>
      </c>
      <c r="U165" s="406">
        <f t="shared" si="104"/>
        <v>4.8783074508120343</v>
      </c>
      <c r="V165" s="408">
        <f t="shared" si="105"/>
        <v>2.3797883584648207E-2</v>
      </c>
      <c r="W165" s="406">
        <f t="shared" si="106"/>
        <v>2.3797883584648207E-2</v>
      </c>
      <c r="X165" s="406">
        <f t="shared" si="107"/>
        <v>4.8783074508120343</v>
      </c>
      <c r="Y165" s="406">
        <f t="shared" si="108"/>
        <v>1.2374899464017068</v>
      </c>
      <c r="Z165" s="406">
        <f t="shared" si="124"/>
        <v>0.17826056138049998</v>
      </c>
      <c r="AA165" s="406">
        <f t="shared" si="125"/>
        <v>0.1228566</v>
      </c>
      <c r="AB165" s="406">
        <f t="shared" si="126"/>
        <v>0</v>
      </c>
      <c r="AC165" s="406">
        <f t="shared" si="109"/>
        <v>2.1141909057127708</v>
      </c>
      <c r="AD165" s="406">
        <f t="shared" si="110"/>
        <v>5.1402741949579589</v>
      </c>
      <c r="AE165" s="406">
        <f t="shared" si="111"/>
        <v>0.26422418799350689</v>
      </c>
      <c r="AF165" s="406">
        <f t="shared" si="127"/>
        <v>0.12585455999999998</v>
      </c>
      <c r="AG165" s="406">
        <f t="shared" si="112"/>
        <v>0.40729760878601601</v>
      </c>
      <c r="AH165" s="406">
        <f t="shared" si="113"/>
        <v>0</v>
      </c>
      <c r="AI165">
        <f t="shared" si="128"/>
        <v>0</v>
      </c>
      <c r="AJ165" s="407">
        <f t="shared" si="129"/>
        <v>0.49194033599999998</v>
      </c>
      <c r="AK165">
        <f t="shared" si="134"/>
        <v>0.06</v>
      </c>
      <c r="AL165" s="407">
        <f t="shared" si="130"/>
        <v>4.0337999999999999E-2</v>
      </c>
      <c r="AM165" s="407">
        <f t="shared" si="135"/>
        <v>0.13814789189189189</v>
      </c>
      <c r="AN165" s="407">
        <f t="shared" si="114"/>
        <v>0.100338</v>
      </c>
      <c r="AO165" s="407">
        <f t="shared" si="115"/>
        <v>3.3821785750485613</v>
      </c>
      <c r="AP165">
        <f t="shared" si="131"/>
        <v>98.28</v>
      </c>
      <c r="AQ165" s="10">
        <f t="shared" si="116"/>
        <v>0.96673120109705513</v>
      </c>
      <c r="AR165" s="63">
        <f t="shared" si="117"/>
        <v>116.2804998142024</v>
      </c>
      <c r="AS165" s="63">
        <f t="shared" si="118"/>
        <v>16.291904351440639</v>
      </c>
      <c r="AT165" s="10"/>
      <c r="AU165">
        <f t="shared" si="119"/>
        <v>96.673120109705508</v>
      </c>
    </row>
    <row r="166" spans="7:47" x14ac:dyDescent="0.2">
      <c r="G166">
        <v>157</v>
      </c>
      <c r="H166">
        <f t="shared" si="120"/>
        <v>7.0650000000000004</v>
      </c>
      <c r="I166" s="406">
        <f t="shared" si="97"/>
        <v>0.47391641391671696</v>
      </c>
      <c r="J166" s="407">
        <f t="shared" si="121"/>
        <v>3.3587272424997656</v>
      </c>
      <c r="K166" s="407">
        <f t="shared" si="132"/>
        <v>8.7443636212498834</v>
      </c>
      <c r="L166" s="407">
        <f t="shared" si="98"/>
        <v>5.3856363787501174</v>
      </c>
      <c r="M166" s="63">
        <f t="shared" si="122"/>
        <v>0</v>
      </c>
      <c r="N166" s="406">
        <f t="shared" si="99"/>
        <v>7.1312209607326373</v>
      </c>
      <c r="O166" s="406">
        <f t="shared" si="100"/>
        <v>4.491258841954178E-2</v>
      </c>
      <c r="P166">
        <f t="shared" si="123"/>
        <v>0.2</v>
      </c>
      <c r="Q166" s="406">
        <f t="shared" si="133"/>
        <v>0.24491258841954178</v>
      </c>
      <c r="R166" s="9">
        <f t="shared" si="101"/>
        <v>0.96958103879588464</v>
      </c>
      <c r="S166" s="9">
        <f t="shared" si="102"/>
        <v>2.6322446942190196E-4</v>
      </c>
      <c r="T166" s="9">
        <f t="shared" si="103"/>
        <v>2.6322446942190196E-4</v>
      </c>
      <c r="U166" s="406">
        <f t="shared" si="104"/>
        <v>4.9092457017799438</v>
      </c>
      <c r="V166" s="408">
        <f t="shared" si="105"/>
        <v>2.4100693360444854E-2</v>
      </c>
      <c r="W166" s="406">
        <f t="shared" si="106"/>
        <v>2.4100693360444854E-2</v>
      </c>
      <c r="X166" s="406">
        <f t="shared" si="107"/>
        <v>4.9092457017799438</v>
      </c>
      <c r="Y166" s="406">
        <f t="shared" si="108"/>
        <v>1.2532360547431323</v>
      </c>
      <c r="Z166" s="406">
        <f t="shared" si="124"/>
        <v>0.17951793060316945</v>
      </c>
      <c r="AA166" s="406">
        <f t="shared" si="125"/>
        <v>0.1228566</v>
      </c>
      <c r="AB166" s="406">
        <f t="shared" si="126"/>
        <v>0</v>
      </c>
      <c r="AC166" s="406">
        <f t="shared" si="109"/>
        <v>2.1477788385155434</v>
      </c>
      <c r="AD166" s="406">
        <f t="shared" si="110"/>
        <v>5.1723900694309259</v>
      </c>
      <c r="AE166" s="406">
        <f t="shared" si="111"/>
        <v>0.26753619030347658</v>
      </c>
      <c r="AF166" s="406">
        <f t="shared" si="127"/>
        <v>0.12666131999999997</v>
      </c>
      <c r="AG166" s="406">
        <f t="shared" si="112"/>
        <v>0.41182604989660743</v>
      </c>
      <c r="AH166" s="406">
        <f t="shared" si="113"/>
        <v>0</v>
      </c>
      <c r="AI166">
        <f t="shared" si="128"/>
        <v>0</v>
      </c>
      <c r="AJ166" s="407">
        <f t="shared" si="129"/>
        <v>0.491901492</v>
      </c>
      <c r="AK166">
        <f t="shared" si="134"/>
        <v>0.06</v>
      </c>
      <c r="AL166" s="407">
        <f t="shared" si="130"/>
        <v>4.0337999999999999E-2</v>
      </c>
      <c r="AM166" s="407">
        <f t="shared" si="135"/>
        <v>0.13814789189189189</v>
      </c>
      <c r="AN166" s="407">
        <f t="shared" si="114"/>
        <v>0.100338</v>
      </c>
      <c r="AO166" s="407">
        <f t="shared" si="115"/>
        <v>3.4211208866615594</v>
      </c>
      <c r="AP166">
        <f t="shared" si="131"/>
        <v>98.910000000000011</v>
      </c>
      <c r="AQ166" s="10">
        <f t="shared" si="116"/>
        <v>0.96656812847334417</v>
      </c>
      <c r="AR166" s="63">
        <f t="shared" si="117"/>
        <v>118.12783611835489</v>
      </c>
      <c r="AS166" s="63">
        <f t="shared" si="118"/>
        <v>16.473041995864296</v>
      </c>
      <c r="AT166" s="10"/>
      <c r="AU166">
        <f t="shared" si="119"/>
        <v>96.656812847334422</v>
      </c>
    </row>
    <row r="167" spans="7:47" x14ac:dyDescent="0.2">
      <c r="G167">
        <v>158</v>
      </c>
      <c r="H167">
        <f t="shared" si="120"/>
        <v>7.11</v>
      </c>
      <c r="I167" s="406">
        <f t="shared" si="97"/>
        <v>0.47396305491529345</v>
      </c>
      <c r="J167" s="407">
        <f t="shared" si="121"/>
        <v>3.3590577952891101</v>
      </c>
      <c r="K167" s="407">
        <f t="shared" si="132"/>
        <v>8.7895288976445549</v>
      </c>
      <c r="L167" s="407">
        <f t="shared" si="98"/>
        <v>5.4304711023554457</v>
      </c>
      <c r="M167" s="63">
        <f t="shared" si="122"/>
        <v>0</v>
      </c>
      <c r="N167" s="406">
        <f t="shared" si="99"/>
        <v>7.1758185901917173</v>
      </c>
      <c r="O167" s="406">
        <f t="shared" si="100"/>
        <v>4.5478148902412016E-2</v>
      </c>
      <c r="P167">
        <f t="shared" si="123"/>
        <v>0.2</v>
      </c>
      <c r="Q167" s="406">
        <f t="shared" si="133"/>
        <v>0.24547814890241204</v>
      </c>
      <c r="R167" s="9">
        <f t="shared" si="101"/>
        <v>0.96967646116683937</v>
      </c>
      <c r="S167" s="9">
        <f t="shared" si="102"/>
        <v>2.6327628301549261E-4</v>
      </c>
      <c r="T167" s="9">
        <f t="shared" si="103"/>
        <v>2.6327628301549261E-4</v>
      </c>
      <c r="U167" s="406">
        <f t="shared" si="104"/>
        <v>4.9401904969531429</v>
      </c>
      <c r="V167" s="408">
        <f t="shared" si="105"/>
        <v>2.4405482146186142E-2</v>
      </c>
      <c r="W167" s="406">
        <f t="shared" si="106"/>
        <v>2.4405482146186142E-2</v>
      </c>
      <c r="X167" s="406">
        <f t="shared" si="107"/>
        <v>4.9401904969531429</v>
      </c>
      <c r="Y167" s="406">
        <f t="shared" si="108"/>
        <v>1.2690850716016793</v>
      </c>
      <c r="Z167" s="406">
        <f t="shared" si="124"/>
        <v>0.18077529959828997</v>
      </c>
      <c r="AA167" s="406">
        <f t="shared" si="125"/>
        <v>0.1228566</v>
      </c>
      <c r="AB167" s="406">
        <f t="shared" si="126"/>
        <v>0</v>
      </c>
      <c r="AC167" s="406">
        <f t="shared" si="109"/>
        <v>2.1819009005256764</v>
      </c>
      <c r="AD167" s="406">
        <f t="shared" si="110"/>
        <v>5.2045067290911344</v>
      </c>
      <c r="AE167" s="406">
        <f t="shared" si="111"/>
        <v>0.27086890293154897</v>
      </c>
      <c r="AF167" s="406">
        <f t="shared" si="127"/>
        <v>0.12746807999999998</v>
      </c>
      <c r="AG167" s="406">
        <f t="shared" si="112"/>
        <v>0.41638259855898241</v>
      </c>
      <c r="AH167" s="406">
        <f t="shared" si="113"/>
        <v>0</v>
      </c>
      <c r="AI167">
        <f t="shared" si="128"/>
        <v>0</v>
      </c>
      <c r="AJ167" s="407">
        <f t="shared" si="129"/>
        <v>0.49186264800000001</v>
      </c>
      <c r="AK167">
        <f t="shared" si="134"/>
        <v>0.06</v>
      </c>
      <c r="AL167" s="407">
        <f t="shared" si="130"/>
        <v>4.0337999999999999E-2</v>
      </c>
      <c r="AM167" s="407">
        <f t="shared" si="135"/>
        <v>0.13814789189189189</v>
      </c>
      <c r="AN167" s="407">
        <f t="shared" si="114"/>
        <v>0.100338</v>
      </c>
      <c r="AO167" s="407">
        <f t="shared" si="115"/>
        <v>3.4606310544162726</v>
      </c>
      <c r="AP167">
        <f t="shared" si="131"/>
        <v>99.54</v>
      </c>
      <c r="AQ167" s="10">
        <f t="shared" si="116"/>
        <v>0.9664018460956032</v>
      </c>
      <c r="AR167" s="63">
        <f t="shared" si="117"/>
        <v>120.00454952891221</v>
      </c>
      <c r="AS167" s="63">
        <f t="shared" si="118"/>
        <v>16.655303942359296</v>
      </c>
      <c r="AT167" s="10"/>
      <c r="AU167">
        <f t="shared" si="119"/>
        <v>96.640184609560322</v>
      </c>
    </row>
    <row r="168" spans="7:47" x14ac:dyDescent="0.2">
      <c r="G168">
        <v>159</v>
      </c>
      <c r="H168">
        <f t="shared" si="120"/>
        <v>7.1550000000000002</v>
      </c>
      <c r="I168" s="406">
        <f t="shared" si="97"/>
        <v>0.47400970185009916</v>
      </c>
      <c r="J168" s="407">
        <f t="shared" si="121"/>
        <v>3.3593883901495332</v>
      </c>
      <c r="K168" s="407">
        <f t="shared" si="132"/>
        <v>8.8346941950747677</v>
      </c>
      <c r="L168" s="407">
        <f t="shared" si="98"/>
        <v>5.4753058049252337</v>
      </c>
      <c r="M168" s="63">
        <f t="shared" si="122"/>
        <v>0</v>
      </c>
      <c r="N168" s="406">
        <f t="shared" si="99"/>
        <v>7.2204212155286314</v>
      </c>
      <c r="O168" s="406">
        <f t="shared" si="100"/>
        <v>4.6047350724148547E-2</v>
      </c>
      <c r="P168">
        <f t="shared" si="123"/>
        <v>0.2</v>
      </c>
      <c r="Q168" s="406">
        <f t="shared" si="133"/>
        <v>0.24604735072414857</v>
      </c>
      <c r="R168" s="9">
        <f t="shared" si="101"/>
        <v>0.96977189568266831</v>
      </c>
      <c r="S168" s="9">
        <f t="shared" si="102"/>
        <v>2.6332810830366775E-4</v>
      </c>
      <c r="T168" s="9">
        <f t="shared" si="103"/>
        <v>2.6332810830366775E-4</v>
      </c>
      <c r="U168" s="406">
        <f t="shared" si="104"/>
        <v>4.9711417722683615</v>
      </c>
      <c r="V168" s="408">
        <f t="shared" si="105"/>
        <v>2.4712250519991426E-2</v>
      </c>
      <c r="W168" s="406">
        <f t="shared" si="106"/>
        <v>2.4712250519991426E-2</v>
      </c>
      <c r="X168" s="406">
        <f t="shared" si="107"/>
        <v>4.9711417722683615</v>
      </c>
      <c r="Y168" s="406">
        <f t="shared" si="108"/>
        <v>1.2850370270395541</v>
      </c>
      <c r="Z168" s="406">
        <f t="shared" si="124"/>
        <v>0.18203266836581797</v>
      </c>
      <c r="AA168" s="406">
        <f t="shared" si="125"/>
        <v>0.1228566</v>
      </c>
      <c r="AB168" s="406">
        <f t="shared" si="126"/>
        <v>0</v>
      </c>
      <c r="AC168" s="406">
        <f t="shared" si="109"/>
        <v>2.2165681743426946</v>
      </c>
      <c r="AD168" s="406">
        <f t="shared" si="110"/>
        <v>5.2366241042931971</v>
      </c>
      <c r="AE168" s="406">
        <f t="shared" si="111"/>
        <v>0.27422232009664532</v>
      </c>
      <c r="AF168" s="406">
        <f t="shared" si="127"/>
        <v>0.12827484</v>
      </c>
      <c r="AG168" s="406">
        <f t="shared" si="112"/>
        <v>0.42096734272161174</v>
      </c>
      <c r="AH168" s="406">
        <f t="shared" si="113"/>
        <v>0</v>
      </c>
      <c r="AI168">
        <f t="shared" si="128"/>
        <v>0</v>
      </c>
      <c r="AJ168" s="407">
        <f t="shared" si="129"/>
        <v>0.49182380399999998</v>
      </c>
      <c r="AK168">
        <f t="shared" si="134"/>
        <v>0.06</v>
      </c>
      <c r="AL168" s="407">
        <f t="shared" si="130"/>
        <v>4.0337999999999999E-2</v>
      </c>
      <c r="AM168" s="407">
        <f t="shared" si="135"/>
        <v>0.13814789189189189</v>
      </c>
      <c r="AN168" s="407">
        <f t="shared" si="114"/>
        <v>0.100338</v>
      </c>
      <c r="AO168" s="407">
        <f t="shared" si="115"/>
        <v>3.5007202504167498</v>
      </c>
      <c r="AP168">
        <f t="shared" si="131"/>
        <v>100.17</v>
      </c>
      <c r="AQ168" s="10">
        <f t="shared" si="116"/>
        <v>0.96623231475617466</v>
      </c>
      <c r="AR168" s="63">
        <f t="shared" si="117"/>
        <v>121.91124958884821</v>
      </c>
      <c r="AS168" s="63">
        <f t="shared" si="118"/>
        <v>16.838693708864469</v>
      </c>
      <c r="AT168" s="10"/>
      <c r="AU168">
        <f t="shared" si="119"/>
        <v>96.623231475617473</v>
      </c>
    </row>
    <row r="169" spans="7:47" x14ac:dyDescent="0.2">
      <c r="G169">
        <v>160</v>
      </c>
      <c r="H169">
        <f t="shared" si="120"/>
        <v>7.2</v>
      </c>
      <c r="I169" s="406">
        <f t="shared" si="97"/>
        <v>0.47405635472226709</v>
      </c>
      <c r="J169" s="407">
        <f t="shared" si="121"/>
        <v>3.3597190270890649</v>
      </c>
      <c r="K169" s="407">
        <f t="shared" si="132"/>
        <v>8.8798595135445328</v>
      </c>
      <c r="L169" s="407">
        <f t="shared" si="98"/>
        <v>5.5201404864554675</v>
      </c>
      <c r="M169" s="63">
        <f t="shared" si="122"/>
        <v>0</v>
      </c>
      <c r="N169" s="406">
        <f t="shared" si="99"/>
        <v>7.2650287447296931</v>
      </c>
      <c r="O169" s="406">
        <f t="shared" si="100"/>
        <v>4.6620194869111883E-2</v>
      </c>
      <c r="P169">
        <f t="shared" si="123"/>
        <v>0.2</v>
      </c>
      <c r="Q169" s="406">
        <f t="shared" si="133"/>
        <v>0.24662019486911191</v>
      </c>
      <c r="R169" s="9">
        <f t="shared" si="101"/>
        <v>0.96986734234568961</v>
      </c>
      <c r="S169" s="9">
        <f t="shared" si="102"/>
        <v>2.6337994528963352E-4</v>
      </c>
      <c r="T169" s="9">
        <f t="shared" si="103"/>
        <v>2.6337994528963352E-4</v>
      </c>
      <c r="U169" s="406">
        <f t="shared" si="104"/>
        <v>5.0020994652372881</v>
      </c>
      <c r="V169" s="408">
        <f t="shared" si="105"/>
        <v>2.5020999060127162E-2</v>
      </c>
      <c r="W169" s="406">
        <f t="shared" si="106"/>
        <v>2.5020999060127162E-2</v>
      </c>
      <c r="X169" s="406">
        <f t="shared" si="107"/>
        <v>5.0020994652372881</v>
      </c>
      <c r="Y169" s="406">
        <f t="shared" si="108"/>
        <v>1.3010919511266124</v>
      </c>
      <c r="Z169" s="406">
        <f t="shared" si="124"/>
        <v>0.18329003690571016</v>
      </c>
      <c r="AA169" s="406">
        <f t="shared" si="125"/>
        <v>0.1228566</v>
      </c>
      <c r="AB169" s="406">
        <f t="shared" si="126"/>
        <v>0</v>
      </c>
      <c r="AC169" s="406">
        <f t="shared" si="109"/>
        <v>2.2517920649109264</v>
      </c>
      <c r="AD169" s="406">
        <f t="shared" si="110"/>
        <v>5.2687421270756394</v>
      </c>
      <c r="AE169" s="406">
        <f t="shared" si="111"/>
        <v>0.27759643601621536</v>
      </c>
      <c r="AF169" s="406">
        <f t="shared" si="127"/>
        <v>0.12908159999999996</v>
      </c>
      <c r="AG169" s="406">
        <f t="shared" si="112"/>
        <v>0.42558037109701363</v>
      </c>
      <c r="AH169" s="406">
        <f t="shared" si="113"/>
        <v>0</v>
      </c>
      <c r="AI169">
        <f t="shared" si="128"/>
        <v>0</v>
      </c>
      <c r="AJ169" s="407">
        <f t="shared" si="129"/>
        <v>0.49178495999999999</v>
      </c>
      <c r="AK169">
        <f t="shared" si="134"/>
        <v>0.06</v>
      </c>
      <c r="AL169" s="407">
        <f t="shared" si="130"/>
        <v>4.0337999999999999E-2</v>
      </c>
      <c r="AM169" s="407">
        <f t="shared" si="135"/>
        <v>0.13814789189189189</v>
      </c>
      <c r="AN169" s="407">
        <f t="shared" si="114"/>
        <v>0.100338</v>
      </c>
      <c r="AO169" s="407">
        <f t="shared" si="115"/>
        <v>3.5413999698824683</v>
      </c>
      <c r="AP169">
        <f t="shared" si="131"/>
        <v>100.8</v>
      </c>
      <c r="AQ169" s="10">
        <f t="shared" si="116"/>
        <v>0.96605949344263475</v>
      </c>
      <c r="AR169" s="63">
        <f t="shared" si="117"/>
        <v>123.84856357010095</v>
      </c>
      <c r="AS169" s="63">
        <f t="shared" si="118"/>
        <v>17.023214843880545</v>
      </c>
      <c r="AT169" s="10"/>
      <c r="AU169">
        <f t="shared" si="119"/>
        <v>96.605949344263479</v>
      </c>
    </row>
    <row r="170" spans="7:47" x14ac:dyDescent="0.2">
      <c r="G170">
        <v>161</v>
      </c>
      <c r="H170">
        <f t="shared" si="120"/>
        <v>7.2450000000000001</v>
      </c>
      <c r="I170" s="406">
        <f t="shared" si="97"/>
        <v>0.47410301353293122</v>
      </c>
      <c r="J170" s="407">
        <f t="shared" si="121"/>
        <v>3.3600497061157419</v>
      </c>
      <c r="K170" s="407">
        <f t="shared" si="132"/>
        <v>8.9250248530578702</v>
      </c>
      <c r="L170" s="407">
        <f t="shared" si="98"/>
        <v>5.5649751469421291</v>
      </c>
      <c r="M170" s="63">
        <f t="shared" si="122"/>
        <v>0</v>
      </c>
      <c r="N170" s="406">
        <f t="shared" si="99"/>
        <v>7.3096410880172984</v>
      </c>
      <c r="O170" s="406">
        <f t="shared" si="100"/>
        <v>4.7196682328096325E-2</v>
      </c>
      <c r="P170">
        <f t="shared" si="123"/>
        <v>0.2</v>
      </c>
      <c r="Q170" s="406">
        <f t="shared" si="133"/>
        <v>0.24719668232809633</v>
      </c>
      <c r="R170" s="9">
        <f t="shared" si="101"/>
        <v>0.96996280115822331</v>
      </c>
      <c r="S170" s="9">
        <f t="shared" si="102"/>
        <v>2.6343179397659802E-4</v>
      </c>
      <c r="T170" s="9">
        <f t="shared" si="103"/>
        <v>2.6343179397659802E-4</v>
      </c>
      <c r="U170" s="406">
        <f t="shared" si="104"/>
        <v>5.0330635148989611</v>
      </c>
      <c r="V170" s="408">
        <f t="shared" si="105"/>
        <v>2.5331728345007087E-2</v>
      </c>
      <c r="W170" s="406">
        <f t="shared" si="106"/>
        <v>2.5331728345007087E-2</v>
      </c>
      <c r="X170" s="406">
        <f t="shared" si="107"/>
        <v>5.0330635148989611</v>
      </c>
      <c r="Y170" s="406">
        <f t="shared" si="108"/>
        <v>1.3172498739403684</v>
      </c>
      <c r="Z170" s="406">
        <f t="shared" si="124"/>
        <v>0.18454740521792298</v>
      </c>
      <c r="AA170" s="406">
        <f t="shared" si="125"/>
        <v>0.1228566</v>
      </c>
      <c r="AB170" s="406">
        <f t="shared" si="126"/>
        <v>0</v>
      </c>
      <c r="AC170" s="406">
        <f t="shared" si="109"/>
        <v>2.287584311172751</v>
      </c>
      <c r="AD170" s="406">
        <f t="shared" si="110"/>
        <v>5.3008607311099611</v>
      </c>
      <c r="AE170" s="406">
        <f t="shared" si="111"/>
        <v>0.28099124490623634</v>
      </c>
      <c r="AF170" s="406">
        <f t="shared" si="127"/>
        <v>0.12988835999999995</v>
      </c>
      <c r="AG170" s="406">
        <f t="shared" si="112"/>
        <v>0.43022177316669685</v>
      </c>
      <c r="AH170" s="406">
        <f t="shared" si="113"/>
        <v>0</v>
      </c>
      <c r="AI170">
        <f t="shared" si="128"/>
        <v>0</v>
      </c>
      <c r="AJ170" s="407">
        <f t="shared" si="129"/>
        <v>0.49174611599999996</v>
      </c>
      <c r="AK170">
        <f t="shared" si="134"/>
        <v>0.06</v>
      </c>
      <c r="AL170" s="407">
        <f t="shared" si="130"/>
        <v>4.0337999999999999E-2</v>
      </c>
      <c r="AM170" s="407">
        <f t="shared" si="135"/>
        <v>0.13814789189189189</v>
      </c>
      <c r="AN170" s="407">
        <f t="shared" si="114"/>
        <v>0.100338</v>
      </c>
      <c r="AO170" s="407">
        <f t="shared" si="115"/>
        <v>3.5826820428065274</v>
      </c>
      <c r="AP170">
        <f t="shared" si="131"/>
        <v>101.43</v>
      </c>
      <c r="AQ170" s="10">
        <f t="shared" si="116"/>
        <v>0.9658833392966184</v>
      </c>
      <c r="AR170" s="63">
        <f t="shared" si="117"/>
        <v>125.81713711450131</v>
      </c>
      <c r="AS170" s="63">
        <f t="shared" si="118"/>
        <v>17.208870926667874</v>
      </c>
      <c r="AT170" s="10"/>
      <c r="AU170">
        <f t="shared" si="119"/>
        <v>96.588333929661843</v>
      </c>
    </row>
    <row r="171" spans="7:47" x14ac:dyDescent="0.2">
      <c r="G171">
        <v>162</v>
      </c>
      <c r="H171">
        <f t="shared" si="120"/>
        <v>7.2900000000000009</v>
      </c>
      <c r="I171" s="406">
        <f t="shared" si="97"/>
        <v>0.47414967828322524</v>
      </c>
      <c r="J171" s="407">
        <f t="shared" si="121"/>
        <v>3.3603804272375992</v>
      </c>
      <c r="K171" s="407">
        <f t="shared" si="132"/>
        <v>8.9701902136187996</v>
      </c>
      <c r="L171" s="407">
        <f t="shared" si="98"/>
        <v>5.6098097863812013</v>
      </c>
      <c r="M171" s="63">
        <f t="shared" si="122"/>
        <v>0</v>
      </c>
      <c r="N171" s="406">
        <f t="shared" si="99"/>
        <v>7.3542581577827058</v>
      </c>
      <c r="O171" s="406">
        <f t="shared" si="100"/>
        <v>4.7776814098334355E-2</v>
      </c>
      <c r="P171">
        <f t="shared" si="123"/>
        <v>0.2</v>
      </c>
      <c r="Q171" s="406">
        <f t="shared" si="133"/>
        <v>0.24777681409833435</v>
      </c>
      <c r="R171" s="9">
        <f t="shared" si="101"/>
        <v>0.97005827212258888</v>
      </c>
      <c r="S171" s="9">
        <f t="shared" si="102"/>
        <v>2.6348365436776956E-4</v>
      </c>
      <c r="T171" s="9">
        <f t="shared" si="103"/>
        <v>2.6348365436776956E-4</v>
      </c>
      <c r="U171" s="406">
        <f t="shared" si="104"/>
        <v>5.0640338617738481</v>
      </c>
      <c r="V171" s="408">
        <f t="shared" si="105"/>
        <v>2.5644438953192156E-2</v>
      </c>
      <c r="W171" s="406">
        <f t="shared" si="106"/>
        <v>2.5644438953192156E-2</v>
      </c>
      <c r="X171" s="406">
        <f t="shared" si="107"/>
        <v>5.0640338617738481</v>
      </c>
      <c r="Y171" s="406">
        <f t="shared" si="108"/>
        <v>1.333510825565992</v>
      </c>
      <c r="Z171" s="406">
        <f t="shared" si="124"/>
        <v>0.18580477330241299</v>
      </c>
      <c r="AA171" s="406">
        <f t="shared" si="125"/>
        <v>0.1228566</v>
      </c>
      <c r="AB171" s="406">
        <f t="shared" si="126"/>
        <v>0</v>
      </c>
      <c r="AC171" s="406">
        <f t="shared" si="109"/>
        <v>2.3239569982329806</v>
      </c>
      <c r="AD171" s="406">
        <f t="shared" si="110"/>
        <v>5.3329798516515439</v>
      </c>
      <c r="AE171" s="406">
        <f t="shared" si="111"/>
        <v>0.28440674098121327</v>
      </c>
      <c r="AF171" s="406">
        <f t="shared" si="127"/>
        <v>0.13069512</v>
      </c>
      <c r="AG171" s="406">
        <f t="shared" si="112"/>
        <v>0.43489163918615942</v>
      </c>
      <c r="AH171" s="406">
        <f t="shared" si="113"/>
        <v>0</v>
      </c>
      <c r="AI171">
        <f t="shared" si="128"/>
        <v>0</v>
      </c>
      <c r="AJ171" s="407">
        <f t="shared" si="129"/>
        <v>0.49170727200000003</v>
      </c>
      <c r="AK171">
        <f t="shared" si="134"/>
        <v>0.06</v>
      </c>
      <c r="AL171" s="407">
        <f t="shared" si="130"/>
        <v>4.0337999999999999E-2</v>
      </c>
      <c r="AM171" s="407">
        <f t="shared" si="135"/>
        <v>0.13814789189189189</v>
      </c>
      <c r="AN171" s="407">
        <f t="shared" si="114"/>
        <v>0.100338</v>
      </c>
      <c r="AO171" s="407">
        <f t="shared" si="115"/>
        <v>3.6245786461250344</v>
      </c>
      <c r="AP171">
        <f t="shared" si="131"/>
        <v>102.06000000000002</v>
      </c>
      <c r="AQ171" s="10">
        <f t="shared" si="116"/>
        <v>0.96570380757005625</v>
      </c>
      <c r="AR171" s="63">
        <f t="shared" si="117"/>
        <v>127.81763490281394</v>
      </c>
      <c r="AS171" s="63">
        <f t="shared" si="118"/>
        <v>17.395665567446375</v>
      </c>
      <c r="AT171" s="10"/>
      <c r="AU171">
        <f t="shared" si="119"/>
        <v>96.570380757005623</v>
      </c>
    </row>
    <row r="172" spans="7:47" x14ac:dyDescent="0.2">
      <c r="G172">
        <v>163</v>
      </c>
      <c r="H172">
        <f t="shared" si="120"/>
        <v>7.3349999999999991</v>
      </c>
      <c r="I172" s="406">
        <f t="shared" si="97"/>
        <v>0.47419634897428353</v>
      </c>
      <c r="J172" s="407">
        <f t="shared" si="121"/>
        <v>3.3607111904626756</v>
      </c>
      <c r="K172" s="407">
        <f t="shared" si="132"/>
        <v>9.0153555952313376</v>
      </c>
      <c r="L172" s="407">
        <f t="shared" si="98"/>
        <v>5.6546444047686615</v>
      </c>
      <c r="M172" s="63">
        <f t="shared" si="122"/>
        <v>0</v>
      </c>
      <c r="N172" s="406">
        <f t="shared" si="99"/>
        <v>7.3988798685212078</v>
      </c>
      <c r="O172" s="406">
        <f t="shared" si="100"/>
        <v>4.8360591183500834E-2</v>
      </c>
      <c r="P172">
        <f t="shared" si="123"/>
        <v>0.2</v>
      </c>
      <c r="Q172" s="406">
        <f t="shared" si="133"/>
        <v>0.24836059118350085</v>
      </c>
      <c r="R172" s="9">
        <f t="shared" si="101"/>
        <v>0.97015375524110681</v>
      </c>
      <c r="S172" s="9">
        <f t="shared" si="102"/>
        <v>2.6353552646635799E-4</v>
      </c>
      <c r="T172" s="9">
        <f t="shared" si="103"/>
        <v>2.6353552646635799E-4</v>
      </c>
      <c r="U172" s="406">
        <f t="shared" si="104"/>
        <v>5.0950104478195763</v>
      </c>
      <c r="V172" s="408">
        <f t="shared" si="105"/>
        <v>2.5959131463390642E-2</v>
      </c>
      <c r="W172" s="406">
        <f t="shared" si="106"/>
        <v>2.5959131463390642E-2</v>
      </c>
      <c r="X172" s="406">
        <f t="shared" si="107"/>
        <v>5.0950104478195763</v>
      </c>
      <c r="Y172" s="406">
        <f t="shared" si="108"/>
        <v>1.3498748360963133</v>
      </c>
      <c r="Z172" s="406">
        <f t="shared" si="124"/>
        <v>0.18706214115913664</v>
      </c>
      <c r="AA172" s="406">
        <f t="shared" si="125"/>
        <v>0.1228566</v>
      </c>
      <c r="AB172" s="406">
        <f t="shared" si="126"/>
        <v>0</v>
      </c>
      <c r="AC172" s="406">
        <f t="shared" si="109"/>
        <v>2.3609225700607572</v>
      </c>
      <c r="AD172" s="406">
        <f t="shared" si="110"/>
        <v>5.3650994254922963</v>
      </c>
      <c r="AE172" s="406">
        <f t="shared" si="111"/>
        <v>0.2878429184541777</v>
      </c>
      <c r="AF172" s="406">
        <f t="shared" si="127"/>
        <v>0.13150187999999996</v>
      </c>
      <c r="AG172" s="406">
        <f t="shared" si="112"/>
        <v>0.4395900601899409</v>
      </c>
      <c r="AH172" s="406">
        <f t="shared" si="113"/>
        <v>0</v>
      </c>
      <c r="AI172">
        <f t="shared" si="128"/>
        <v>0</v>
      </c>
      <c r="AJ172" s="407">
        <f t="shared" si="129"/>
        <v>0.49166842800000005</v>
      </c>
      <c r="AK172">
        <f t="shared" si="134"/>
        <v>0.06</v>
      </c>
      <c r="AL172" s="407">
        <f t="shared" si="130"/>
        <v>4.0337999999999999E-2</v>
      </c>
      <c r="AM172" s="407">
        <f t="shared" si="135"/>
        <v>0.13814789189189189</v>
      </c>
      <c r="AN172" s="407">
        <f t="shared" si="114"/>
        <v>0.100338</v>
      </c>
      <c r="AO172" s="407">
        <f t="shared" si="115"/>
        <v>3.6671023164240562</v>
      </c>
      <c r="AP172">
        <f t="shared" si="131"/>
        <v>102.68999999999998</v>
      </c>
      <c r="AQ172" s="10">
        <f t="shared" si="116"/>
        <v>0.96552085157873124</v>
      </c>
      <c r="AR172" s="63">
        <f t="shared" si="117"/>
        <v>129.85074135334165</v>
      </c>
      <c r="AS172" s="63">
        <f t="shared" si="118"/>
        <v>17.583602407597635</v>
      </c>
      <c r="AT172" s="10"/>
      <c r="AU172">
        <f t="shared" si="119"/>
        <v>96.552085157873123</v>
      </c>
    </row>
    <row r="173" spans="7:47" x14ac:dyDescent="0.2">
      <c r="G173">
        <v>164</v>
      </c>
      <c r="H173">
        <f t="shared" si="120"/>
        <v>7.38</v>
      </c>
      <c r="I173" s="406">
        <f t="shared" si="97"/>
        <v>0.47424302560724069</v>
      </c>
      <c r="J173" s="407">
        <f t="shared" si="121"/>
        <v>3.3610419957990127</v>
      </c>
      <c r="K173" s="407">
        <f t="shared" si="132"/>
        <v>9.0605209978995056</v>
      </c>
      <c r="L173" s="407">
        <f t="shared" si="98"/>
        <v>5.6994790021004933</v>
      </c>
      <c r="M173" s="63">
        <f t="shared" si="122"/>
        <v>0</v>
      </c>
      <c r="N173" s="406">
        <f t="shared" si="99"/>
        <v>7.4435061367696234</v>
      </c>
      <c r="O173" s="406">
        <f t="shared" si="100"/>
        <v>4.8948014593717545E-2</v>
      </c>
      <c r="P173">
        <f t="shared" si="123"/>
        <v>0.2</v>
      </c>
      <c r="Q173" s="406">
        <f t="shared" si="133"/>
        <v>0.24894801459371757</v>
      </c>
      <c r="R173" s="9">
        <f t="shared" si="101"/>
        <v>0.97024925051609856</v>
      </c>
      <c r="S173" s="9">
        <f t="shared" si="102"/>
        <v>2.6358741027557433E-4</v>
      </c>
      <c r="T173" s="9">
        <f t="shared" si="103"/>
        <v>2.6358741027557433E-4</v>
      </c>
      <c r="U173" s="406">
        <f t="shared" si="104"/>
        <v>5.1259932163882382</v>
      </c>
      <c r="V173" s="408">
        <f t="shared" si="105"/>
        <v>2.6275806454458237E-2</v>
      </c>
      <c r="W173" s="406">
        <f t="shared" si="106"/>
        <v>2.6275806454458237E-2</v>
      </c>
      <c r="X173" s="406">
        <f t="shared" si="107"/>
        <v>5.1259932163882382</v>
      </c>
      <c r="Y173" s="406">
        <f t="shared" si="108"/>
        <v>1.3663419356318283</v>
      </c>
      <c r="Z173" s="406">
        <f t="shared" si="124"/>
        <v>0.18831950878805057</v>
      </c>
      <c r="AA173" s="406">
        <f t="shared" si="125"/>
        <v>0.1228566</v>
      </c>
      <c r="AB173" s="406">
        <f t="shared" si="126"/>
        <v>0</v>
      </c>
      <c r="AC173" s="406">
        <f t="shared" si="109"/>
        <v>2.3984938427568223</v>
      </c>
      <c r="AD173" s="406">
        <f t="shared" si="110"/>
        <v>5.3972193909149935</v>
      </c>
      <c r="AE173" s="406">
        <f t="shared" si="111"/>
        <v>0.29129977153668818</v>
      </c>
      <c r="AF173" s="406">
        <f t="shared" si="127"/>
        <v>0.13230863999999995</v>
      </c>
      <c r="AG173" s="406">
        <f t="shared" si="112"/>
        <v>0.44431712799673395</v>
      </c>
      <c r="AH173" s="406">
        <f t="shared" si="113"/>
        <v>0</v>
      </c>
      <c r="AI173">
        <f t="shared" si="128"/>
        <v>0</v>
      </c>
      <c r="AJ173" s="407">
        <f t="shared" si="129"/>
        <v>0.49162958400000001</v>
      </c>
      <c r="AK173">
        <f t="shared" si="134"/>
        <v>0.06</v>
      </c>
      <c r="AL173" s="407">
        <f t="shared" si="130"/>
        <v>4.0337999999999999E-2</v>
      </c>
      <c r="AM173" s="407">
        <f t="shared" si="135"/>
        <v>0.13814789189189189</v>
      </c>
      <c r="AN173" s="407">
        <f t="shared" si="114"/>
        <v>0.100338</v>
      </c>
      <c r="AO173" s="407">
        <f t="shared" si="115"/>
        <v>3.7102659632120076</v>
      </c>
      <c r="AP173">
        <f t="shared" si="131"/>
        <v>103.32</v>
      </c>
      <c r="AQ173" s="10">
        <f t="shared" si="116"/>
        <v>0.96533442265305325</v>
      </c>
      <c r="AR173" s="63">
        <f t="shared" si="117"/>
        <v>131.91716135162523</v>
      </c>
      <c r="AS173" s="63">
        <f t="shared" si="118"/>
        <v>17.772685119869358</v>
      </c>
      <c r="AT173" s="10"/>
      <c r="AU173">
        <f t="shared" si="119"/>
        <v>96.533442265305325</v>
      </c>
    </row>
    <row r="174" spans="7:47" x14ac:dyDescent="0.2">
      <c r="G174">
        <v>165</v>
      </c>
      <c r="H174">
        <f t="shared" si="120"/>
        <v>7.4249999999999998</v>
      </c>
      <c r="I174" s="406">
        <f t="shared" ref="I174:I209" si="136">(Vout+Rdcr*H174+RdsonBot*H174)/(Vin-RdsonTop*H174+RdsonBot*H174)</f>
        <v>0.47428970818323135</v>
      </c>
      <c r="J174" s="407">
        <f t="shared" si="121"/>
        <v>3.3613728432546517</v>
      </c>
      <c r="K174" s="407">
        <f t="shared" si="132"/>
        <v>9.1056864216273254</v>
      </c>
      <c r="L174" s="407">
        <f t="shared" ref="L174:L209" si="137">H174-J174/2</f>
        <v>5.7443135783726742</v>
      </c>
      <c r="M174" s="63">
        <f t="shared" si="122"/>
        <v>0</v>
      </c>
      <c r="N174" s="406">
        <f t="shared" ref="N174:N209" si="138">SQRT(H174^2+(J174^2)/12)</f>
        <v>7.4881368810459668</v>
      </c>
      <c r="O174" s="406">
        <f t="shared" ref="O174:O209" si="139">(N174^2*Rdcr*(1+Ltc*Ta-Ltc*25))/(1-N174^2*Rdcr*Ltc*ThetaCa)</f>
        <v>4.9539085345557371E-2</v>
      </c>
      <c r="P174">
        <f t="shared" si="123"/>
        <v>0.2</v>
      </c>
      <c r="Q174" s="406">
        <f t="shared" si="133"/>
        <v>0.24953908534555738</v>
      </c>
      <c r="R174" s="9">
        <f t="shared" ref="R174:R209" si="140">J174/(2*SQRT(3))</f>
        <v>0.97034475794988551</v>
      </c>
      <c r="S174" s="9">
        <f t="shared" ref="S174:S209" si="141">RCoutEsr*R174^2</f>
        <v>2.6363930579863015E-4</v>
      </c>
      <c r="T174" s="9">
        <f t="shared" ref="T174:T209" si="142">S174</f>
        <v>2.6363930579863015E-4</v>
      </c>
      <c r="U174" s="406">
        <f t="shared" ref="U174:U209" si="143">SQRT(I174)*SQRT(H174^2+(J174^2)/12)</f>
        <v>5.1569821121851831</v>
      </c>
      <c r="V174" s="408">
        <f t="shared" ref="V174:V209" si="144">RCinEsr*U174^2</f>
        <v>2.6594464505397951E-2</v>
      </c>
      <c r="W174" s="406">
        <f t="shared" ref="W174:W209" si="145">V174</f>
        <v>2.6594464505397951E-2</v>
      </c>
      <c r="X174" s="406">
        <f t="shared" ref="X174:X209" si="146">SQRT(I174)*SQRT(H174^2+(J174^2)/12)</f>
        <v>5.1569821121851831</v>
      </c>
      <c r="Y174" s="406">
        <f t="shared" ref="Y174:Y209" si="147">RdsonTop*X174^2</f>
        <v>1.3829121542806935</v>
      </c>
      <c r="Z174" s="406">
        <f t="shared" si="124"/>
        <v>0.18957687618911115</v>
      </c>
      <c r="AA174" s="406">
        <f t="shared" si="125"/>
        <v>0.1228566</v>
      </c>
      <c r="AB174" s="406">
        <f t="shared" si="126"/>
        <v>0</v>
      </c>
      <c r="AC174" s="406">
        <f t="shared" ref="AC174:AC209" si="148">(AB174+AA174+Z174+Y174*(1+RdsonTopTc*Ta-RdsonTopTc*25))/(1-Y174*RdsonTopTc*ThetaJaTop)</f>
        <v>2.436684018415693</v>
      </c>
      <c r="AD174" s="406">
        <f t="shared" ref="AD174:AD209" si="149">SQRT(1-I174)*SQRT(H174^2+(J174^2)/12)</f>
        <v>5.4293396876492146</v>
      </c>
      <c r="AE174" s="406">
        <f t="shared" ref="AE174:AE209" si="150">RdsonBot*AD174^2</f>
        <v>0.29477729443882872</v>
      </c>
      <c r="AF174" s="406">
        <f t="shared" si="127"/>
        <v>0.13311539999999997</v>
      </c>
      <c r="AG174" s="406">
        <f t="shared" ref="AG174:AG209" si="151">(AF174+AE174*(1+RdsonBotTc*Ta-RdsonBotTc*25))/(1-AE174*RdsonBotTc*ThetaJaBot)</f>
        <v>0.44907293521454839</v>
      </c>
      <c r="AH174" s="406">
        <f t="shared" ref="AH174:AH209" si="152">IF(RDSON_sense=1, 0, AD174^2*Rshunt)</f>
        <v>0</v>
      </c>
      <c r="AI174">
        <f t="shared" si="128"/>
        <v>0</v>
      </c>
      <c r="AJ174" s="407">
        <f t="shared" si="129"/>
        <v>0.49159074000000003</v>
      </c>
      <c r="AK174">
        <f t="shared" si="134"/>
        <v>0.06</v>
      </c>
      <c r="AL174" s="407">
        <f t="shared" si="130"/>
        <v>4.0337999999999999E-2</v>
      </c>
      <c r="AM174" s="407">
        <f t="shared" si="135"/>
        <v>0.13814789189189189</v>
      </c>
      <c r="AN174" s="407">
        <f t="shared" ref="AN174:AN209" si="153">SUM(AK174:AL174)</f>
        <v>0.100338</v>
      </c>
      <c r="AO174" s="407">
        <f t="shared" ref="AO174:AO209" si="154">SUM(Q174,T174,W174,AC174,AJ174,AI174,AG174,AN174, AH174)</f>
        <v>3.754082882786995</v>
      </c>
      <c r="AP174">
        <f t="shared" si="131"/>
        <v>103.95</v>
      </c>
      <c r="AQ174" s="10">
        <f t="shared" ref="AQ174:AQ209" si="155">AP174/(AP174+AO174)</f>
        <v>0.96514447008594362</v>
      </c>
      <c r="AR174" s="63">
        <f t="shared" ref="AR174:AR209" si="156">ThetaJaTop*AC174</f>
        <v>134.01762101286312</v>
      </c>
      <c r="AS174" s="63">
        <f t="shared" ref="AS174:AS209" si="157">AG174*ThetaJaBot</f>
        <v>17.962917408581937</v>
      </c>
      <c r="AT174" s="10"/>
      <c r="AU174">
        <f t="shared" ref="AU174:AU209" si="158">AQ174*100</f>
        <v>96.51444700859436</v>
      </c>
    </row>
    <row r="175" spans="7:47" x14ac:dyDescent="0.2">
      <c r="G175">
        <v>166</v>
      </c>
      <c r="H175">
        <f t="shared" si="120"/>
        <v>7.47</v>
      </c>
      <c r="I175" s="406">
        <f t="shared" si="136"/>
        <v>0.47433639670339067</v>
      </c>
      <c r="J175" s="407">
        <f t="shared" si="121"/>
        <v>3.3617037328376376</v>
      </c>
      <c r="K175" s="407">
        <f t="shared" si="132"/>
        <v>9.1508518664188188</v>
      </c>
      <c r="L175" s="407">
        <f t="shared" si="137"/>
        <v>5.7891481335811807</v>
      </c>
      <c r="M175" s="63">
        <f t="shared" si="122"/>
        <v>0</v>
      </c>
      <c r="N175" s="406">
        <f t="shared" si="138"/>
        <v>7.5327720217912608</v>
      </c>
      <c r="O175" s="406">
        <f t="shared" si="139"/>
        <v>5.0133804462048889E-2</v>
      </c>
      <c r="P175">
        <f t="shared" si="123"/>
        <v>0.2</v>
      </c>
      <c r="Q175" s="406">
        <f t="shared" si="133"/>
        <v>0.25013380446204891</v>
      </c>
      <c r="R175" s="9">
        <f t="shared" si="140"/>
        <v>0.97044027754479001</v>
      </c>
      <c r="S175" s="9">
        <f t="shared" si="141"/>
        <v>2.6369121303873859E-4</v>
      </c>
      <c r="T175" s="9">
        <f t="shared" si="142"/>
        <v>2.6369121303873859E-4</v>
      </c>
      <c r="U175" s="406">
        <f t="shared" si="143"/>
        <v>5.1879770812292829</v>
      </c>
      <c r="V175" s="408">
        <f t="shared" si="144"/>
        <v>2.6915106195360309E-2</v>
      </c>
      <c r="W175" s="406">
        <f t="shared" si="145"/>
        <v>2.6915106195360309E-2</v>
      </c>
      <c r="X175" s="406">
        <f t="shared" si="146"/>
        <v>5.1879770812292829</v>
      </c>
      <c r="Y175" s="406">
        <f t="shared" si="147"/>
        <v>1.3995855221587361</v>
      </c>
      <c r="Z175" s="406">
        <f t="shared" si="124"/>
        <v>0.19083424336227492</v>
      </c>
      <c r="AA175" s="406">
        <f t="shared" si="125"/>
        <v>0.1228566</v>
      </c>
      <c r="AB175" s="406">
        <f t="shared" si="126"/>
        <v>0</v>
      </c>
      <c r="AC175" s="406">
        <f t="shared" si="148"/>
        <v>2.4755066996141264</v>
      </c>
      <c r="AD175" s="406">
        <f t="shared" si="149"/>
        <v>5.4614602568288362</v>
      </c>
      <c r="AE175" s="406">
        <f t="shared" si="150"/>
        <v>0.29827548136920895</v>
      </c>
      <c r="AF175" s="406">
        <f t="shared" si="127"/>
        <v>0.13392215999999996</v>
      </c>
      <c r="AG175" s="406">
        <f t="shared" si="151"/>
        <v>0.4538575752459359</v>
      </c>
      <c r="AH175" s="406">
        <f t="shared" si="152"/>
        <v>0</v>
      </c>
      <c r="AI175">
        <f t="shared" si="128"/>
        <v>0</v>
      </c>
      <c r="AJ175" s="407">
        <f t="shared" si="129"/>
        <v>0.49155189600000004</v>
      </c>
      <c r="AK175">
        <f t="shared" si="134"/>
        <v>0.06</v>
      </c>
      <c r="AL175" s="407">
        <f t="shared" si="130"/>
        <v>4.0337999999999999E-2</v>
      </c>
      <c r="AM175" s="407">
        <f t="shared" si="135"/>
        <v>0.13814789189189189</v>
      </c>
      <c r="AN175" s="407">
        <f t="shared" si="153"/>
        <v>0.100338</v>
      </c>
      <c r="AO175" s="407">
        <f t="shared" si="154"/>
        <v>3.7985667727305104</v>
      </c>
      <c r="AP175">
        <f t="shared" si="131"/>
        <v>104.58</v>
      </c>
      <c r="AQ175" s="10">
        <f t="shared" si="155"/>
        <v>0.9649509410777124</v>
      </c>
      <c r="AR175" s="63">
        <f t="shared" si="156"/>
        <v>136.15286847877695</v>
      </c>
      <c r="AS175" s="63">
        <f t="shared" si="157"/>
        <v>18.154303009837435</v>
      </c>
      <c r="AT175" s="10"/>
      <c r="AU175">
        <f t="shared" si="158"/>
        <v>96.495094107771237</v>
      </c>
    </row>
    <row r="176" spans="7:47" x14ac:dyDescent="0.2">
      <c r="G176">
        <v>167</v>
      </c>
      <c r="H176">
        <f t="shared" si="120"/>
        <v>7.5149999999999997</v>
      </c>
      <c r="I176" s="406">
        <f t="shared" si="136"/>
        <v>0.47438309116885419</v>
      </c>
      <c r="J176" s="407">
        <f t="shared" si="121"/>
        <v>3.3620346645560182</v>
      </c>
      <c r="K176" s="407">
        <f t="shared" si="132"/>
        <v>9.196017332278009</v>
      </c>
      <c r="L176" s="407">
        <f t="shared" si="137"/>
        <v>5.8339826677219904</v>
      </c>
      <c r="M176" s="63">
        <f t="shared" si="122"/>
        <v>0</v>
      </c>
      <c r="N176" s="406">
        <f t="shared" si="138"/>
        <v>7.5774114813133702</v>
      </c>
      <c r="O176" s="406">
        <f t="shared" si="139"/>
        <v>5.0732172972680747E-2</v>
      </c>
      <c r="P176">
        <f t="shared" si="123"/>
        <v>0.2</v>
      </c>
      <c r="Q176" s="406">
        <f t="shared" si="133"/>
        <v>0.25073217297268074</v>
      </c>
      <c r="R176" s="9">
        <f t="shared" si="140"/>
        <v>0.97053580930313521</v>
      </c>
      <c r="S176" s="9">
        <f t="shared" si="141"/>
        <v>2.6374313199911366E-4</v>
      </c>
      <c r="T176" s="9">
        <f t="shared" si="142"/>
        <v>2.6374313199911366E-4</v>
      </c>
      <c r="U176" s="406">
        <f t="shared" si="143"/>
        <v>5.2189780708145648</v>
      </c>
      <c r="V176" s="408">
        <f t="shared" si="144"/>
        <v>2.7237732103643317E-2</v>
      </c>
      <c r="W176" s="406">
        <f t="shared" si="145"/>
        <v>2.7237732103643317E-2</v>
      </c>
      <c r="X176" s="406">
        <f t="shared" si="146"/>
        <v>5.2189780708145648</v>
      </c>
      <c r="Y176" s="406">
        <f t="shared" si="147"/>
        <v>1.4163620693894525</v>
      </c>
      <c r="Z176" s="406">
        <f t="shared" si="124"/>
        <v>0.19209161030749827</v>
      </c>
      <c r="AA176" s="406">
        <f t="shared" si="125"/>
        <v>0.1228566</v>
      </c>
      <c r="AB176" s="406">
        <f t="shared" si="126"/>
        <v>0</v>
      </c>
      <c r="AC176" s="406">
        <f t="shared" si="148"/>
        <v>2.5149759045590376</v>
      </c>
      <c r="AD176" s="406">
        <f t="shared" si="149"/>
        <v>5.4935810409510086</v>
      </c>
      <c r="AE176" s="406">
        <f t="shared" si="150"/>
        <v>0.30179432653496369</v>
      </c>
      <c r="AF176" s="406">
        <f t="shared" si="127"/>
        <v>0.13472891999999997</v>
      </c>
      <c r="AG176" s="406">
        <f t="shared" si="151"/>
        <v>0.45867114229327094</v>
      </c>
      <c r="AH176" s="406">
        <f t="shared" si="152"/>
        <v>0</v>
      </c>
      <c r="AI176">
        <f t="shared" si="128"/>
        <v>0</v>
      </c>
      <c r="AJ176" s="407">
        <f t="shared" si="129"/>
        <v>0.49151305200000001</v>
      </c>
      <c r="AK176">
        <f t="shared" si="134"/>
        <v>0.06</v>
      </c>
      <c r="AL176" s="407">
        <f t="shared" si="130"/>
        <v>4.0337999999999999E-2</v>
      </c>
      <c r="AM176" s="407">
        <f t="shared" si="135"/>
        <v>0.13814789189189189</v>
      </c>
      <c r="AN176" s="407">
        <f t="shared" si="153"/>
        <v>0.100338</v>
      </c>
      <c r="AO176" s="407">
        <f t="shared" si="154"/>
        <v>3.8437317470606316</v>
      </c>
      <c r="AP176">
        <f t="shared" si="131"/>
        <v>105.21</v>
      </c>
      <c r="AQ176" s="10">
        <f t="shared" si="155"/>
        <v>0.96475378067780582</v>
      </c>
      <c r="AR176" s="63">
        <f t="shared" si="156"/>
        <v>138.32367475074707</v>
      </c>
      <c r="AS176" s="63">
        <f t="shared" si="157"/>
        <v>18.346845691730838</v>
      </c>
      <c r="AT176" s="10"/>
      <c r="AU176">
        <f t="shared" si="158"/>
        <v>96.475378067780582</v>
      </c>
    </row>
    <row r="177" spans="7:47" x14ac:dyDescent="0.2">
      <c r="G177">
        <v>168</v>
      </c>
      <c r="H177">
        <f t="shared" si="120"/>
        <v>7.56</v>
      </c>
      <c r="I177" s="406">
        <f t="shared" si="136"/>
        <v>0.47442979158075732</v>
      </c>
      <c r="J177" s="407">
        <f t="shared" si="121"/>
        <v>3.3623656384178404</v>
      </c>
      <c r="K177" s="407">
        <f t="shared" si="132"/>
        <v>9.2411828192089196</v>
      </c>
      <c r="L177" s="407">
        <f t="shared" si="137"/>
        <v>5.8788171807910796</v>
      </c>
      <c r="M177" s="63">
        <f t="shared" si="122"/>
        <v>0</v>
      </c>
      <c r="N177" s="406">
        <f t="shared" si="138"/>
        <v>7.6220551837327806</v>
      </c>
      <c r="O177" s="406">
        <f t="shared" si="139"/>
        <v>5.1334191913406158E-2</v>
      </c>
      <c r="P177">
        <f t="shared" si="123"/>
        <v>0.2</v>
      </c>
      <c r="Q177" s="406">
        <f t="shared" si="133"/>
        <v>0.25133419191340617</v>
      </c>
      <c r="R177" s="9">
        <f t="shared" si="140"/>
        <v>0.97063135322724403</v>
      </c>
      <c r="S177" s="9">
        <f t="shared" si="141"/>
        <v>2.637950626829703E-4</v>
      </c>
      <c r="T177" s="9">
        <f t="shared" si="142"/>
        <v>2.637950626829703E-4</v>
      </c>
      <c r="U177" s="406">
        <f t="shared" si="143"/>
        <v>5.2499850294731818</v>
      </c>
      <c r="V177" s="408">
        <f t="shared" si="144"/>
        <v>2.7562342809692525E-2</v>
      </c>
      <c r="W177" s="406">
        <f t="shared" si="145"/>
        <v>2.7562342809692525E-2</v>
      </c>
      <c r="X177" s="406">
        <f t="shared" si="146"/>
        <v>5.2499850294731818</v>
      </c>
      <c r="Y177" s="406">
        <f t="shared" si="147"/>
        <v>1.4332418261040112</v>
      </c>
      <c r="Z177" s="406">
        <f t="shared" si="124"/>
        <v>0.19334897702473777</v>
      </c>
      <c r="AA177" s="406">
        <f t="shared" si="125"/>
        <v>0.1228566</v>
      </c>
      <c r="AB177" s="406">
        <f t="shared" si="126"/>
        <v>0</v>
      </c>
      <c r="AC177" s="406">
        <f t="shared" si="148"/>
        <v>2.5551060829301786</v>
      </c>
      <c r="AD177" s="406">
        <f t="shared" si="149"/>
        <v>5.5257019838365533</v>
      </c>
      <c r="AE177" s="406">
        <f t="shared" si="150"/>
        <v>0.3053338241417522</v>
      </c>
      <c r="AF177" s="406">
        <f t="shared" si="127"/>
        <v>0.13553567999999996</v>
      </c>
      <c r="AG177" s="406">
        <f t="shared" si="151"/>
        <v>0.46351373136408985</v>
      </c>
      <c r="AH177" s="406">
        <f t="shared" si="152"/>
        <v>0</v>
      </c>
      <c r="AI177">
        <f t="shared" si="128"/>
        <v>0</v>
      </c>
      <c r="AJ177" s="407">
        <f t="shared" si="129"/>
        <v>0.49147420800000002</v>
      </c>
      <c r="AK177">
        <f t="shared" si="134"/>
        <v>0.06</v>
      </c>
      <c r="AL177" s="407">
        <f t="shared" si="130"/>
        <v>4.0337999999999999E-2</v>
      </c>
      <c r="AM177" s="407">
        <f t="shared" si="135"/>
        <v>0.13814789189189189</v>
      </c>
      <c r="AN177" s="407">
        <f t="shared" si="153"/>
        <v>0.100338</v>
      </c>
      <c r="AO177" s="407">
        <f t="shared" si="154"/>
        <v>3.8895923520800504</v>
      </c>
      <c r="AP177">
        <f t="shared" si="131"/>
        <v>105.83999999999999</v>
      </c>
      <c r="AQ177" s="10">
        <f t="shared" si="155"/>
        <v>0.96455293172328715</v>
      </c>
      <c r="AR177" s="63">
        <f t="shared" si="156"/>
        <v>140.53083456115982</v>
      </c>
      <c r="AS177" s="63">
        <f t="shared" si="157"/>
        <v>18.540549254563594</v>
      </c>
      <c r="AT177" s="10"/>
      <c r="AU177">
        <f t="shared" si="158"/>
        <v>96.455293172328709</v>
      </c>
    </row>
    <row r="178" spans="7:47" x14ac:dyDescent="0.2">
      <c r="G178">
        <v>169</v>
      </c>
      <c r="H178">
        <f t="shared" si="120"/>
        <v>7.6049999999999995</v>
      </c>
      <c r="I178" s="406">
        <f t="shared" si="136"/>
        <v>0.47447649794023639</v>
      </c>
      <c r="J178" s="407">
        <f t="shared" si="121"/>
        <v>3.3626966544311578</v>
      </c>
      <c r="K178" s="407">
        <f t="shared" si="132"/>
        <v>9.2863483272155776</v>
      </c>
      <c r="L178" s="407">
        <f t="shared" si="137"/>
        <v>5.9236516727844206</v>
      </c>
      <c r="M178" s="63">
        <f t="shared" si="122"/>
        <v>0</v>
      </c>
      <c r="N178" s="406">
        <f t="shared" si="138"/>
        <v>7.6667030549302524</v>
      </c>
      <c r="O178" s="406">
        <f t="shared" si="139"/>
        <v>5.1939862326647331E-2</v>
      </c>
      <c r="P178">
        <f t="shared" si="123"/>
        <v>0.2</v>
      </c>
      <c r="Q178" s="406">
        <f t="shared" si="133"/>
        <v>0.25193986232664733</v>
      </c>
      <c r="R178" s="9">
        <f t="shared" si="140"/>
        <v>0.9707269093194415</v>
      </c>
      <c r="S178" s="9">
        <f t="shared" si="141"/>
        <v>2.638470050935251E-4</v>
      </c>
      <c r="T178" s="9">
        <f t="shared" si="142"/>
        <v>2.638470050935251E-4</v>
      </c>
      <c r="U178" s="406">
        <f t="shared" si="143"/>
        <v>5.2809979069396604</v>
      </c>
      <c r="V178" s="408">
        <f t="shared" si="144"/>
        <v>2.7888938893101074E-2</v>
      </c>
      <c r="W178" s="406">
        <f t="shared" si="145"/>
        <v>2.7888938893101074E-2</v>
      </c>
      <c r="X178" s="406">
        <f t="shared" si="146"/>
        <v>5.2809979069396604</v>
      </c>
      <c r="Y178" s="406">
        <f t="shared" si="147"/>
        <v>1.4502248224412557</v>
      </c>
      <c r="Z178" s="406">
        <f t="shared" si="124"/>
        <v>0.19460634351394979</v>
      </c>
      <c r="AA178" s="406">
        <f t="shared" si="125"/>
        <v>0.1228566</v>
      </c>
      <c r="AB178" s="406">
        <f t="shared" si="126"/>
        <v>0</v>
      </c>
      <c r="AC178" s="406">
        <f t="shared" si="148"/>
        <v>2.5959121324549841</v>
      </c>
      <c r="AD178" s="406">
        <f t="shared" si="149"/>
        <v>5.5578230305917247</v>
      </c>
      <c r="AE178" s="406">
        <f t="shared" si="150"/>
        <v>0.30889396839375788</v>
      </c>
      <c r="AF178" s="406">
        <f t="shared" si="127"/>
        <v>0.13634243999999995</v>
      </c>
      <c r="AG178" s="406">
        <f t="shared" si="151"/>
        <v>0.46838543827648976</v>
      </c>
      <c r="AH178" s="406">
        <f t="shared" si="152"/>
        <v>0</v>
      </c>
      <c r="AI178">
        <f t="shared" si="128"/>
        <v>0</v>
      </c>
      <c r="AJ178" s="407">
        <f t="shared" si="129"/>
        <v>0.49143536399999999</v>
      </c>
      <c r="AK178">
        <f t="shared" si="134"/>
        <v>0.06</v>
      </c>
      <c r="AL178" s="407">
        <f t="shared" si="130"/>
        <v>4.0337999999999999E-2</v>
      </c>
      <c r="AM178" s="407">
        <f t="shared" si="135"/>
        <v>0.13814789189189189</v>
      </c>
      <c r="AN178" s="407">
        <f t="shared" si="153"/>
        <v>0.100338</v>
      </c>
      <c r="AO178" s="407">
        <f t="shared" si="154"/>
        <v>3.9361635829563157</v>
      </c>
      <c r="AP178">
        <f t="shared" si="131"/>
        <v>106.47</v>
      </c>
      <c r="AQ178" s="10">
        <f t="shared" si="155"/>
        <v>0.96434833477391158</v>
      </c>
      <c r="AR178" s="63">
        <f t="shared" si="156"/>
        <v>142.77516728502411</v>
      </c>
      <c r="AS178" s="63">
        <f t="shared" si="157"/>
        <v>18.735417531059589</v>
      </c>
      <c r="AT178" s="10"/>
      <c r="AU178">
        <f t="shared" si="158"/>
        <v>96.434833477391152</v>
      </c>
    </row>
    <row r="179" spans="7:47" x14ac:dyDescent="0.2">
      <c r="G179">
        <v>170</v>
      </c>
      <c r="H179">
        <f t="shared" si="120"/>
        <v>7.6499999999999995</v>
      </c>
      <c r="I179" s="406">
        <f t="shared" si="136"/>
        <v>0.47452321024842731</v>
      </c>
      <c r="J179" s="407">
        <f t="shared" si="121"/>
        <v>3.3630277126040204</v>
      </c>
      <c r="K179" s="407">
        <f t="shared" si="132"/>
        <v>9.3315138563020099</v>
      </c>
      <c r="L179" s="407">
        <f t="shared" si="137"/>
        <v>5.968486143697989</v>
      </c>
      <c r="M179" s="63">
        <f t="shared" si="122"/>
        <v>0</v>
      </c>
      <c r="N179" s="406">
        <f t="shared" si="138"/>
        <v>7.7113550224962761</v>
      </c>
      <c r="O179" s="406">
        <f t="shared" si="139"/>
        <v>5.2549185261300195E-2</v>
      </c>
      <c r="P179">
        <f t="shared" si="123"/>
        <v>0.2</v>
      </c>
      <c r="Q179" s="406">
        <f t="shared" si="133"/>
        <v>0.25254918526130021</v>
      </c>
      <c r="R179" s="9">
        <f t="shared" si="140"/>
        <v>0.97082247758205131</v>
      </c>
      <c r="S179" s="9">
        <f t="shared" si="141"/>
        <v>2.6389895923399474E-4</v>
      </c>
      <c r="T179" s="9">
        <f t="shared" si="142"/>
        <v>2.6389895923399474E-4</v>
      </c>
      <c r="U179" s="406">
        <f t="shared" si="143"/>
        <v>5.3120166541163796</v>
      </c>
      <c r="V179" s="408">
        <f t="shared" si="144"/>
        <v>2.8217520933609776E-2</v>
      </c>
      <c r="W179" s="406">
        <f t="shared" si="145"/>
        <v>2.8217520933609776E-2</v>
      </c>
      <c r="X179" s="406">
        <f t="shared" si="146"/>
        <v>5.3120166541163796</v>
      </c>
      <c r="Y179" s="406">
        <f t="shared" si="147"/>
        <v>1.4673110885477083</v>
      </c>
      <c r="Z179" s="406">
        <f t="shared" si="124"/>
        <v>0.19586370977509079</v>
      </c>
      <c r="AA179" s="406">
        <f t="shared" si="125"/>
        <v>0.1228566</v>
      </c>
      <c r="AB179" s="406">
        <f t="shared" si="126"/>
        <v>0</v>
      </c>
      <c r="AC179" s="406">
        <f t="shared" si="148"/>
        <v>2.6374094162553559</v>
      </c>
      <c r="AD179" s="406">
        <f t="shared" si="149"/>
        <v>5.5899441275712913</v>
      </c>
      <c r="AE179" s="406">
        <f t="shared" si="150"/>
        <v>0.3124747534936877</v>
      </c>
      <c r="AF179" s="406">
        <f t="shared" si="127"/>
        <v>0.13714919999999997</v>
      </c>
      <c r="AG179" s="406">
        <f t="shared" si="151"/>
        <v>0.47328635966458626</v>
      </c>
      <c r="AH179" s="406">
        <f t="shared" si="152"/>
        <v>0</v>
      </c>
      <c r="AI179">
        <f t="shared" si="128"/>
        <v>0</v>
      </c>
      <c r="AJ179" s="407">
        <f t="shared" si="129"/>
        <v>0.49139652</v>
      </c>
      <c r="AK179">
        <f t="shared" si="134"/>
        <v>0.06</v>
      </c>
      <c r="AL179" s="407">
        <f t="shared" si="130"/>
        <v>4.0337999999999999E-2</v>
      </c>
      <c r="AM179" s="407">
        <f t="shared" si="135"/>
        <v>0.13814789189189189</v>
      </c>
      <c r="AN179" s="407">
        <f t="shared" si="153"/>
        <v>0.100338</v>
      </c>
      <c r="AO179" s="407">
        <f t="shared" si="154"/>
        <v>3.983460901074086</v>
      </c>
      <c r="AP179">
        <f t="shared" si="131"/>
        <v>107.1</v>
      </c>
      <c r="AQ179" s="10">
        <f t="shared" si="155"/>
        <v>0.96413992804363946</v>
      </c>
      <c r="AR179" s="63">
        <f t="shared" si="156"/>
        <v>145.05751789404457</v>
      </c>
      <c r="AS179" s="63">
        <f t="shared" si="157"/>
        <v>18.93145438658345</v>
      </c>
      <c r="AT179" s="10"/>
      <c r="AU179">
        <f t="shared" si="158"/>
        <v>96.413992804363943</v>
      </c>
    </row>
    <row r="180" spans="7:47" x14ac:dyDescent="0.2">
      <c r="G180">
        <v>171</v>
      </c>
      <c r="H180">
        <f t="shared" si="120"/>
        <v>7.6950000000000003</v>
      </c>
      <c r="I180" s="406">
        <f t="shared" si="136"/>
        <v>0.47456992850646684</v>
      </c>
      <c r="J180" s="407">
        <f t="shared" si="121"/>
        <v>3.3633588129444849</v>
      </c>
      <c r="K180" s="407">
        <f t="shared" si="132"/>
        <v>9.3766794064722419</v>
      </c>
      <c r="L180" s="407">
        <f t="shared" si="137"/>
        <v>6.0133205935277578</v>
      </c>
      <c r="M180" s="63">
        <f t="shared" si="122"/>
        <v>0</v>
      </c>
      <c r="N180" s="406">
        <f t="shared" si="138"/>
        <v>7.7560110156822422</v>
      </c>
      <c r="O180" s="406">
        <f t="shared" si="139"/>
        <v>5.316216177273874E-2</v>
      </c>
      <c r="P180">
        <f t="shared" si="123"/>
        <v>0.2</v>
      </c>
      <c r="Q180" s="406">
        <f t="shared" si="133"/>
        <v>0.25316216177273876</v>
      </c>
      <c r="R180" s="9">
        <f t="shared" si="140"/>
        <v>0.97091805801739928</v>
      </c>
      <c r="S180" s="9">
        <f t="shared" si="141"/>
        <v>2.6395092510759783E-4</v>
      </c>
      <c r="T180" s="9">
        <f t="shared" si="142"/>
        <v>2.6395092510759783E-4</v>
      </c>
      <c r="U180" s="406">
        <f t="shared" si="143"/>
        <v>5.3430412230402169</v>
      </c>
      <c r="V180" s="408">
        <f t="shared" si="144"/>
        <v>2.8548089511107096E-2</v>
      </c>
      <c r="W180" s="406">
        <f t="shared" si="145"/>
        <v>2.8548089511107096E-2</v>
      </c>
      <c r="X180" s="406">
        <f t="shared" si="146"/>
        <v>5.3430412230402169</v>
      </c>
      <c r="Y180" s="406">
        <f t="shared" si="147"/>
        <v>1.484500654577569</v>
      </c>
      <c r="Z180" s="406">
        <f t="shared" si="124"/>
        <v>0.19712107580811722</v>
      </c>
      <c r="AA180" s="406">
        <f t="shared" si="125"/>
        <v>0.1228566</v>
      </c>
      <c r="AB180" s="406">
        <f t="shared" si="126"/>
        <v>0</v>
      </c>
      <c r="AC180" s="406">
        <f t="shared" si="148"/>
        <v>2.6796137810086016</v>
      </c>
      <c r="AD180" s="406">
        <f t="shared" si="149"/>
        <v>5.6220652223428704</v>
      </c>
      <c r="AE180" s="406">
        <f t="shared" si="150"/>
        <v>0.31607617364277191</v>
      </c>
      <c r="AF180" s="406">
        <f t="shared" si="127"/>
        <v>0.13795595999999996</v>
      </c>
      <c r="AG180" s="406">
        <f t="shared" si="151"/>
        <v>0.47821659298403196</v>
      </c>
      <c r="AH180" s="406">
        <f t="shared" si="152"/>
        <v>0</v>
      </c>
      <c r="AI180">
        <f t="shared" si="128"/>
        <v>0</v>
      </c>
      <c r="AJ180" s="407">
        <f t="shared" si="129"/>
        <v>0.49135767600000002</v>
      </c>
      <c r="AK180">
        <f t="shared" si="134"/>
        <v>0.06</v>
      </c>
      <c r="AL180" s="407">
        <f t="shared" si="130"/>
        <v>4.0337999999999999E-2</v>
      </c>
      <c r="AM180" s="407">
        <f t="shared" si="135"/>
        <v>0.13814789189189189</v>
      </c>
      <c r="AN180" s="407">
        <f t="shared" si="153"/>
        <v>0.100338</v>
      </c>
      <c r="AO180" s="407">
        <f t="shared" si="154"/>
        <v>4.031500252201587</v>
      </c>
      <c r="AP180">
        <f t="shared" si="131"/>
        <v>107.73</v>
      </c>
      <c r="AQ180" s="10">
        <f t="shared" si="155"/>
        <v>0.9639276473284264</v>
      </c>
      <c r="AR180" s="63">
        <f t="shared" si="156"/>
        <v>147.37875795547308</v>
      </c>
      <c r="AS180" s="63">
        <f t="shared" si="157"/>
        <v>19.128663719361278</v>
      </c>
      <c r="AT180" s="10"/>
      <c r="AU180">
        <f t="shared" si="158"/>
        <v>96.392764732842636</v>
      </c>
    </row>
    <row r="181" spans="7:47" x14ac:dyDescent="0.2">
      <c r="G181">
        <v>172</v>
      </c>
      <c r="H181">
        <f t="shared" si="120"/>
        <v>7.74</v>
      </c>
      <c r="I181" s="406">
        <f t="shared" si="136"/>
        <v>0.47461665271549175</v>
      </c>
      <c r="J181" s="407">
        <f t="shared" si="121"/>
        <v>3.3636899554606075</v>
      </c>
      <c r="K181" s="407">
        <f t="shared" si="132"/>
        <v>9.4218449777303039</v>
      </c>
      <c r="L181" s="407">
        <f t="shared" si="137"/>
        <v>6.0581550222696965</v>
      </c>
      <c r="M181" s="63">
        <f t="shared" si="122"/>
        <v>0</v>
      </c>
      <c r="N181" s="406">
        <f t="shared" si="138"/>
        <v>7.8006709653532722</v>
      </c>
      <c r="O181" s="406">
        <f t="shared" si="139"/>
        <v>5.3778792922819757E-2</v>
      </c>
      <c r="P181">
        <f t="shared" si="123"/>
        <v>0.2</v>
      </c>
      <c r="Q181" s="406">
        <f t="shared" si="133"/>
        <v>0.2537787929228198</v>
      </c>
      <c r="R181" s="9">
        <f t="shared" si="140"/>
        <v>0.97101365062781109</v>
      </c>
      <c r="S181" s="9">
        <f t="shared" si="141"/>
        <v>2.640029027175537E-4</v>
      </c>
      <c r="T181" s="9">
        <f t="shared" si="142"/>
        <v>2.640029027175537E-4</v>
      </c>
      <c r="U181" s="406">
        <f t="shared" si="143"/>
        <v>5.3740715668503363</v>
      </c>
      <c r="V181" s="408">
        <f t="shared" si="144"/>
        <v>2.8880645205629229E-2</v>
      </c>
      <c r="W181" s="406">
        <f t="shared" si="145"/>
        <v>2.8880645205629229E-2</v>
      </c>
      <c r="X181" s="406">
        <f t="shared" si="146"/>
        <v>5.3740715668503363</v>
      </c>
      <c r="Y181" s="406">
        <f t="shared" si="147"/>
        <v>1.5017935506927198</v>
      </c>
      <c r="Z181" s="406">
        <f t="shared" si="124"/>
        <v>0.19837844161298548</v>
      </c>
      <c r="AA181" s="406">
        <f t="shared" si="125"/>
        <v>0.1228566</v>
      </c>
      <c r="AB181" s="406">
        <f t="shared" si="126"/>
        <v>0</v>
      </c>
      <c r="AC181" s="406">
        <f t="shared" si="148"/>
        <v>2.7225415759674672</v>
      </c>
      <c r="AD181" s="406">
        <f t="shared" si="149"/>
        <v>5.6541862636524733</v>
      </c>
      <c r="AE181" s="406">
        <f t="shared" si="150"/>
        <v>0.31969822304076317</v>
      </c>
      <c r="AF181" s="406">
        <f t="shared" si="127"/>
        <v>0.13876271999999998</v>
      </c>
      <c r="AG181" s="406">
        <f t="shared" si="151"/>
        <v>0.48317623651759489</v>
      </c>
      <c r="AH181" s="406">
        <f t="shared" si="152"/>
        <v>0</v>
      </c>
      <c r="AI181">
        <f t="shared" si="128"/>
        <v>0</v>
      </c>
      <c r="AJ181" s="407">
        <f t="shared" si="129"/>
        <v>0.49131883199999998</v>
      </c>
      <c r="AK181">
        <f t="shared" si="134"/>
        <v>0.06</v>
      </c>
      <c r="AL181" s="407">
        <f t="shared" si="130"/>
        <v>4.0337999999999999E-2</v>
      </c>
      <c r="AM181" s="407">
        <f t="shared" si="135"/>
        <v>0.13814789189189189</v>
      </c>
      <c r="AN181" s="407">
        <f t="shared" si="153"/>
        <v>0.100338</v>
      </c>
      <c r="AO181" s="407">
        <f t="shared" si="154"/>
        <v>4.0802980855162287</v>
      </c>
      <c r="AP181">
        <f t="shared" si="131"/>
        <v>108.36</v>
      </c>
      <c r="AQ181" s="10">
        <f t="shared" si="155"/>
        <v>0.96371142593011472</v>
      </c>
      <c r="AR181" s="63">
        <f t="shared" si="156"/>
        <v>149.73978667821069</v>
      </c>
      <c r="AS181" s="63">
        <f t="shared" si="157"/>
        <v>19.327049460703797</v>
      </c>
      <c r="AT181" s="10"/>
      <c r="AU181">
        <f t="shared" si="158"/>
        <v>96.37114259301147</v>
      </c>
    </row>
    <row r="182" spans="7:47" x14ac:dyDescent="0.2">
      <c r="G182">
        <v>173</v>
      </c>
      <c r="H182">
        <f t="shared" si="120"/>
        <v>7.7850000000000001</v>
      </c>
      <c r="I182" s="406">
        <f t="shared" si="136"/>
        <v>0.47466338287663917</v>
      </c>
      <c r="J182" s="407">
        <f t="shared" si="121"/>
        <v>3.3640211401604478</v>
      </c>
      <c r="K182" s="407">
        <f t="shared" si="132"/>
        <v>9.4670105700802232</v>
      </c>
      <c r="L182" s="407">
        <f t="shared" si="137"/>
        <v>6.1029894299197762</v>
      </c>
      <c r="M182" s="63">
        <f t="shared" si="122"/>
        <v>0</v>
      </c>
      <c r="N182" s="406">
        <f t="shared" si="138"/>
        <v>7.8453348039426505</v>
      </c>
      <c r="O182" s="406">
        <f t="shared" si="139"/>
        <v>5.4399079779887428E-2</v>
      </c>
      <c r="P182">
        <f t="shared" si="123"/>
        <v>0.2</v>
      </c>
      <c r="Q182" s="406">
        <f t="shared" si="133"/>
        <v>0.25439907977988746</v>
      </c>
      <c r="R182" s="9">
        <f t="shared" si="140"/>
        <v>0.97110925541561322</v>
      </c>
      <c r="S182" s="9">
        <f t="shared" si="141"/>
        <v>2.640548920670827E-4</v>
      </c>
      <c r="T182" s="9">
        <f t="shared" si="142"/>
        <v>2.640548920670827E-4</v>
      </c>
      <c r="U182" s="406">
        <f t="shared" si="143"/>
        <v>5.4051076397570652</v>
      </c>
      <c r="V182" s="408">
        <f t="shared" si="144"/>
        <v>2.9215188597360192E-2</v>
      </c>
      <c r="W182" s="406">
        <f t="shared" si="145"/>
        <v>2.9215188597360192E-2</v>
      </c>
      <c r="X182" s="406">
        <f t="shared" si="146"/>
        <v>5.4051076397570652</v>
      </c>
      <c r="Y182" s="406">
        <f t="shared" si="147"/>
        <v>1.5191898070627299</v>
      </c>
      <c r="Z182" s="406">
        <f t="shared" si="124"/>
        <v>0.1996358071896519</v>
      </c>
      <c r="AA182" s="406">
        <f t="shared" si="125"/>
        <v>0.1228566</v>
      </c>
      <c r="AB182" s="406">
        <f t="shared" si="126"/>
        <v>0</v>
      </c>
      <c r="AC182" s="406">
        <f t="shared" si="148"/>
        <v>2.7662096728869985</v>
      </c>
      <c r="AD182" s="406">
        <f t="shared" si="149"/>
        <v>5.6863072013912221</v>
      </c>
      <c r="AE182" s="406">
        <f t="shared" si="150"/>
        <v>0.32334089588593673</v>
      </c>
      <c r="AF182" s="406">
        <f t="shared" si="127"/>
        <v>0.13956947999999997</v>
      </c>
      <c r="AG182" s="406">
        <f t="shared" si="151"/>
        <v>0.4881653893807999</v>
      </c>
      <c r="AH182" s="406">
        <f t="shared" si="152"/>
        <v>0</v>
      </c>
      <c r="AI182">
        <f t="shared" si="128"/>
        <v>0</v>
      </c>
      <c r="AJ182" s="407">
        <f t="shared" si="129"/>
        <v>0.491279988</v>
      </c>
      <c r="AK182">
        <f t="shared" si="134"/>
        <v>0.06</v>
      </c>
      <c r="AL182" s="407">
        <f t="shared" si="130"/>
        <v>4.0337999999999999E-2</v>
      </c>
      <c r="AM182" s="407">
        <f t="shared" si="135"/>
        <v>0.13814789189189189</v>
      </c>
      <c r="AN182" s="407">
        <f t="shared" si="153"/>
        <v>0.100338</v>
      </c>
      <c r="AO182" s="407">
        <f t="shared" si="154"/>
        <v>4.1298713735371129</v>
      </c>
      <c r="AP182">
        <f t="shared" si="131"/>
        <v>108.99000000000001</v>
      </c>
      <c r="AQ182" s="10">
        <f t="shared" si="155"/>
        <v>0.96349119457624099</v>
      </c>
      <c r="AR182" s="63">
        <f t="shared" si="156"/>
        <v>152.14153200878491</v>
      </c>
      <c r="AS182" s="63">
        <f t="shared" si="157"/>
        <v>19.526615575231997</v>
      </c>
      <c r="AT182" s="10"/>
      <c r="AU182">
        <f t="shared" si="158"/>
        <v>96.349119457624099</v>
      </c>
    </row>
    <row r="183" spans="7:47" x14ac:dyDescent="0.2">
      <c r="G183">
        <v>174</v>
      </c>
      <c r="H183">
        <f t="shared" si="120"/>
        <v>7.83</v>
      </c>
      <c r="I183" s="406">
        <f t="shared" si="136"/>
        <v>0.47471011899104654</v>
      </c>
      <c r="J183" s="407">
        <f t="shared" si="121"/>
        <v>3.3643523670520663</v>
      </c>
      <c r="K183" s="407">
        <f t="shared" si="132"/>
        <v>9.5121761835260337</v>
      </c>
      <c r="L183" s="407">
        <f t="shared" si="137"/>
        <v>6.1478238164739665</v>
      </c>
      <c r="M183" s="63">
        <f t="shared" si="122"/>
        <v>0</v>
      </c>
      <c r="N183" s="406">
        <f t="shared" si="138"/>
        <v>7.8900024654077727</v>
      </c>
      <c r="O183" s="406">
        <f t="shared" si="139"/>
        <v>5.5023023418777968E-2</v>
      </c>
      <c r="P183">
        <f t="shared" si="123"/>
        <v>0.2</v>
      </c>
      <c r="Q183" s="406">
        <f t="shared" si="133"/>
        <v>0.25502302341877797</v>
      </c>
      <c r="R183" s="9">
        <f t="shared" si="140"/>
        <v>0.97120487238313258</v>
      </c>
      <c r="S183" s="9">
        <f t="shared" si="141"/>
        <v>2.6410689315940636E-4</v>
      </c>
      <c r="T183" s="9">
        <f t="shared" si="142"/>
        <v>2.6410689315940636E-4</v>
      </c>
      <c r="U183" s="406">
        <f t="shared" si="143"/>
        <v>5.4361493970118042</v>
      </c>
      <c r="V183" s="408">
        <f t="shared" si="144"/>
        <v>2.9551720266631804E-2</v>
      </c>
      <c r="W183" s="406">
        <f t="shared" si="145"/>
        <v>2.9551720266631804E-2</v>
      </c>
      <c r="X183" s="406">
        <f t="shared" si="146"/>
        <v>5.4361493970118042</v>
      </c>
      <c r="Y183" s="406">
        <f t="shared" si="147"/>
        <v>1.5366894538648537</v>
      </c>
      <c r="Z183" s="406">
        <f t="shared" si="124"/>
        <v>0.20089317253807298</v>
      </c>
      <c r="AA183" s="406">
        <f t="shared" si="125"/>
        <v>0.1228566</v>
      </c>
      <c r="AB183" s="406">
        <f t="shared" si="126"/>
        <v>0</v>
      </c>
      <c r="AC183" s="406">
        <f t="shared" si="148"/>
        <v>2.810635486909042</v>
      </c>
      <c r="AD183" s="406">
        <f t="shared" si="149"/>
        <v>5.7184279865631717</v>
      </c>
      <c r="AE183" s="406">
        <f t="shared" si="150"/>
        <v>0.32700418637508932</v>
      </c>
      <c r="AF183" s="406">
        <f t="shared" si="127"/>
        <v>0.14037623999999996</v>
      </c>
      <c r="AG183" s="406">
        <f t="shared" si="151"/>
        <v>0.49318415152763029</v>
      </c>
      <c r="AH183" s="406">
        <f t="shared" si="152"/>
        <v>0</v>
      </c>
      <c r="AI183">
        <f t="shared" si="128"/>
        <v>0</v>
      </c>
      <c r="AJ183" s="407">
        <f t="shared" si="129"/>
        <v>0.49124114399999996</v>
      </c>
      <c r="AK183">
        <f t="shared" si="134"/>
        <v>0.06</v>
      </c>
      <c r="AL183" s="407">
        <f t="shared" si="130"/>
        <v>4.0337999999999999E-2</v>
      </c>
      <c r="AM183" s="407">
        <f t="shared" si="135"/>
        <v>0.13814789189189189</v>
      </c>
      <c r="AN183" s="407">
        <f t="shared" si="153"/>
        <v>0.100338</v>
      </c>
      <c r="AO183" s="407">
        <f t="shared" si="154"/>
        <v>4.1802376330152411</v>
      </c>
      <c r="AP183">
        <f t="shared" si="131"/>
        <v>109.62</v>
      </c>
      <c r="AQ183" s="10">
        <f t="shared" si="155"/>
        <v>0.96326688133555805</v>
      </c>
      <c r="AR183" s="63">
        <f t="shared" si="156"/>
        <v>154.58495177999731</v>
      </c>
      <c r="AS183" s="63">
        <f t="shared" si="157"/>
        <v>19.727366061105212</v>
      </c>
      <c r="AT183" s="10"/>
      <c r="AU183">
        <f t="shared" si="158"/>
        <v>96.326688133555805</v>
      </c>
    </row>
    <row r="184" spans="7:47" x14ac:dyDescent="0.2">
      <c r="G184">
        <v>175</v>
      </c>
      <c r="H184">
        <f t="shared" si="120"/>
        <v>7.875</v>
      </c>
      <c r="I184" s="406">
        <f t="shared" si="136"/>
        <v>0.47475686105985154</v>
      </c>
      <c r="J184" s="407">
        <f t="shared" si="121"/>
        <v>3.3646836361435262</v>
      </c>
      <c r="K184" s="407">
        <f t="shared" si="132"/>
        <v>9.5573418180717624</v>
      </c>
      <c r="L184" s="407">
        <f t="shared" si="137"/>
        <v>6.1926581819282367</v>
      </c>
      <c r="M184" s="63">
        <f t="shared" si="122"/>
        <v>0</v>
      </c>
      <c r="N184" s="406">
        <f t="shared" si="138"/>
        <v>7.934673885187574</v>
      </c>
      <c r="O184" s="406">
        <f t="shared" si="139"/>
        <v>5.5650624920824329E-2</v>
      </c>
      <c r="P184">
        <f t="shared" si="123"/>
        <v>0.2</v>
      </c>
      <c r="Q184" s="406">
        <f t="shared" si="133"/>
        <v>0.25565062492082435</v>
      </c>
      <c r="R184" s="9">
        <f t="shared" si="140"/>
        <v>0.97130050153269687</v>
      </c>
      <c r="S184" s="9">
        <f t="shared" si="141"/>
        <v>2.6415890599774722E-4</v>
      </c>
      <c r="T184" s="9">
        <f t="shared" si="142"/>
        <v>2.6415890599774722E-4</v>
      </c>
      <c r="U184" s="406">
        <f t="shared" si="143"/>
        <v>5.4671967948779532</v>
      </c>
      <c r="V184" s="408">
        <f t="shared" si="144"/>
        <v>2.9890240793923762E-2</v>
      </c>
      <c r="W184" s="406">
        <f t="shared" si="145"/>
        <v>2.9890240793923762E-2</v>
      </c>
      <c r="X184" s="406">
        <f t="shared" si="146"/>
        <v>5.4671967948779532</v>
      </c>
      <c r="Y184" s="406">
        <f t="shared" si="147"/>
        <v>1.5542925212840355</v>
      </c>
      <c r="Z184" s="406">
        <f t="shared" si="124"/>
        <v>0.20215053765820504</v>
      </c>
      <c r="AA184" s="406">
        <f t="shared" si="125"/>
        <v>0.1228566</v>
      </c>
      <c r="AB184" s="406">
        <f t="shared" si="126"/>
        <v>0</v>
      </c>
      <c r="AC184" s="406">
        <f t="shared" si="148"/>
        <v>2.8558369984585084</v>
      </c>
      <c r="AD184" s="406">
        <f t="shared" si="149"/>
        <v>5.7505485712542148</v>
      </c>
      <c r="AE184" s="406">
        <f t="shared" si="150"/>
        <v>0.33068808870353894</v>
      </c>
      <c r="AF184" s="406">
        <f t="shared" si="127"/>
        <v>0.14118299999999998</v>
      </c>
      <c r="AG184" s="406">
        <f t="shared" si="151"/>
        <v>0.49823262375629379</v>
      </c>
      <c r="AH184" s="406">
        <f t="shared" si="152"/>
        <v>0</v>
      </c>
      <c r="AI184">
        <f t="shared" si="128"/>
        <v>0</v>
      </c>
      <c r="AJ184" s="407">
        <f t="shared" si="129"/>
        <v>0.49120229999999998</v>
      </c>
      <c r="AK184">
        <f t="shared" si="134"/>
        <v>0.06</v>
      </c>
      <c r="AL184" s="407">
        <f t="shared" si="130"/>
        <v>4.0337999999999999E-2</v>
      </c>
      <c r="AM184" s="407">
        <f t="shared" si="135"/>
        <v>0.13814789189189189</v>
      </c>
      <c r="AN184" s="407">
        <f t="shared" si="153"/>
        <v>0.100338</v>
      </c>
      <c r="AO184" s="407">
        <f t="shared" si="154"/>
        <v>4.2314149468355478</v>
      </c>
      <c r="AP184">
        <f t="shared" si="131"/>
        <v>110.25</v>
      </c>
      <c r="AQ184" s="10">
        <f t="shared" si="155"/>
        <v>0.96303841152906278</v>
      </c>
      <c r="AR184" s="63">
        <f t="shared" si="156"/>
        <v>157.07103491521795</v>
      </c>
      <c r="AS184" s="63">
        <f t="shared" si="157"/>
        <v>19.929304950251751</v>
      </c>
      <c r="AT184" s="10"/>
      <c r="AU184">
        <f t="shared" si="158"/>
        <v>96.303841152906273</v>
      </c>
    </row>
    <row r="185" spans="7:47" x14ac:dyDescent="0.2">
      <c r="G185">
        <v>176</v>
      </c>
      <c r="H185">
        <f t="shared" si="120"/>
        <v>7.92</v>
      </c>
      <c r="I185" s="406">
        <f t="shared" si="136"/>
        <v>0.47480360908419222</v>
      </c>
      <c r="J185" s="407">
        <f t="shared" si="121"/>
        <v>3.365014947442893</v>
      </c>
      <c r="K185" s="407">
        <f t="shared" si="132"/>
        <v>9.6025074737214471</v>
      </c>
      <c r="L185" s="407">
        <f t="shared" si="137"/>
        <v>6.2374925262785537</v>
      </c>
      <c r="M185" s="63">
        <f t="shared" si="122"/>
        <v>0</v>
      </c>
      <c r="N185" s="406">
        <f t="shared" si="138"/>
        <v>7.9793490001613643</v>
      </c>
      <c r="O185" s="406">
        <f t="shared" si="139"/>
        <v>5.6281885373860828E-2</v>
      </c>
      <c r="P185">
        <f t="shared" si="123"/>
        <v>0.2</v>
      </c>
      <c r="Q185" s="406">
        <f t="shared" si="133"/>
        <v>0.25628188537386082</v>
      </c>
      <c r="R185" s="9">
        <f t="shared" si="140"/>
        <v>0.97139614286663434</v>
      </c>
      <c r="S185" s="9">
        <f t="shared" si="141"/>
        <v>2.6421093058532892E-4</v>
      </c>
      <c r="T185" s="9">
        <f t="shared" si="142"/>
        <v>2.6421093058532892E-4</v>
      </c>
      <c r="U185" s="406">
        <f t="shared" si="143"/>
        <v>5.4982497906027961</v>
      </c>
      <c r="V185" s="408">
        <f t="shared" si="144"/>
        <v>3.0230750759863693E-2</v>
      </c>
      <c r="W185" s="406">
        <f t="shared" si="145"/>
        <v>3.0230750759863693E-2</v>
      </c>
      <c r="X185" s="406">
        <f t="shared" si="146"/>
        <v>5.4982497906027961</v>
      </c>
      <c r="Y185" s="406">
        <f t="shared" si="147"/>
        <v>1.571999039512912</v>
      </c>
      <c r="Z185" s="406">
        <f t="shared" si="124"/>
        <v>0.20340790255000449</v>
      </c>
      <c r="AA185" s="406">
        <f t="shared" si="125"/>
        <v>0.1228566</v>
      </c>
      <c r="AB185" s="406">
        <f t="shared" si="126"/>
        <v>0</v>
      </c>
      <c r="AC185" s="406">
        <f t="shared" si="148"/>
        <v>2.9018327762089937</v>
      </c>
      <c r="AD185" s="406">
        <f t="shared" si="149"/>
        <v>5.7826689086020187</v>
      </c>
      <c r="AE185" s="406">
        <f t="shared" si="150"/>
        <v>0.33439259706512459</v>
      </c>
      <c r="AF185" s="406">
        <f t="shared" si="127"/>
        <v>0.14198975999999996</v>
      </c>
      <c r="AG185" s="406">
        <f t="shared" si="151"/>
        <v>0.50331090771505116</v>
      </c>
      <c r="AH185" s="406">
        <f t="shared" si="152"/>
        <v>0</v>
      </c>
      <c r="AI185">
        <f t="shared" si="128"/>
        <v>0</v>
      </c>
      <c r="AJ185" s="407">
        <f t="shared" si="129"/>
        <v>0.491163456</v>
      </c>
      <c r="AK185">
        <f t="shared" si="134"/>
        <v>0.06</v>
      </c>
      <c r="AL185" s="407">
        <f t="shared" si="130"/>
        <v>4.0337999999999999E-2</v>
      </c>
      <c r="AM185" s="407">
        <f t="shared" si="135"/>
        <v>0.13814789189189189</v>
      </c>
      <c r="AN185" s="407">
        <f t="shared" si="153"/>
        <v>0.100338</v>
      </c>
      <c r="AO185" s="407">
        <f t="shared" si="154"/>
        <v>4.2834219869883547</v>
      </c>
      <c r="AP185">
        <f t="shared" si="131"/>
        <v>110.88</v>
      </c>
      <c r="AQ185" s="10">
        <f t="shared" si="155"/>
        <v>0.96280570763629869</v>
      </c>
      <c r="AR185" s="63">
        <f t="shared" si="156"/>
        <v>159.60080269149466</v>
      </c>
      <c r="AS185" s="63">
        <f t="shared" si="157"/>
        <v>20.132436308602045</v>
      </c>
      <c r="AT185" s="10"/>
      <c r="AU185">
        <f t="shared" si="158"/>
        <v>96.280570763629868</v>
      </c>
    </row>
    <row r="186" spans="7:47" x14ac:dyDescent="0.2">
      <c r="G186">
        <v>177</v>
      </c>
      <c r="H186">
        <f t="shared" si="120"/>
        <v>7.9649999999999999</v>
      </c>
      <c r="I186" s="406">
        <f t="shared" si="136"/>
        <v>0.47485036306520678</v>
      </c>
      <c r="J186" s="407">
        <f t="shared" si="121"/>
        <v>3.3653463009582336</v>
      </c>
      <c r="K186" s="407">
        <f t="shared" si="132"/>
        <v>9.6476731504791164</v>
      </c>
      <c r="L186" s="407">
        <f t="shared" si="137"/>
        <v>6.2823268495208833</v>
      </c>
      <c r="M186" s="63">
        <f t="shared" si="122"/>
        <v>0</v>
      </c>
      <c r="N186" s="406">
        <f t="shared" si="138"/>
        <v>8.0240277486090346</v>
      </c>
      <c r="O186" s="406">
        <f t="shared" si="139"/>
        <v>5.6916805872228068E-2</v>
      </c>
      <c r="P186">
        <f t="shared" si="123"/>
        <v>0.2</v>
      </c>
      <c r="Q186" s="406">
        <f t="shared" si="133"/>
        <v>0.25691680587222809</v>
      </c>
      <c r="R186" s="9">
        <f t="shared" si="140"/>
        <v>0.97149179638727379</v>
      </c>
      <c r="S186" s="9">
        <f t="shared" si="141"/>
        <v>2.6426296692537627E-4</v>
      </c>
      <c r="T186" s="9">
        <f t="shared" si="142"/>
        <v>2.6426296692537627E-4</v>
      </c>
      <c r="U186" s="406">
        <f t="shared" si="143"/>
        <v>5.5293083423903209</v>
      </c>
      <c r="V186" s="408">
        <f t="shared" si="144"/>
        <v>3.0573250745227199E-2</v>
      </c>
      <c r="W186" s="406">
        <f t="shared" si="145"/>
        <v>3.0573250745227199E-2</v>
      </c>
      <c r="X186" s="406">
        <f t="shared" si="146"/>
        <v>5.5293083423903209</v>
      </c>
      <c r="Y186" s="406">
        <f t="shared" si="147"/>
        <v>1.5898090387518142</v>
      </c>
      <c r="Z186" s="406">
        <f t="shared" si="124"/>
        <v>0.20466526721342762</v>
      </c>
      <c r="AA186" s="406">
        <f t="shared" si="125"/>
        <v>0.1228566</v>
      </c>
      <c r="AB186" s="406">
        <f t="shared" si="126"/>
        <v>0</v>
      </c>
      <c r="AC186" s="406">
        <f t="shared" si="148"/>
        <v>2.9486420011791794</v>
      </c>
      <c r="AD186" s="406">
        <f t="shared" si="149"/>
        <v>5.8147889527669507</v>
      </c>
      <c r="AE186" s="406">
        <f t="shared" si="150"/>
        <v>0.33811770565220572</v>
      </c>
      <c r="AF186" s="406">
        <f t="shared" si="127"/>
        <v>0.14279651999999995</v>
      </c>
      <c r="AG186" s="406">
        <f t="shared" si="151"/>
        <v>0.5084191059081089</v>
      </c>
      <c r="AH186" s="406">
        <f t="shared" si="152"/>
        <v>0</v>
      </c>
      <c r="AI186">
        <f t="shared" si="128"/>
        <v>0</v>
      </c>
      <c r="AJ186" s="407">
        <f t="shared" si="129"/>
        <v>0.49112461199999996</v>
      </c>
      <c r="AK186">
        <f t="shared" si="134"/>
        <v>0.06</v>
      </c>
      <c r="AL186" s="407">
        <f t="shared" si="130"/>
        <v>4.0337999999999999E-2</v>
      </c>
      <c r="AM186" s="407">
        <f t="shared" si="135"/>
        <v>0.13814789189189189</v>
      </c>
      <c r="AN186" s="407">
        <f t="shared" si="153"/>
        <v>0.100338</v>
      </c>
      <c r="AO186" s="407">
        <f t="shared" si="154"/>
        <v>4.3362780386716695</v>
      </c>
      <c r="AP186">
        <f t="shared" si="131"/>
        <v>111.50999999999999</v>
      </c>
      <c r="AQ186" s="10">
        <f t="shared" si="155"/>
        <v>0.96256868919669447</v>
      </c>
      <c r="AR186" s="63">
        <f t="shared" si="156"/>
        <v>162.17531006485487</v>
      </c>
      <c r="AS186" s="63">
        <f t="shared" si="157"/>
        <v>20.336764236324356</v>
      </c>
      <c r="AT186" s="10"/>
      <c r="AU186">
        <f t="shared" si="158"/>
        <v>96.256868919669444</v>
      </c>
    </row>
    <row r="187" spans="7:47" x14ac:dyDescent="0.2">
      <c r="G187">
        <v>178</v>
      </c>
      <c r="H187">
        <f t="shared" si="120"/>
        <v>8.01</v>
      </c>
      <c r="I187" s="406">
        <f t="shared" si="136"/>
        <v>0.47489712300403386</v>
      </c>
      <c r="J187" s="407">
        <f t="shared" si="121"/>
        <v>3.3656776966976176</v>
      </c>
      <c r="K187" s="407">
        <f t="shared" si="132"/>
        <v>9.6928388483488082</v>
      </c>
      <c r="L187" s="407">
        <f t="shared" si="137"/>
        <v>6.3271611516511914</v>
      </c>
      <c r="M187" s="63">
        <f t="shared" si="122"/>
        <v>0</v>
      </c>
      <c r="N187" s="406">
        <f t="shared" si="138"/>
        <v>8.0687100701725534</v>
      </c>
      <c r="O187" s="406">
        <f t="shared" si="139"/>
        <v>5.7555387516777461E-2</v>
      </c>
      <c r="P187">
        <f t="shared" si="123"/>
        <v>0.2</v>
      </c>
      <c r="Q187" s="406">
        <f t="shared" si="133"/>
        <v>0.25755538751677748</v>
      </c>
      <c r="R187" s="9">
        <f t="shared" si="140"/>
        <v>0.97158746209694469</v>
      </c>
      <c r="S187" s="9">
        <f t="shared" si="141"/>
        <v>2.6431501502111499E-4</v>
      </c>
      <c r="T187" s="9">
        <f t="shared" si="142"/>
        <v>2.6431501502111499E-4</v>
      </c>
      <c r="U187" s="406">
        <f t="shared" si="143"/>
        <v>5.5603724093749216</v>
      </c>
      <c r="V187" s="408">
        <f t="shared" si="144"/>
        <v>3.0917741330937873E-2</v>
      </c>
      <c r="W187" s="406">
        <f t="shared" si="145"/>
        <v>3.0917741330937873E-2</v>
      </c>
      <c r="X187" s="406">
        <f t="shared" si="146"/>
        <v>5.5603724093749216</v>
      </c>
      <c r="Y187" s="406">
        <f t="shared" si="147"/>
        <v>1.6077225492087692</v>
      </c>
      <c r="Z187" s="406">
        <f t="shared" si="124"/>
        <v>0.20592263164843083</v>
      </c>
      <c r="AA187" s="406">
        <f t="shared" si="125"/>
        <v>0.1228566</v>
      </c>
      <c r="AB187" s="406">
        <f t="shared" si="126"/>
        <v>0</v>
      </c>
      <c r="AC187" s="406">
        <f t="shared" si="148"/>
        <v>2.9962844920254481</v>
      </c>
      <c r="AD187" s="406">
        <f t="shared" si="149"/>
        <v>5.8469086589039589</v>
      </c>
      <c r="AE187" s="406">
        <f t="shared" si="150"/>
        <v>0.34186340865566095</v>
      </c>
      <c r="AF187" s="406">
        <f t="shared" si="127"/>
        <v>0.14360327999999997</v>
      </c>
      <c r="AG187" s="406">
        <f t="shared" si="151"/>
        <v>0.51355732170157653</v>
      </c>
      <c r="AH187" s="406">
        <f t="shared" si="152"/>
        <v>0</v>
      </c>
      <c r="AI187">
        <f t="shared" si="128"/>
        <v>0</v>
      </c>
      <c r="AJ187" s="407">
        <f t="shared" si="129"/>
        <v>0.49108576800000003</v>
      </c>
      <c r="AK187">
        <f t="shared" si="134"/>
        <v>0.06</v>
      </c>
      <c r="AL187" s="407">
        <f t="shared" si="130"/>
        <v>4.0337999999999999E-2</v>
      </c>
      <c r="AM187" s="407">
        <f t="shared" si="135"/>
        <v>0.13814789189189189</v>
      </c>
      <c r="AN187" s="407">
        <f t="shared" si="153"/>
        <v>0.100338</v>
      </c>
      <c r="AO187" s="407">
        <f t="shared" si="154"/>
        <v>4.3900030255897606</v>
      </c>
      <c r="AP187">
        <f t="shared" si="131"/>
        <v>112.14</v>
      </c>
      <c r="AQ187" s="10">
        <f t="shared" si="155"/>
        <v>0.96232727270567631</v>
      </c>
      <c r="AR187" s="63">
        <f t="shared" si="156"/>
        <v>164.79564706139965</v>
      </c>
      <c r="AS187" s="63">
        <f t="shared" si="157"/>
        <v>20.542292868063061</v>
      </c>
      <c r="AT187" s="10"/>
      <c r="AU187">
        <f t="shared" si="158"/>
        <v>96.232727270567636</v>
      </c>
    </row>
    <row r="188" spans="7:47" x14ac:dyDescent="0.2">
      <c r="G188">
        <v>179</v>
      </c>
      <c r="H188">
        <f t="shared" si="120"/>
        <v>8.0549999999999997</v>
      </c>
      <c r="I188" s="406">
        <f t="shared" si="136"/>
        <v>0.47494388890181244</v>
      </c>
      <c r="J188" s="407">
        <f t="shared" si="121"/>
        <v>3.3660091346691172</v>
      </c>
      <c r="K188" s="407">
        <f t="shared" si="132"/>
        <v>9.7380045673345581</v>
      </c>
      <c r="L188" s="407">
        <f t="shared" si="137"/>
        <v>6.3719954326654413</v>
      </c>
      <c r="M188" s="63">
        <f t="shared" si="122"/>
        <v>0</v>
      </c>
      <c r="N188" s="406">
        <f t="shared" si="138"/>
        <v>8.1133959058187415</v>
      </c>
      <c r="O188" s="406">
        <f t="shared" si="139"/>
        <v>5.8197631414876293E-2</v>
      </c>
      <c r="P188">
        <f t="shared" si="123"/>
        <v>0.2</v>
      </c>
      <c r="Q188" s="406">
        <f t="shared" si="133"/>
        <v>0.25819763141487628</v>
      </c>
      <c r="R188" s="9">
        <f t="shared" si="140"/>
        <v>0.97168313999797706</v>
      </c>
      <c r="S188" s="9">
        <f t="shared" si="141"/>
        <v>2.6436707487577192E-4</v>
      </c>
      <c r="T188" s="9">
        <f t="shared" si="142"/>
        <v>2.6436707487577192E-4</v>
      </c>
      <c r="U188" s="406">
        <f t="shared" si="143"/>
        <v>5.5914419515959768</v>
      </c>
      <c r="V188" s="408">
        <f t="shared" si="144"/>
        <v>3.1264223098067423E-2</v>
      </c>
      <c r="W188" s="406">
        <f t="shared" si="145"/>
        <v>3.1264223098067423E-2</v>
      </c>
      <c r="X188" s="406">
        <f t="shared" si="146"/>
        <v>5.5914419515959768</v>
      </c>
      <c r="Y188" s="406">
        <f t="shared" si="147"/>
        <v>1.625739601099506</v>
      </c>
      <c r="Z188" s="406">
        <f t="shared" si="124"/>
        <v>0.20717999585497043</v>
      </c>
      <c r="AA188" s="406">
        <f t="shared" si="125"/>
        <v>0.1228566</v>
      </c>
      <c r="AB188" s="406">
        <f t="shared" si="126"/>
        <v>0</v>
      </c>
      <c r="AC188" s="406">
        <f t="shared" si="148"/>
        <v>3.0447807316005959</v>
      </c>
      <c r="AD188" s="406">
        <f t="shared" si="149"/>
        <v>5.8790279831353827</v>
      </c>
      <c r="AE188" s="406">
        <f t="shared" si="150"/>
        <v>0.34562970026488887</v>
      </c>
      <c r="AF188" s="406">
        <f t="shared" si="127"/>
        <v>0.14441003999999996</v>
      </c>
      <c r="AG188" s="406">
        <f t="shared" si="151"/>
        <v>0.51872565932949022</v>
      </c>
      <c r="AH188" s="406">
        <f t="shared" si="152"/>
        <v>0</v>
      </c>
      <c r="AI188">
        <f t="shared" si="128"/>
        <v>0</v>
      </c>
      <c r="AJ188" s="407">
        <f t="shared" si="129"/>
        <v>0.49104692400000005</v>
      </c>
      <c r="AK188">
        <f t="shared" si="134"/>
        <v>0.06</v>
      </c>
      <c r="AL188" s="407">
        <f t="shared" si="130"/>
        <v>4.0337999999999999E-2</v>
      </c>
      <c r="AM188" s="407">
        <f t="shared" si="135"/>
        <v>0.13814789189189189</v>
      </c>
      <c r="AN188" s="407">
        <f t="shared" si="153"/>
        <v>0.100338</v>
      </c>
      <c r="AO188" s="407">
        <f t="shared" si="154"/>
        <v>4.4446175365179057</v>
      </c>
      <c r="AP188">
        <f t="shared" si="131"/>
        <v>112.77</v>
      </c>
      <c r="AQ188" s="10">
        <f t="shared" si="155"/>
        <v>0.96208137150528006</v>
      </c>
      <c r="AR188" s="63">
        <f t="shared" si="156"/>
        <v>167.46294023803279</v>
      </c>
      <c r="AS188" s="63">
        <f t="shared" si="157"/>
        <v>20.749026373179611</v>
      </c>
      <c r="AT188" s="10"/>
      <c r="AU188">
        <f t="shared" si="158"/>
        <v>96.208137150528003</v>
      </c>
    </row>
    <row r="189" spans="7:47" x14ac:dyDescent="0.2">
      <c r="G189">
        <v>180</v>
      </c>
      <c r="H189">
        <f t="shared" si="120"/>
        <v>8.1</v>
      </c>
      <c r="I189" s="406">
        <f t="shared" si="136"/>
        <v>0.47499066075968144</v>
      </c>
      <c r="J189" s="407">
        <f t="shared" si="121"/>
        <v>3.3663406148808037</v>
      </c>
      <c r="K189" s="407">
        <f t="shared" si="132"/>
        <v>9.7831703074404022</v>
      </c>
      <c r="L189" s="407">
        <f t="shared" si="137"/>
        <v>6.416829692559598</v>
      </c>
      <c r="M189" s="63">
        <f t="shared" si="122"/>
        <v>0</v>
      </c>
      <c r="N189" s="406">
        <f t="shared" si="138"/>
        <v>8.1580851978032403</v>
      </c>
      <c r="O189" s="406">
        <f t="shared" si="139"/>
        <v>5.8843538680412324E-2</v>
      </c>
      <c r="P189">
        <f t="shared" si="123"/>
        <v>0.2</v>
      </c>
      <c r="Q189" s="406">
        <f t="shared" si="133"/>
        <v>0.25884353868041232</v>
      </c>
      <c r="R189" s="9">
        <f t="shared" si="140"/>
        <v>0.97177883009270127</v>
      </c>
      <c r="S189" s="9">
        <f t="shared" si="141"/>
        <v>2.6441914649257496E-4</v>
      </c>
      <c r="T189" s="9">
        <f t="shared" si="142"/>
        <v>2.6441914649257496E-4</v>
      </c>
      <c r="U189" s="406">
        <f t="shared" si="143"/>
        <v>5.6225169299732318</v>
      </c>
      <c r="V189" s="408">
        <f t="shared" si="144"/>
        <v>3.1612696627835613E-2</v>
      </c>
      <c r="W189" s="406">
        <f t="shared" si="145"/>
        <v>3.1612696627835613E-2</v>
      </c>
      <c r="X189" s="406">
        <f t="shared" si="146"/>
        <v>5.6225169299732318</v>
      </c>
      <c r="Y189" s="406">
        <f t="shared" si="147"/>
        <v>1.6438602246474519</v>
      </c>
      <c r="Z189" s="406">
        <f t="shared" si="124"/>
        <v>0.20843735983300282</v>
      </c>
      <c r="AA189" s="406">
        <f t="shared" si="125"/>
        <v>0.1228566</v>
      </c>
      <c r="AB189" s="406">
        <f t="shared" si="126"/>
        <v>0</v>
      </c>
      <c r="AC189" s="406">
        <f t="shared" si="148"/>
        <v>3.0941518948530957</v>
      </c>
      <c r="AD189" s="406">
        <f t="shared" si="149"/>
        <v>5.9111468825246352</v>
      </c>
      <c r="AE189" s="406">
        <f t="shared" si="150"/>
        <v>0.34941657466780712</v>
      </c>
      <c r="AF189" s="406">
        <f t="shared" si="127"/>
        <v>0.14521679999999995</v>
      </c>
      <c r="AG189" s="406">
        <f t="shared" si="151"/>
        <v>0.52392422389990201</v>
      </c>
      <c r="AH189" s="406">
        <f t="shared" si="152"/>
        <v>0</v>
      </c>
      <c r="AI189">
        <f t="shared" si="128"/>
        <v>0</v>
      </c>
      <c r="AJ189" s="407">
        <f t="shared" si="129"/>
        <v>0.49100808000000001</v>
      </c>
      <c r="AK189">
        <f t="shared" si="134"/>
        <v>0.06</v>
      </c>
      <c r="AL189" s="407">
        <f t="shared" si="130"/>
        <v>4.0337999999999999E-2</v>
      </c>
      <c r="AM189" s="407">
        <f t="shared" si="135"/>
        <v>0.13814789189189189</v>
      </c>
      <c r="AN189" s="407">
        <f t="shared" si="153"/>
        <v>0.100338</v>
      </c>
      <c r="AO189" s="407">
        <f t="shared" si="154"/>
        <v>4.5001428532077377</v>
      </c>
      <c r="AP189">
        <f t="shared" si="131"/>
        <v>113.39999999999999</v>
      </c>
      <c r="AQ189" s="10">
        <f t="shared" si="155"/>
        <v>0.9618308956689674</v>
      </c>
      <c r="AR189" s="63">
        <f t="shared" si="156"/>
        <v>170.17835421692027</v>
      </c>
      <c r="AS189" s="63">
        <f t="shared" si="157"/>
        <v>20.956968955996082</v>
      </c>
      <c r="AT189" s="10"/>
      <c r="AU189">
        <f t="shared" si="158"/>
        <v>96.18308956689674</v>
      </c>
    </row>
    <row r="190" spans="7:47" x14ac:dyDescent="0.2">
      <c r="G190">
        <v>181</v>
      </c>
      <c r="H190">
        <f t="shared" si="120"/>
        <v>8.1449999999999996</v>
      </c>
      <c r="I190" s="406">
        <f t="shared" si="136"/>
        <v>0.4750374385787805</v>
      </c>
      <c r="J190" s="407">
        <f t="shared" si="121"/>
        <v>3.3666721373407547</v>
      </c>
      <c r="K190" s="407">
        <f t="shared" si="132"/>
        <v>9.8283360686703762</v>
      </c>
      <c r="L190" s="407">
        <f t="shared" si="137"/>
        <v>6.461663931329622</v>
      </c>
      <c r="M190" s="63">
        <f t="shared" si="122"/>
        <v>0</v>
      </c>
      <c r="N190" s="406">
        <f t="shared" si="138"/>
        <v>8.2027778896356534</v>
      </c>
      <c r="O190" s="406">
        <f t="shared" si="139"/>
        <v>5.9493110433798797E-2</v>
      </c>
      <c r="P190">
        <f t="shared" si="123"/>
        <v>0.2</v>
      </c>
      <c r="Q190" s="406">
        <f t="shared" si="133"/>
        <v>0.2594931104337988</v>
      </c>
      <c r="R190" s="9">
        <f t="shared" si="140"/>
        <v>0.97187453238344879</v>
      </c>
      <c r="S190" s="9">
        <f t="shared" si="141"/>
        <v>2.6447122987475325E-4</v>
      </c>
      <c r="T190" s="9">
        <f t="shared" si="142"/>
        <v>2.6447122987475325E-4</v>
      </c>
      <c r="U190" s="406">
        <f t="shared" si="143"/>
        <v>5.6535973062830021</v>
      </c>
      <c r="V190" s="408">
        <f t="shared" si="144"/>
        <v>3.1963162501610416E-2</v>
      </c>
      <c r="W190" s="406">
        <f t="shared" si="145"/>
        <v>3.1963162501610416E-2</v>
      </c>
      <c r="X190" s="406">
        <f t="shared" si="146"/>
        <v>5.6535973062830021</v>
      </c>
      <c r="Y190" s="406">
        <f t="shared" si="147"/>
        <v>1.6620844500837415</v>
      </c>
      <c r="Z190" s="406">
        <f t="shared" si="124"/>
        <v>0.20969472358248423</v>
      </c>
      <c r="AA190" s="406">
        <f t="shared" si="125"/>
        <v>0.1228566</v>
      </c>
      <c r="AB190" s="406">
        <f t="shared" si="126"/>
        <v>0</v>
      </c>
      <c r="AC190" s="406">
        <f t="shared" si="148"/>
        <v>3.1444198781465915</v>
      </c>
      <c r="AD190" s="406">
        <f t="shared" si="149"/>
        <v>5.943265315050736</v>
      </c>
      <c r="AE190" s="406">
        <f t="shared" si="150"/>
        <v>0.35322402605085124</v>
      </c>
      <c r="AF190" s="406">
        <f t="shared" si="127"/>
        <v>0.14602355999999997</v>
      </c>
      <c r="AG190" s="406">
        <f t="shared" si="151"/>
        <v>0.52915312140103488</v>
      </c>
      <c r="AH190" s="406">
        <f t="shared" si="152"/>
        <v>0</v>
      </c>
      <c r="AI190">
        <f t="shared" si="128"/>
        <v>0</v>
      </c>
      <c r="AJ190" s="407">
        <f t="shared" si="129"/>
        <v>0.49096923600000003</v>
      </c>
      <c r="AK190">
        <f t="shared" si="134"/>
        <v>0.06</v>
      </c>
      <c r="AL190" s="407">
        <f t="shared" si="130"/>
        <v>4.0337999999999999E-2</v>
      </c>
      <c r="AM190" s="407">
        <f t="shared" si="135"/>
        <v>0.13814789189189189</v>
      </c>
      <c r="AN190" s="407">
        <f t="shared" si="153"/>
        <v>0.100338</v>
      </c>
      <c r="AO190" s="407">
        <f t="shared" si="154"/>
        <v>4.5566009797129103</v>
      </c>
      <c r="AP190">
        <f t="shared" si="131"/>
        <v>114.03</v>
      </c>
      <c r="AQ190" s="10">
        <f t="shared" si="155"/>
        <v>0.96157575188032895</v>
      </c>
      <c r="AR190" s="63">
        <f t="shared" si="156"/>
        <v>172.94309329806254</v>
      </c>
      <c r="AS190" s="63">
        <f t="shared" si="157"/>
        <v>21.166124856041396</v>
      </c>
      <c r="AT190" s="10"/>
      <c r="AU190">
        <f t="shared" si="158"/>
        <v>96.157575188032894</v>
      </c>
    </row>
    <row r="191" spans="7:47" x14ac:dyDescent="0.2">
      <c r="G191">
        <v>182</v>
      </c>
      <c r="H191">
        <f t="shared" si="120"/>
        <v>8.19</v>
      </c>
      <c r="I191" s="406">
        <f t="shared" si="136"/>
        <v>0.47508422236024922</v>
      </c>
      <c r="J191" s="407">
        <f t="shared" si="121"/>
        <v>3.3670037020570462</v>
      </c>
      <c r="K191" s="407">
        <f t="shared" si="132"/>
        <v>9.8735018510285233</v>
      </c>
      <c r="L191" s="407">
        <f t="shared" si="137"/>
        <v>6.5064981489714766</v>
      </c>
      <c r="M191" s="63">
        <f t="shared" si="122"/>
        <v>0</v>
      </c>
      <c r="N191" s="406">
        <f t="shared" si="138"/>
        <v>8.2474739260458101</v>
      </c>
      <c r="O191" s="406">
        <f t="shared" si="139"/>
        <v>6.014634780197925E-2</v>
      </c>
      <c r="P191">
        <f t="shared" si="123"/>
        <v>0.2</v>
      </c>
      <c r="Q191" s="406">
        <f t="shared" si="133"/>
        <v>0.26014634780197926</v>
      </c>
      <c r="R191" s="9">
        <f t="shared" si="140"/>
        <v>0.97197024687255118</v>
      </c>
      <c r="S191" s="9">
        <f t="shared" si="141"/>
        <v>2.6452332502553672E-4</v>
      </c>
      <c r="T191" s="9">
        <f t="shared" si="142"/>
        <v>2.6452332502553672E-4</v>
      </c>
      <c r="U191" s="406">
        <f t="shared" si="143"/>
        <v>5.6846830431351201</v>
      </c>
      <c r="V191" s="408">
        <f t="shared" si="144"/>
        <v>3.2315621300907968E-2</v>
      </c>
      <c r="W191" s="406">
        <f t="shared" si="145"/>
        <v>3.2315621300907968E-2</v>
      </c>
      <c r="X191" s="406">
        <f t="shared" si="146"/>
        <v>5.6846830431351201</v>
      </c>
      <c r="Y191" s="406">
        <f t="shared" si="147"/>
        <v>1.6804123076472144</v>
      </c>
      <c r="Z191" s="406">
        <f t="shared" si="124"/>
        <v>0.21095208710337096</v>
      </c>
      <c r="AA191" s="406">
        <f t="shared" si="125"/>
        <v>0.1228566</v>
      </c>
      <c r="AB191" s="406">
        <f t="shared" si="126"/>
        <v>0</v>
      </c>
      <c r="AC191" s="406">
        <f t="shared" si="148"/>
        <v>3.1956073300845764</v>
      </c>
      <c r="AD191" s="406">
        <f t="shared" si="149"/>
        <v>5.9753832395836772</v>
      </c>
      <c r="AE191" s="406">
        <f t="shared" si="150"/>
        <v>0.35705204859897521</v>
      </c>
      <c r="AF191" s="406">
        <f t="shared" si="127"/>
        <v>0.14683031999999996</v>
      </c>
      <c r="AG191" s="406">
        <f t="shared" si="151"/>
        <v>0.53441245870750809</v>
      </c>
      <c r="AH191" s="406">
        <f t="shared" si="152"/>
        <v>0</v>
      </c>
      <c r="AI191">
        <f t="shared" si="128"/>
        <v>0</v>
      </c>
      <c r="AJ191" s="407">
        <f t="shared" si="129"/>
        <v>0.49093039199999999</v>
      </c>
      <c r="AK191">
        <f t="shared" si="134"/>
        <v>0.06</v>
      </c>
      <c r="AL191" s="407">
        <f t="shared" si="130"/>
        <v>4.0337999999999999E-2</v>
      </c>
      <c r="AM191" s="407">
        <f t="shared" si="135"/>
        <v>0.13814789189189189</v>
      </c>
      <c r="AN191" s="407">
        <f t="shared" si="153"/>
        <v>0.100338</v>
      </c>
      <c r="AO191" s="407">
        <f t="shared" si="154"/>
        <v>4.6140146732199971</v>
      </c>
      <c r="AP191">
        <f t="shared" si="131"/>
        <v>114.66</v>
      </c>
      <c r="AQ191" s="10">
        <f t="shared" si="155"/>
        <v>0.96131584330534015</v>
      </c>
      <c r="AR191" s="63">
        <f t="shared" si="156"/>
        <v>175.75840315465172</v>
      </c>
      <c r="AS191" s="63">
        <f t="shared" si="157"/>
        <v>21.376498348300323</v>
      </c>
      <c r="AT191" s="10"/>
      <c r="AU191">
        <f t="shared" si="158"/>
        <v>96.131584330534011</v>
      </c>
    </row>
    <row r="192" spans="7:47" x14ac:dyDescent="0.2">
      <c r="G192">
        <v>183</v>
      </c>
      <c r="H192">
        <f t="shared" si="120"/>
        <v>8.2349999999999994</v>
      </c>
      <c r="I192" s="406">
        <f t="shared" si="136"/>
        <v>0.47513101210522785</v>
      </c>
      <c r="J192" s="407">
        <f t="shared" si="121"/>
        <v>3.3673353090377591</v>
      </c>
      <c r="K192" s="407">
        <f t="shared" si="132"/>
        <v>9.9186676545188792</v>
      </c>
      <c r="L192" s="407">
        <f t="shared" si="137"/>
        <v>6.5513323454811196</v>
      </c>
      <c r="M192" s="63">
        <f t="shared" si="122"/>
        <v>0</v>
      </c>
      <c r="N192" s="406">
        <f t="shared" si="138"/>
        <v>8.2921732529511036</v>
      </c>
      <c r="O192" s="406">
        <f t="shared" si="139"/>
        <v>6.0803251918432465E-2</v>
      </c>
      <c r="P192">
        <f t="shared" si="123"/>
        <v>0.2</v>
      </c>
      <c r="Q192" s="406">
        <f t="shared" si="133"/>
        <v>0.26080325191843245</v>
      </c>
      <c r="R192" s="9">
        <f t="shared" si="140"/>
        <v>0.97206597356234103</v>
      </c>
      <c r="S192" s="9">
        <f t="shared" si="141"/>
        <v>2.6457543194815657E-4</v>
      </c>
      <c r="T192" s="9">
        <f t="shared" si="142"/>
        <v>2.6457543194815657E-4</v>
      </c>
      <c r="U192" s="406">
        <f t="shared" si="143"/>
        <v>5.7157741039506353</v>
      </c>
      <c r="V192" s="408">
        <f t="shared" si="144"/>
        <v>3.2670073607392686E-2</v>
      </c>
      <c r="W192" s="406">
        <f t="shared" si="145"/>
        <v>3.2670073607392686E-2</v>
      </c>
      <c r="X192" s="406">
        <f t="shared" si="146"/>
        <v>5.7157741039506353</v>
      </c>
      <c r="Y192" s="406">
        <f t="shared" si="147"/>
        <v>1.6988438275844198</v>
      </c>
      <c r="Z192" s="406">
        <f t="shared" si="124"/>
        <v>0.21220945039561936</v>
      </c>
      <c r="AA192" s="406">
        <f t="shared" si="125"/>
        <v>0.1228566</v>
      </c>
      <c r="AB192" s="406">
        <f t="shared" si="126"/>
        <v>0</v>
      </c>
      <c r="AC192" s="406">
        <f t="shared" si="148"/>
        <v>3.2477376839312058</v>
      </c>
      <c r="AD192" s="406">
        <f t="shared" si="149"/>
        <v>6.0075006158605584</v>
      </c>
      <c r="AE192" s="406">
        <f t="shared" si="150"/>
        <v>0.36090063649564991</v>
      </c>
      <c r="AF192" s="406">
        <f t="shared" si="127"/>
        <v>0.14763707999999995</v>
      </c>
      <c r="AG192" s="406">
        <f t="shared" si="151"/>
        <v>0.53970234358662705</v>
      </c>
      <c r="AH192" s="406">
        <f t="shared" si="152"/>
        <v>0</v>
      </c>
      <c r="AI192">
        <f t="shared" si="128"/>
        <v>0</v>
      </c>
      <c r="AJ192" s="407">
        <f t="shared" si="129"/>
        <v>0.49089154800000001</v>
      </c>
      <c r="AK192">
        <f t="shared" si="134"/>
        <v>0.06</v>
      </c>
      <c r="AL192" s="407">
        <f t="shared" si="130"/>
        <v>4.0337999999999999E-2</v>
      </c>
      <c r="AM192" s="407">
        <f t="shared" si="135"/>
        <v>0.13814789189189189</v>
      </c>
      <c r="AN192" s="407">
        <f t="shared" si="153"/>
        <v>0.100338</v>
      </c>
      <c r="AO192" s="407">
        <f t="shared" si="154"/>
        <v>4.6724074764756054</v>
      </c>
      <c r="AP192">
        <f t="shared" si="131"/>
        <v>115.28999999999999</v>
      </c>
      <c r="AQ192" s="10">
        <f t="shared" si="155"/>
        <v>0.96105106945780616</v>
      </c>
      <c r="AR192" s="63">
        <f t="shared" si="156"/>
        <v>178.62557261621632</v>
      </c>
      <c r="AS192" s="63">
        <f t="shared" si="157"/>
        <v>21.58809374346508</v>
      </c>
      <c r="AT192" s="10"/>
      <c r="AU192">
        <f t="shared" si="158"/>
        <v>96.105106945780619</v>
      </c>
    </row>
    <row r="193" spans="7:47" x14ac:dyDescent="0.2">
      <c r="G193">
        <v>184</v>
      </c>
      <c r="H193">
        <f t="shared" si="120"/>
        <v>8.2800000000000011</v>
      </c>
      <c r="I193" s="406">
        <f t="shared" si="136"/>
        <v>0.47517780781485652</v>
      </c>
      <c r="J193" s="407">
        <f t="shared" si="121"/>
        <v>3.3676669582909744</v>
      </c>
      <c r="K193" s="407">
        <f t="shared" si="132"/>
        <v>9.9638334791454888</v>
      </c>
      <c r="L193" s="407">
        <f t="shared" si="137"/>
        <v>6.5961665208545135</v>
      </c>
      <c r="M193" s="63">
        <f t="shared" si="122"/>
        <v>0</v>
      </c>
      <c r="N193" s="406">
        <f t="shared" si="138"/>
        <v>8.3368758174248789</v>
      </c>
      <c r="O193" s="406">
        <f t="shared" si="139"/>
        <v>6.1463823923177424E-2</v>
      </c>
      <c r="P193">
        <f t="shared" si="123"/>
        <v>0.2</v>
      </c>
      <c r="Q193" s="406">
        <f t="shared" si="133"/>
        <v>0.26146382392317746</v>
      </c>
      <c r="R193" s="9">
        <f t="shared" si="140"/>
        <v>0.97216171245515115</v>
      </c>
      <c r="S193" s="9">
        <f t="shared" si="141"/>
        <v>2.6462755064584497E-4</v>
      </c>
      <c r="T193" s="9">
        <f t="shared" si="142"/>
        <v>2.6462755064584497E-4</v>
      </c>
      <c r="U193" s="406">
        <f t="shared" si="143"/>
        <v>5.7468704529402181</v>
      </c>
      <c r="V193" s="408">
        <f t="shared" si="144"/>
        <v>3.3026520002877306E-2</v>
      </c>
      <c r="W193" s="406">
        <f t="shared" si="145"/>
        <v>3.3026520002877306E-2</v>
      </c>
      <c r="X193" s="406">
        <f t="shared" si="146"/>
        <v>5.7468704529402181</v>
      </c>
      <c r="Y193" s="406">
        <f t="shared" si="147"/>
        <v>1.7173790401496198</v>
      </c>
      <c r="Z193" s="406">
        <f t="shared" si="124"/>
        <v>0.21346681345918572</v>
      </c>
      <c r="AA193" s="406">
        <f t="shared" si="125"/>
        <v>0.1228566</v>
      </c>
      <c r="AB193" s="406">
        <f t="shared" si="126"/>
        <v>0</v>
      </c>
      <c r="AC193" s="406">
        <f t="shared" si="148"/>
        <v>3.3008351917254726</v>
      </c>
      <c r="AD193" s="406">
        <f t="shared" si="149"/>
        <v>6.0396174044625077</v>
      </c>
      <c r="AE193" s="406">
        <f t="shared" si="150"/>
        <v>0.36476978392286441</v>
      </c>
      <c r="AF193" s="406">
        <f t="shared" si="127"/>
        <v>0.14844383999999999</v>
      </c>
      <c r="AG193" s="406">
        <f t="shared" si="151"/>
        <v>0.54502288470474713</v>
      </c>
      <c r="AH193" s="406">
        <f t="shared" si="152"/>
        <v>0</v>
      </c>
      <c r="AI193">
        <f t="shared" si="128"/>
        <v>0</v>
      </c>
      <c r="AJ193" s="407">
        <f t="shared" si="129"/>
        <v>0.49085270400000003</v>
      </c>
      <c r="AK193">
        <f t="shared" si="134"/>
        <v>0.06</v>
      </c>
      <c r="AL193" s="407">
        <f t="shared" si="130"/>
        <v>4.0337999999999999E-2</v>
      </c>
      <c r="AM193" s="407">
        <f t="shared" si="135"/>
        <v>0.13814789189189189</v>
      </c>
      <c r="AN193" s="407">
        <f t="shared" si="153"/>
        <v>0.100338</v>
      </c>
      <c r="AO193" s="407">
        <f t="shared" si="154"/>
        <v>4.73180375190692</v>
      </c>
      <c r="AP193">
        <f t="shared" si="131"/>
        <v>115.92000000000002</v>
      </c>
      <c r="AQ193" s="10">
        <f t="shared" si="155"/>
        <v>0.96078132605761279</v>
      </c>
      <c r="AR193" s="63">
        <f t="shared" si="156"/>
        <v>181.545935544901</v>
      </c>
      <c r="AS193" s="63">
        <f t="shared" si="157"/>
        <v>21.800915388189885</v>
      </c>
      <c r="AT193" s="10"/>
      <c r="AU193">
        <f t="shared" si="158"/>
        <v>96.078132605761283</v>
      </c>
    </row>
    <row r="194" spans="7:47" x14ac:dyDescent="0.2">
      <c r="G194">
        <v>185</v>
      </c>
      <c r="H194">
        <f t="shared" si="120"/>
        <v>8.3250000000000011</v>
      </c>
      <c r="I194" s="406">
        <f t="shared" si="136"/>
        <v>0.47522460949027584</v>
      </c>
      <c r="J194" s="407">
        <f t="shared" si="121"/>
        <v>3.3679986498247754</v>
      </c>
      <c r="K194" s="407">
        <f t="shared" si="132"/>
        <v>10.008999324912388</v>
      </c>
      <c r="L194" s="407">
        <f t="shared" si="137"/>
        <v>6.6410006750876134</v>
      </c>
      <c r="M194" s="63">
        <f t="shared" si="122"/>
        <v>0</v>
      </c>
      <c r="N194" s="406">
        <f t="shared" si="138"/>
        <v>8.381581567665803</v>
      </c>
      <c r="O194" s="406">
        <f t="shared" si="139"/>
        <v>6.2128064962778236E-2</v>
      </c>
      <c r="P194">
        <f t="shared" si="123"/>
        <v>0.2</v>
      </c>
      <c r="Q194" s="406">
        <f t="shared" si="133"/>
        <v>0.26212806496277824</v>
      </c>
      <c r="R194" s="9">
        <f t="shared" si="140"/>
        <v>0.9722574635533151</v>
      </c>
      <c r="S194" s="9">
        <f t="shared" si="141"/>
        <v>2.6467968112183529E-4</v>
      </c>
      <c r="T194" s="9">
        <f t="shared" si="142"/>
        <v>2.6467968112183529E-4</v>
      </c>
      <c r="U194" s="406">
        <f t="shared" si="143"/>
        <v>5.7779720550832403</v>
      </c>
      <c r="V194" s="408">
        <f t="shared" si="144"/>
        <v>3.3384961069322844E-2</v>
      </c>
      <c r="W194" s="406">
        <f t="shared" si="145"/>
        <v>3.3384961069322844E-2</v>
      </c>
      <c r="X194" s="406">
        <f t="shared" si="146"/>
        <v>5.7779720550832403</v>
      </c>
      <c r="Y194" s="406">
        <f t="shared" si="147"/>
        <v>1.7360179756047878</v>
      </c>
      <c r="Z194" s="406">
        <f t="shared" si="124"/>
        <v>0.21472417629402624</v>
      </c>
      <c r="AA194" s="406">
        <f t="shared" si="125"/>
        <v>0.1228566</v>
      </c>
      <c r="AB194" s="406">
        <f t="shared" si="126"/>
        <v>0</v>
      </c>
      <c r="AC194" s="406">
        <f t="shared" si="148"/>
        <v>3.3549249601927791</v>
      </c>
      <c r="AD194" s="406">
        <f t="shared" si="149"/>
        <v>6.0717335667922949</v>
      </c>
      <c r="AE194" s="406">
        <f t="shared" si="150"/>
        <v>0.36865948506112284</v>
      </c>
      <c r="AF194" s="406">
        <f t="shared" si="127"/>
        <v>0.14925059999999998</v>
      </c>
      <c r="AG194" s="406">
        <f t="shared" si="151"/>
        <v>0.55037419163370072</v>
      </c>
      <c r="AH194" s="406">
        <f t="shared" si="152"/>
        <v>0</v>
      </c>
      <c r="AI194">
        <f t="shared" si="128"/>
        <v>0</v>
      </c>
      <c r="AJ194" s="407">
        <f t="shared" si="129"/>
        <v>0.49081385999999999</v>
      </c>
      <c r="AK194">
        <f t="shared" si="134"/>
        <v>0.06</v>
      </c>
      <c r="AL194" s="407">
        <f t="shared" si="130"/>
        <v>4.0337999999999999E-2</v>
      </c>
      <c r="AM194" s="407">
        <f t="shared" si="135"/>
        <v>0.13814789189189189</v>
      </c>
      <c r="AN194" s="407">
        <f t="shared" si="153"/>
        <v>0.100338</v>
      </c>
      <c r="AO194" s="407">
        <f t="shared" si="154"/>
        <v>4.7922287175397029</v>
      </c>
      <c r="AP194">
        <f t="shared" si="131"/>
        <v>116.55000000000001</v>
      </c>
      <c r="AQ194" s="10">
        <f t="shared" si="155"/>
        <v>0.96050650488137113</v>
      </c>
      <c r="AR194" s="63">
        <f t="shared" si="156"/>
        <v>184.52087281060284</v>
      </c>
      <c r="AS194" s="63">
        <f t="shared" si="157"/>
        <v>22.014967665348028</v>
      </c>
      <c r="AT194" s="10"/>
      <c r="AU194">
        <f t="shared" si="158"/>
        <v>96.050650488137109</v>
      </c>
    </row>
    <row r="195" spans="7:47" x14ac:dyDescent="0.2">
      <c r="G195">
        <v>186</v>
      </c>
      <c r="H195">
        <f t="shared" si="120"/>
        <v>8.370000000000001</v>
      </c>
      <c r="I195" s="406">
        <f t="shared" si="136"/>
        <v>0.47527141713262677</v>
      </c>
      <c r="J195" s="407">
        <f t="shared" si="121"/>
        <v>3.3683303836472485</v>
      </c>
      <c r="K195" s="407">
        <f t="shared" si="132"/>
        <v>10.054165191823625</v>
      </c>
      <c r="L195" s="407">
        <f t="shared" si="137"/>
        <v>6.6858348081763772</v>
      </c>
      <c r="M195" s="63">
        <f t="shared" si="122"/>
        <v>0</v>
      </c>
      <c r="N195" s="406">
        <f t="shared" si="138"/>
        <v>8.4262904529682245</v>
      </c>
      <c r="O195" s="406">
        <f t="shared" si="139"/>
        <v>6.2795976190349184E-2</v>
      </c>
      <c r="P195">
        <f t="shared" si="123"/>
        <v>0.2</v>
      </c>
      <c r="Q195" s="406">
        <f t="shared" si="133"/>
        <v>0.26279597619034922</v>
      </c>
      <c r="R195" s="9">
        <f t="shared" si="140"/>
        <v>0.97235322685916725</v>
      </c>
      <c r="S195" s="9">
        <f t="shared" si="141"/>
        <v>2.6473182337936185E-4</v>
      </c>
      <c r="T195" s="9">
        <f t="shared" si="142"/>
        <v>2.6473182337936185E-4</v>
      </c>
      <c r="U195" s="406">
        <f t="shared" si="143"/>
        <v>5.8090788761075345</v>
      </c>
      <c r="V195" s="408">
        <f t="shared" si="144"/>
        <v>3.3745397388838777E-2</v>
      </c>
      <c r="W195" s="406">
        <f t="shared" si="145"/>
        <v>3.3745397388838777E-2</v>
      </c>
      <c r="X195" s="406">
        <f t="shared" si="146"/>
        <v>5.8090788761075345</v>
      </c>
      <c r="Y195" s="406">
        <f t="shared" si="147"/>
        <v>1.7547606642196163</v>
      </c>
      <c r="Z195" s="406">
        <f t="shared" si="124"/>
        <v>0.21598153890009719</v>
      </c>
      <c r="AA195" s="406">
        <f t="shared" si="125"/>
        <v>0.1228566</v>
      </c>
      <c r="AB195" s="406">
        <f t="shared" si="126"/>
        <v>0</v>
      </c>
      <c r="AC195" s="406">
        <f t="shared" si="148"/>
        <v>3.4100329885653915</v>
      </c>
      <c r="AD195" s="406">
        <f t="shared" si="149"/>
        <v>6.103849065052696</v>
      </c>
      <c r="AE195" s="406">
        <f t="shared" si="150"/>
        <v>0.37256973408944677</v>
      </c>
      <c r="AF195" s="406">
        <f t="shared" si="127"/>
        <v>0.15005735999999997</v>
      </c>
      <c r="AG195" s="406">
        <f t="shared" si="151"/>
        <v>0.55575637485730278</v>
      </c>
      <c r="AH195" s="406">
        <f t="shared" si="152"/>
        <v>0</v>
      </c>
      <c r="AI195">
        <f t="shared" si="128"/>
        <v>0</v>
      </c>
      <c r="AJ195" s="407">
        <f t="shared" si="129"/>
        <v>0.49077501600000001</v>
      </c>
      <c r="AK195">
        <f t="shared" si="134"/>
        <v>0.06</v>
      </c>
      <c r="AL195" s="407">
        <f t="shared" si="130"/>
        <v>4.0337999999999999E-2</v>
      </c>
      <c r="AM195" s="407">
        <f t="shared" si="135"/>
        <v>0.13814789189189189</v>
      </c>
      <c r="AN195" s="407">
        <f t="shared" si="153"/>
        <v>0.100338</v>
      </c>
      <c r="AO195" s="407">
        <f t="shared" si="154"/>
        <v>4.8537084848252618</v>
      </c>
      <c r="AP195">
        <f t="shared" si="131"/>
        <v>117.18</v>
      </c>
      <c r="AQ195" s="10">
        <f t="shared" si="155"/>
        <v>0.96022649360501233</v>
      </c>
      <c r="AR195" s="63">
        <f t="shared" si="156"/>
        <v>187.55181437109653</v>
      </c>
      <c r="AS195" s="63">
        <f t="shared" si="157"/>
        <v>22.23025499429211</v>
      </c>
      <c r="AT195" s="10"/>
      <c r="AU195">
        <f t="shared" si="158"/>
        <v>96.022649360501234</v>
      </c>
    </row>
    <row r="196" spans="7:47" x14ac:dyDescent="0.2">
      <c r="G196">
        <v>187</v>
      </c>
      <c r="H196">
        <f t="shared" si="120"/>
        <v>8.4150000000000009</v>
      </c>
      <c r="I196" s="406">
        <f t="shared" si="136"/>
        <v>0.47531823074305052</v>
      </c>
      <c r="J196" s="407">
        <f t="shared" si="121"/>
        <v>3.3686621597664814</v>
      </c>
      <c r="K196" s="407">
        <f t="shared" si="132"/>
        <v>10.099331079883243</v>
      </c>
      <c r="L196" s="407">
        <f t="shared" si="137"/>
        <v>6.7306689201167602</v>
      </c>
      <c r="M196" s="63">
        <f t="shared" si="122"/>
        <v>0</v>
      </c>
      <c r="N196" s="406">
        <f t="shared" si="138"/>
        <v>8.4710024236934451</v>
      </c>
      <c r="O196" s="406">
        <f t="shared" si="139"/>
        <v>6.3467558765559803E-2</v>
      </c>
      <c r="P196">
        <f t="shared" si="123"/>
        <v>0.2</v>
      </c>
      <c r="Q196" s="406">
        <f t="shared" si="133"/>
        <v>0.26346755876555983</v>
      </c>
      <c r="R196" s="9">
        <f t="shared" si="140"/>
        <v>0.97244900237504217</v>
      </c>
      <c r="S196" s="9">
        <f t="shared" si="141"/>
        <v>2.6478397742166014E-4</v>
      </c>
      <c r="T196" s="9">
        <f t="shared" si="142"/>
        <v>2.6478397742166014E-4</v>
      </c>
      <c r="U196" s="406">
        <f t="shared" si="143"/>
        <v>5.8401908824697673</v>
      </c>
      <c r="V196" s="408">
        <f t="shared" si="144"/>
        <v>3.4107829543682994E-2</v>
      </c>
      <c r="W196" s="406">
        <f t="shared" si="145"/>
        <v>3.4107829543682994E-2</v>
      </c>
      <c r="X196" s="406">
        <f t="shared" si="146"/>
        <v>5.8401908824697673</v>
      </c>
      <c r="Y196" s="406">
        <f t="shared" si="147"/>
        <v>1.7736071362715158</v>
      </c>
      <c r="Z196" s="406">
        <f t="shared" si="124"/>
        <v>0.21723890127735485</v>
      </c>
      <c r="AA196" s="406">
        <f t="shared" si="125"/>
        <v>0.1228566</v>
      </c>
      <c r="AB196" s="406">
        <f t="shared" si="126"/>
        <v>0</v>
      </c>
      <c r="AC196" s="406">
        <f t="shared" si="148"/>
        <v>3.4661862084311292</v>
      </c>
      <c r="AD196" s="406">
        <f t="shared" si="149"/>
        <v>6.1359638622254957</v>
      </c>
      <c r="AE196" s="406">
        <f t="shared" si="150"/>
        <v>0.37650052518537225</v>
      </c>
      <c r="AF196" s="406">
        <f t="shared" si="127"/>
        <v>0.15086411999999999</v>
      </c>
      <c r="AG196" s="406">
        <f t="shared" si="151"/>
        <v>0.56116954577792</v>
      </c>
      <c r="AH196" s="406">
        <f t="shared" si="152"/>
        <v>0</v>
      </c>
      <c r="AI196">
        <f t="shared" si="128"/>
        <v>0</v>
      </c>
      <c r="AJ196" s="407">
        <f t="shared" si="129"/>
        <v>0.49073617199999997</v>
      </c>
      <c r="AK196">
        <f t="shared" si="134"/>
        <v>0.06</v>
      </c>
      <c r="AL196" s="407">
        <f t="shared" si="130"/>
        <v>4.0337999999999999E-2</v>
      </c>
      <c r="AM196" s="407">
        <f t="shared" si="135"/>
        <v>0.13814789189189189</v>
      </c>
      <c r="AN196" s="407">
        <f t="shared" si="153"/>
        <v>0.100338</v>
      </c>
      <c r="AO196" s="407">
        <f t="shared" si="154"/>
        <v>4.9162700984957137</v>
      </c>
      <c r="AP196">
        <f t="shared" si="131"/>
        <v>117.81000000000002</v>
      </c>
      <c r="AQ196" s="10">
        <f t="shared" si="155"/>
        <v>0.95994117563786385</v>
      </c>
      <c r="AR196" s="63">
        <f t="shared" si="156"/>
        <v>190.6402414637121</v>
      </c>
      <c r="AS196" s="63">
        <f t="shared" si="157"/>
        <v>22.446781831116802</v>
      </c>
      <c r="AT196" s="10"/>
      <c r="AU196">
        <f t="shared" si="158"/>
        <v>95.994117563786389</v>
      </c>
    </row>
    <row r="197" spans="7:47" x14ac:dyDescent="0.2">
      <c r="G197">
        <v>188</v>
      </c>
      <c r="H197">
        <f t="shared" si="120"/>
        <v>8.4599999999999991</v>
      </c>
      <c r="I197" s="406">
        <f t="shared" si="136"/>
        <v>0.47536505032268861</v>
      </c>
      <c r="J197" s="407">
        <f t="shared" si="121"/>
        <v>3.3689939781905642</v>
      </c>
      <c r="K197" s="407">
        <f t="shared" si="132"/>
        <v>10.144496989095281</v>
      </c>
      <c r="L197" s="407">
        <f t="shared" si="137"/>
        <v>6.7755030109047167</v>
      </c>
      <c r="M197" s="63">
        <f t="shared" si="122"/>
        <v>0</v>
      </c>
      <c r="N197" s="406">
        <f t="shared" si="138"/>
        <v>8.5157174312418924</v>
      </c>
      <c r="O197" s="406">
        <f t="shared" si="139"/>
        <v>6.4142813854639824E-2</v>
      </c>
      <c r="P197">
        <f t="shared" si="123"/>
        <v>0.2</v>
      </c>
      <c r="Q197" s="406">
        <f t="shared" si="133"/>
        <v>0.26414281385463984</v>
      </c>
      <c r="R197" s="9">
        <f t="shared" si="140"/>
        <v>0.97254479010327533</v>
      </c>
      <c r="S197" s="9">
        <f t="shared" si="141"/>
        <v>2.6483614325196672E-4</v>
      </c>
      <c r="T197" s="9">
        <f t="shared" si="142"/>
        <v>2.6483614325196672E-4</v>
      </c>
      <c r="U197" s="406">
        <f t="shared" si="143"/>
        <v>5.8713080413364365</v>
      </c>
      <c r="V197" s="408">
        <f t="shared" si="144"/>
        <v>3.4472258116261909E-2</v>
      </c>
      <c r="W197" s="406">
        <f t="shared" si="145"/>
        <v>3.4472258116261909E-2</v>
      </c>
      <c r="X197" s="406">
        <f t="shared" si="146"/>
        <v>5.8713080413364365</v>
      </c>
      <c r="Y197" s="406">
        <f t="shared" si="147"/>
        <v>1.7925574220456191</v>
      </c>
      <c r="Z197" s="406">
        <f t="shared" si="124"/>
        <v>0.21849626342575534</v>
      </c>
      <c r="AA197" s="406">
        <f t="shared" si="125"/>
        <v>0.1228566</v>
      </c>
      <c r="AB197" s="406">
        <f t="shared" si="126"/>
        <v>0</v>
      </c>
      <c r="AC197" s="406">
        <f t="shared" si="148"/>
        <v>3.5234125257383435</v>
      </c>
      <c r="AD197" s="406">
        <f t="shared" si="149"/>
        <v>6.1680779220511726</v>
      </c>
      <c r="AE197" s="406">
        <f t="shared" si="150"/>
        <v>0.38045185252495112</v>
      </c>
      <c r="AF197" s="406">
        <f t="shared" si="127"/>
        <v>0.15167087999999995</v>
      </c>
      <c r="AG197" s="406">
        <f t="shared" si="151"/>
        <v>0.56661381672311806</v>
      </c>
      <c r="AH197" s="406">
        <f t="shared" si="152"/>
        <v>0</v>
      </c>
      <c r="AI197">
        <f t="shared" si="128"/>
        <v>0</v>
      </c>
      <c r="AJ197" s="407">
        <f t="shared" si="129"/>
        <v>0.49069732799999999</v>
      </c>
      <c r="AK197">
        <f t="shared" si="134"/>
        <v>0.06</v>
      </c>
      <c r="AL197" s="407">
        <f t="shared" si="130"/>
        <v>4.0337999999999999E-2</v>
      </c>
      <c r="AM197" s="407">
        <f t="shared" si="135"/>
        <v>0.13814789189189189</v>
      </c>
      <c r="AN197" s="407">
        <f t="shared" si="153"/>
        <v>0.100338</v>
      </c>
      <c r="AO197" s="407">
        <f t="shared" si="154"/>
        <v>4.9799415785756151</v>
      </c>
      <c r="AP197">
        <f t="shared" si="131"/>
        <v>118.43999999999998</v>
      </c>
      <c r="AQ197" s="10">
        <f t="shared" si="155"/>
        <v>0.95965042994769911</v>
      </c>
      <c r="AR197" s="63">
        <f t="shared" si="156"/>
        <v>193.7876889156089</v>
      </c>
      <c r="AS197" s="63">
        <f t="shared" si="157"/>
        <v>22.664552668924721</v>
      </c>
      <c r="AT197" s="10"/>
      <c r="AU197">
        <f t="shared" si="158"/>
        <v>95.965042994769917</v>
      </c>
    </row>
    <row r="198" spans="7:47" x14ac:dyDescent="0.2">
      <c r="G198">
        <v>189</v>
      </c>
      <c r="H198">
        <f t="shared" si="120"/>
        <v>8.504999999999999</v>
      </c>
      <c r="I198" s="406">
        <f t="shared" si="136"/>
        <v>0.47541187587268274</v>
      </c>
      <c r="J198" s="407">
        <f t="shared" si="121"/>
        <v>3.3693258389275886</v>
      </c>
      <c r="K198" s="407">
        <f t="shared" si="132"/>
        <v>10.189662919463792</v>
      </c>
      <c r="L198" s="407">
        <f t="shared" si="137"/>
        <v>6.8203370805362047</v>
      </c>
      <c r="M198" s="63">
        <f t="shared" si="122"/>
        <v>0</v>
      </c>
      <c r="N198" s="406">
        <f t="shared" si="138"/>
        <v>8.5604354280261585</v>
      </c>
      <c r="O198" s="406">
        <f t="shared" si="139"/>
        <v>6.4821742630384413E-2</v>
      </c>
      <c r="P198">
        <f t="shared" si="123"/>
        <v>0.2</v>
      </c>
      <c r="Q198" s="406">
        <f t="shared" si="133"/>
        <v>0.26482174263038444</v>
      </c>
      <c r="R198" s="9">
        <f t="shared" si="140"/>
        <v>0.97264059004620251</v>
      </c>
      <c r="S198" s="9">
        <f t="shared" si="141"/>
        <v>2.6488832087351901E-4</v>
      </c>
      <c r="T198" s="9">
        <f t="shared" si="142"/>
        <v>2.6488832087351901E-4</v>
      </c>
      <c r="U198" s="406">
        <f t="shared" si="143"/>
        <v>5.9024303205654531</v>
      </c>
      <c r="V198" s="408">
        <f t="shared" si="144"/>
        <v>3.4838683689130401E-2</v>
      </c>
      <c r="W198" s="406">
        <f t="shared" si="145"/>
        <v>3.4838683689130401E-2</v>
      </c>
      <c r="X198" s="406">
        <f t="shared" si="146"/>
        <v>5.9024303205654531</v>
      </c>
      <c r="Y198" s="406">
        <f t="shared" si="147"/>
        <v>1.8116115518347806</v>
      </c>
      <c r="Z198" s="406">
        <f t="shared" si="124"/>
        <v>0.21975362534525508</v>
      </c>
      <c r="AA198" s="406">
        <f t="shared" si="125"/>
        <v>0.1228566</v>
      </c>
      <c r="AB198" s="406">
        <f t="shared" si="126"/>
        <v>0</v>
      </c>
      <c r="AC198" s="406">
        <f t="shared" si="148"/>
        <v>3.5817408650944884</v>
      </c>
      <c r="AD198" s="406">
        <f t="shared" si="149"/>
        <v>6.2001912090092022</v>
      </c>
      <c r="AE198" s="406">
        <f t="shared" si="150"/>
        <v>0.38442371028274991</v>
      </c>
      <c r="AF198" s="406">
        <f t="shared" si="127"/>
        <v>0.15247763999999994</v>
      </c>
      <c r="AG198" s="406">
        <f t="shared" si="151"/>
        <v>0.57208930095237831</v>
      </c>
      <c r="AH198" s="406">
        <f t="shared" si="152"/>
        <v>0</v>
      </c>
      <c r="AI198">
        <f t="shared" si="128"/>
        <v>0</v>
      </c>
      <c r="AJ198" s="407">
        <f t="shared" si="129"/>
        <v>0.49065848400000001</v>
      </c>
      <c r="AK198">
        <f t="shared" si="134"/>
        <v>0.06</v>
      </c>
      <c r="AL198" s="407">
        <f t="shared" si="130"/>
        <v>4.0337999999999999E-2</v>
      </c>
      <c r="AM198" s="407">
        <f t="shared" si="135"/>
        <v>0.13814789189189189</v>
      </c>
      <c r="AN198" s="407">
        <f t="shared" si="153"/>
        <v>0.100338</v>
      </c>
      <c r="AO198" s="407">
        <f t="shared" si="154"/>
        <v>5.0447519646872552</v>
      </c>
      <c r="AP198">
        <f t="shared" si="131"/>
        <v>119.07</v>
      </c>
      <c r="AQ198" s="10">
        <f t="shared" si="155"/>
        <v>0.95935413087621879</v>
      </c>
      <c r="AR198" s="63">
        <f t="shared" si="156"/>
        <v>196.99574758019685</v>
      </c>
      <c r="AS198" s="63">
        <f t="shared" si="157"/>
        <v>22.883572038095132</v>
      </c>
      <c r="AT198" s="10"/>
      <c r="AU198">
        <f t="shared" si="158"/>
        <v>95.935413087621882</v>
      </c>
    </row>
    <row r="199" spans="7:47" x14ac:dyDescent="0.2">
      <c r="G199">
        <v>190</v>
      </c>
      <c r="H199">
        <f t="shared" si="120"/>
        <v>8.5499999999999989</v>
      </c>
      <c r="I199" s="406">
        <f t="shared" si="136"/>
        <v>0.47545870739417495</v>
      </c>
      <c r="J199" s="407">
        <f t="shared" si="121"/>
        <v>3.3696577419856482</v>
      </c>
      <c r="K199" s="407">
        <f t="shared" si="132"/>
        <v>10.234828870992823</v>
      </c>
      <c r="L199" s="407">
        <f t="shared" si="137"/>
        <v>6.8651711290071749</v>
      </c>
      <c r="M199" s="63">
        <f t="shared" si="122"/>
        <v>0</v>
      </c>
      <c r="N199" s="406">
        <f t="shared" si="138"/>
        <v>8.6051563674448683</v>
      </c>
      <c r="O199" s="406">
        <f t="shared" si="139"/>
        <v>6.5504346272159231E-2</v>
      </c>
      <c r="P199">
        <f t="shared" si="123"/>
        <v>0.2</v>
      </c>
      <c r="Q199" s="406">
        <f t="shared" si="133"/>
        <v>0.26550434627215924</v>
      </c>
      <c r="R199" s="9">
        <f t="shared" si="140"/>
        <v>0.97273640220616031</v>
      </c>
      <c r="S199" s="9">
        <f t="shared" si="141"/>
        <v>2.649405102895558E-4</v>
      </c>
      <c r="T199" s="9">
        <f t="shared" si="142"/>
        <v>2.649405102895558E-4</v>
      </c>
      <c r="U199" s="406">
        <f t="shared" si="143"/>
        <v>5.9335576886882997</v>
      </c>
      <c r="V199" s="408">
        <f t="shared" si="144"/>
        <v>3.5207106844992044E-2</v>
      </c>
      <c r="W199" s="406">
        <f t="shared" si="145"/>
        <v>3.5207106844992044E-2</v>
      </c>
      <c r="X199" s="406">
        <f t="shared" si="146"/>
        <v>5.9335576886882997</v>
      </c>
      <c r="Y199" s="406">
        <f t="shared" si="147"/>
        <v>1.830769555939586</v>
      </c>
      <c r="Z199" s="406">
        <f t="shared" si="124"/>
        <v>0.22101098703581018</v>
      </c>
      <c r="AA199" s="406">
        <f t="shared" si="125"/>
        <v>0.1228566</v>
      </c>
      <c r="AB199" s="406">
        <f t="shared" si="126"/>
        <v>0</v>
      </c>
      <c r="AC199" s="406">
        <f t="shared" si="148"/>
        <v>3.6412012165057615</v>
      </c>
      <c r="AD199" s="406">
        <f t="shared" si="149"/>
        <v>6.232303688298968</v>
      </c>
      <c r="AE199" s="406">
        <f t="shared" si="150"/>
        <v>0.38841609263184923</v>
      </c>
      <c r="AF199" s="406">
        <f t="shared" si="127"/>
        <v>0.15328439999999996</v>
      </c>
      <c r="AG199" s="406">
        <f t="shared" si="151"/>
        <v>0.57759611266388966</v>
      </c>
      <c r="AH199" s="406">
        <f t="shared" si="152"/>
        <v>0</v>
      </c>
      <c r="AI199">
        <f t="shared" si="128"/>
        <v>0</v>
      </c>
      <c r="AJ199" s="407">
        <f t="shared" si="129"/>
        <v>0.49061963999999997</v>
      </c>
      <c r="AK199">
        <f t="shared" si="134"/>
        <v>0.06</v>
      </c>
      <c r="AL199" s="407">
        <f t="shared" si="130"/>
        <v>4.0337999999999999E-2</v>
      </c>
      <c r="AM199" s="407">
        <f t="shared" si="135"/>
        <v>0.13814789189189189</v>
      </c>
      <c r="AN199" s="407">
        <f t="shared" si="153"/>
        <v>0.100338</v>
      </c>
      <c r="AO199" s="407">
        <f t="shared" si="154"/>
        <v>5.1107313627970914</v>
      </c>
      <c r="AP199">
        <f t="shared" si="131"/>
        <v>119.69999999999999</v>
      </c>
      <c r="AQ199" s="10">
        <f t="shared" si="155"/>
        <v>0.95905214794438365</v>
      </c>
      <c r="AR199" s="63">
        <f t="shared" si="156"/>
        <v>200.26606690781688</v>
      </c>
      <c r="AS199" s="63">
        <f t="shared" si="157"/>
        <v>23.103844506555586</v>
      </c>
      <c r="AT199" s="10"/>
      <c r="AU199">
        <f t="shared" si="158"/>
        <v>95.905214794438365</v>
      </c>
    </row>
    <row r="200" spans="7:47" x14ac:dyDescent="0.2">
      <c r="G200">
        <v>191</v>
      </c>
      <c r="H200">
        <f t="shared" si="120"/>
        <v>8.5949999999999989</v>
      </c>
      <c r="I200" s="406">
        <f t="shared" si="136"/>
        <v>0.47550554488830765</v>
      </c>
      <c r="J200" s="407">
        <f t="shared" si="121"/>
        <v>3.3699896873728394</v>
      </c>
      <c r="K200" s="407">
        <f t="shared" si="132"/>
        <v>10.279994843686419</v>
      </c>
      <c r="L200" s="407">
        <f t="shared" si="137"/>
        <v>6.9100051563135789</v>
      </c>
      <c r="M200" s="63">
        <f t="shared" si="122"/>
        <v>0</v>
      </c>
      <c r="N200" s="406">
        <f t="shared" si="138"/>
        <v>8.6498802038573483</v>
      </c>
      <c r="O200" s="406">
        <f t="shared" si="139"/>
        <v>6.6190625965905525E-2</v>
      </c>
      <c r="P200">
        <f t="shared" si="123"/>
        <v>0.2</v>
      </c>
      <c r="Q200" s="406">
        <f t="shared" si="133"/>
        <v>0.26619062596590554</v>
      </c>
      <c r="R200" s="9">
        <f t="shared" si="140"/>
        <v>0.97283222658548585</v>
      </c>
      <c r="S200" s="9">
        <f t="shared" si="141"/>
        <v>2.6499271150331674E-4</v>
      </c>
      <c r="T200" s="9">
        <f t="shared" si="142"/>
        <v>2.6499271150331674E-4</v>
      </c>
      <c r="U200" s="406">
        <f t="shared" si="143"/>
        <v>5.9646901148927203</v>
      </c>
      <c r="V200" s="408">
        <f t="shared" si="144"/>
        <v>3.5577528166698937E-2</v>
      </c>
      <c r="W200" s="406">
        <f t="shared" si="145"/>
        <v>3.5577528166698937E-2</v>
      </c>
      <c r="X200" s="406">
        <f t="shared" si="146"/>
        <v>5.9646901148927203</v>
      </c>
      <c r="Y200" s="406">
        <f t="shared" si="147"/>
        <v>1.8500314646683444</v>
      </c>
      <c r="Z200" s="406">
        <f t="shared" si="124"/>
        <v>0.22226834849737687</v>
      </c>
      <c r="AA200" s="406">
        <f t="shared" si="125"/>
        <v>0.1228566</v>
      </c>
      <c r="AB200" s="406">
        <f t="shared" si="126"/>
        <v>0</v>
      </c>
      <c r="AC200" s="406">
        <f t="shared" si="148"/>
        <v>3.7018246847160801</v>
      </c>
      <c r="AD200" s="406">
        <f t="shared" si="149"/>
        <v>6.264415325821262</v>
      </c>
      <c r="AE200" s="406">
        <f t="shared" si="150"/>
        <v>0.3924289937438431</v>
      </c>
      <c r="AF200" s="406">
        <f t="shared" si="127"/>
        <v>0.15409115999999995</v>
      </c>
      <c r="AG200" s="406">
        <f t="shared" si="151"/>
        <v>0.58313436700141397</v>
      </c>
      <c r="AH200" s="406">
        <f t="shared" si="152"/>
        <v>0</v>
      </c>
      <c r="AI200">
        <f t="shared" si="128"/>
        <v>0</v>
      </c>
      <c r="AJ200" s="407">
        <f t="shared" si="129"/>
        <v>0.49058079599999999</v>
      </c>
      <c r="AK200">
        <f t="shared" si="134"/>
        <v>0.06</v>
      </c>
      <c r="AL200" s="407">
        <f t="shared" si="130"/>
        <v>4.0337999999999999E-2</v>
      </c>
      <c r="AM200" s="407">
        <f t="shared" si="135"/>
        <v>0.13814789189189189</v>
      </c>
      <c r="AN200" s="407">
        <f t="shared" si="153"/>
        <v>0.100338</v>
      </c>
      <c r="AO200" s="407">
        <f t="shared" si="154"/>
        <v>5.1779109945616009</v>
      </c>
      <c r="AP200">
        <f t="shared" si="131"/>
        <v>120.32999999999998</v>
      </c>
      <c r="AQ200" s="10">
        <f t="shared" si="155"/>
        <v>0.95874434564697708</v>
      </c>
      <c r="AR200" s="63">
        <f t="shared" si="156"/>
        <v>203.6003576593844</v>
      </c>
      <c r="AS200" s="63">
        <f t="shared" si="157"/>
        <v>23.325374680056559</v>
      </c>
      <c r="AT200" s="10"/>
      <c r="AU200">
        <f t="shared" si="158"/>
        <v>95.874434564697708</v>
      </c>
    </row>
    <row r="201" spans="7:47" x14ac:dyDescent="0.2">
      <c r="G201">
        <v>192</v>
      </c>
      <c r="H201">
        <f t="shared" ref="H201:H209" si="159">Iout*(G201/200)</f>
        <v>8.64</v>
      </c>
      <c r="I201" s="406">
        <f t="shared" si="136"/>
        <v>0.47555238835622354</v>
      </c>
      <c r="J201" s="407">
        <f t="shared" ref="J201:J209" si="160">(Vin-Vout)*I201/(Fsw*Lout2)</f>
        <v>3.3703216750972609</v>
      </c>
      <c r="K201" s="407">
        <f t="shared" si="132"/>
        <v>10.325160837548632</v>
      </c>
      <c r="L201" s="407">
        <f t="shared" si="137"/>
        <v>6.9548391624513703</v>
      </c>
      <c r="M201" s="63">
        <f t="shared" ref="M201:M209" si="161">IF(MIN(Vin, -L201/(CossTop+CossBot)*0.00000002)&lt;0, 0, MIN(Vin, -L201/(CossTop+CossBot)*0.00000002))</f>
        <v>0</v>
      </c>
      <c r="N201" s="406">
        <f t="shared" si="138"/>
        <v>8.6946068925590811</v>
      </c>
      <c r="O201" s="406">
        <f t="shared" si="139"/>
        <v>6.6880582904145447E-2</v>
      </c>
      <c r="P201">
        <f t="shared" ref="P201:P209" si="162">Core_Loss</f>
        <v>0.2</v>
      </c>
      <c r="Q201" s="406">
        <f t="shared" si="133"/>
        <v>0.26688058290414546</v>
      </c>
      <c r="R201" s="9">
        <f t="shared" si="140"/>
        <v>0.97292806318651703</v>
      </c>
      <c r="S201" s="9">
        <f t="shared" si="141"/>
        <v>2.6504492451804288E-4</v>
      </c>
      <c r="T201" s="9">
        <f t="shared" si="142"/>
        <v>2.6504492451804288E-4</v>
      </c>
      <c r="U201" s="406">
        <f t="shared" si="143"/>
        <v>5.9958275690059617</v>
      </c>
      <c r="V201" s="408">
        <f t="shared" si="144"/>
        <v>3.5949948237251936E-2</v>
      </c>
      <c r="W201" s="406">
        <f t="shared" si="145"/>
        <v>3.5949948237251936E-2</v>
      </c>
      <c r="X201" s="406">
        <f t="shared" si="146"/>
        <v>5.9958275690059617</v>
      </c>
      <c r="Y201" s="406">
        <f t="shared" si="147"/>
        <v>1.8693973083371007</v>
      </c>
      <c r="Z201" s="406">
        <f t="shared" ref="Z201:Z209" si="163">IF(L201&lt;0, (Vin*K201*Tf/2)*Fsw, (Vin*L201*Tr/2+Vin*K201*Tf/2)*Fsw)</f>
        <v>0.2235257097299114</v>
      </c>
      <c r="AA201" s="406">
        <f t="shared" ref="AA201:AA209" si="164">(0.5*CossTop*(Vin-M201)^2-0.5*CossBot*(Vin-M201)^2+(QossBot*(Vin-M201)/Vin)*Vin)*Fsw</f>
        <v>0.1228566</v>
      </c>
      <c r="AB201" s="406">
        <f t="shared" ref="AB201:AB209" si="165">IF(L201&gt;0,0,-L201*VsdTop*Deadtime*Fsw)</f>
        <v>0</v>
      </c>
      <c r="AC201" s="406">
        <f t="shared" si="148"/>
        <v>3.763643541315711</v>
      </c>
      <c r="AD201" s="406">
        <f t="shared" si="149"/>
        <v>6.2965260881603555</v>
      </c>
      <c r="AE201" s="406">
        <f t="shared" si="150"/>
        <v>0.39646240778883951</v>
      </c>
      <c r="AF201" s="406">
        <f t="shared" ref="AF201:AF209" si="166">IF(L201&lt;0, Deadtime*Fsw*IF(VfdSky&gt;0,0,VsdBot)*K201, Deadtime*Fsw*IF(VfdSky&gt;0,0,VsdBot)*(K201+L201))</f>
        <v>0.15489791999999997</v>
      </c>
      <c r="AG201" s="406">
        <f t="shared" si="151"/>
        <v>0.58870418006122816</v>
      </c>
      <c r="AH201" s="406">
        <f t="shared" si="152"/>
        <v>0</v>
      </c>
      <c r="AI201">
        <f t="shared" ref="AI201:AI209" si="167">2*Deadtime*Fsw*IF(VfdSky&gt;0,VfdSky,0)*H201</f>
        <v>0</v>
      </c>
      <c r="AJ201" s="407">
        <f t="shared" ref="AJ201:AJ209" si="168">IF(QrrSky&gt;0,QrrSky,QrrBot)*Fsw*(Vin-H201*RdsonTop)</f>
        <v>0.490541952</v>
      </c>
      <c r="AK201">
        <f t="shared" si="134"/>
        <v>0.06</v>
      </c>
      <c r="AL201" s="407">
        <f t="shared" ref="AL201:AL209" si="169">IF(Ext_VCC=1, Vdd*(QgTop+QgBot)*Fsw, Vin*(QgTop+QgBot)*Fsw)</f>
        <v>4.0337999999999999E-2</v>
      </c>
      <c r="AM201" s="407">
        <f t="shared" si="135"/>
        <v>0.13814789189189189</v>
      </c>
      <c r="AN201" s="407">
        <f t="shared" si="153"/>
        <v>0.100338</v>
      </c>
      <c r="AO201" s="407">
        <f t="shared" si="154"/>
        <v>5.2463232494428542</v>
      </c>
      <c r="AP201">
        <f t="shared" ref="AP201:AP209" si="170">Vout*H201</f>
        <v>120.96000000000001</v>
      </c>
      <c r="AQ201" s="10">
        <f t="shared" si="155"/>
        <v>0.95843058323572539</v>
      </c>
      <c r="AR201" s="63">
        <f t="shared" si="156"/>
        <v>207.0003947723641</v>
      </c>
      <c r="AS201" s="63">
        <f t="shared" si="157"/>
        <v>23.548167202449125</v>
      </c>
      <c r="AT201" s="10"/>
      <c r="AU201">
        <f t="shared" si="158"/>
        <v>95.843058323572535</v>
      </c>
    </row>
    <row r="202" spans="7:47" x14ac:dyDescent="0.2">
      <c r="G202">
        <v>193</v>
      </c>
      <c r="H202">
        <f t="shared" si="159"/>
        <v>8.6850000000000005</v>
      </c>
      <c r="I202" s="406">
        <f t="shared" si="136"/>
        <v>0.47559923779906549</v>
      </c>
      <c r="J202" s="407">
        <f t="shared" si="160"/>
        <v>3.3706537051670127</v>
      </c>
      <c r="K202" s="407">
        <f t="shared" ref="K202:K209" si="171">H202+J202/2</f>
        <v>10.370326852583506</v>
      </c>
      <c r="L202" s="407">
        <f t="shared" si="137"/>
        <v>6.9996731474164946</v>
      </c>
      <c r="M202" s="63">
        <f t="shared" si="161"/>
        <v>0</v>
      </c>
      <c r="N202" s="406">
        <f t="shared" si="138"/>
        <v>8.7393363897578826</v>
      </c>
      <c r="O202" s="406">
        <f t="shared" si="139"/>
        <v>6.75742182859871E-2</v>
      </c>
      <c r="P202">
        <f t="shared" si="162"/>
        <v>0.2</v>
      </c>
      <c r="Q202" s="406">
        <f t="shared" ref="Q202:Q209" si="172">O202+P202</f>
        <v>0.2675742182859871</v>
      </c>
      <c r="R202" s="9">
        <f t="shared" si="140"/>
        <v>0.97302391201159222</v>
      </c>
      <c r="S202" s="9">
        <f t="shared" si="141"/>
        <v>2.65097149336976E-4</v>
      </c>
      <c r="T202" s="9">
        <f t="shared" si="142"/>
        <v>2.65097149336976E-4</v>
      </c>
      <c r="U202" s="406">
        <f t="shared" si="143"/>
        <v>6.0269700214784985</v>
      </c>
      <c r="V202" s="408">
        <f t="shared" si="144"/>
        <v>3.6324367639800535E-2</v>
      </c>
      <c r="W202" s="406">
        <f t="shared" si="145"/>
        <v>3.6324367639800535E-2</v>
      </c>
      <c r="X202" s="406">
        <f t="shared" si="146"/>
        <v>6.0269700214784985</v>
      </c>
      <c r="Y202" s="406">
        <f t="shared" si="147"/>
        <v>1.8888671172696276</v>
      </c>
      <c r="Z202" s="406">
        <f t="shared" si="163"/>
        <v>0.22478307073336973</v>
      </c>
      <c r="AA202" s="406">
        <f t="shared" si="164"/>
        <v>0.1228566</v>
      </c>
      <c r="AB202" s="406">
        <f t="shared" si="165"/>
        <v>0</v>
      </c>
      <c r="AC202" s="406">
        <f t="shared" si="148"/>
        <v>3.8266912798024979</v>
      </c>
      <c r="AD202" s="406">
        <f t="shared" si="149"/>
        <v>6.3286359425665974</v>
      </c>
      <c r="AE202" s="406">
        <f t="shared" si="150"/>
        <v>0.40051632893545808</v>
      </c>
      <c r="AF202" s="406">
        <f t="shared" si="166"/>
        <v>0.15570467999999998</v>
      </c>
      <c r="AG202" s="406">
        <f t="shared" si="151"/>
        <v>0.59430566889914049</v>
      </c>
      <c r="AH202" s="406">
        <f t="shared" si="152"/>
        <v>0</v>
      </c>
      <c r="AI202">
        <f t="shared" si="167"/>
        <v>0</v>
      </c>
      <c r="AJ202" s="407">
        <f t="shared" si="168"/>
        <v>0.49050310800000002</v>
      </c>
      <c r="AK202">
        <f t="shared" ref="AK202:AK209" si="173">Iq*Vin</f>
        <v>0.06</v>
      </c>
      <c r="AL202" s="407">
        <f t="shared" si="169"/>
        <v>4.0337999999999999E-2</v>
      </c>
      <c r="AM202" s="407">
        <f t="shared" ref="AM202:AM209" si="174">(Vin-Vdd)*Fsw*(QgTop+QgBot)+(RdsonDRT+RdsonDRT2)*Fsw*QgTop*Vdd/(RdsonDRT+2*RGateTop+RdsonDRT2)+(RdsonDRB+RdsonDRB2)*Fsw*QgBot*Vdd/(RdsonDRB+2*RGateBot+RdsonDRB2)</f>
        <v>0.13814789189189189</v>
      </c>
      <c r="AN202" s="407">
        <f t="shared" si="153"/>
        <v>0.100338</v>
      </c>
      <c r="AO202" s="407">
        <f t="shared" si="154"/>
        <v>5.3160017397767634</v>
      </c>
      <c r="AP202">
        <f t="shared" si="170"/>
        <v>121.59</v>
      </c>
      <c r="AQ202" s="10">
        <f t="shared" si="155"/>
        <v>0.95811071449026242</v>
      </c>
      <c r="AR202" s="63">
        <f t="shared" si="156"/>
        <v>210.46802038913739</v>
      </c>
      <c r="AS202" s="63">
        <f t="shared" si="157"/>
        <v>23.772226755965619</v>
      </c>
      <c r="AT202" s="10"/>
      <c r="AU202">
        <f t="shared" si="158"/>
        <v>95.811071449026244</v>
      </c>
    </row>
    <row r="203" spans="7:47" x14ac:dyDescent="0.2">
      <c r="G203">
        <v>194</v>
      </c>
      <c r="H203">
        <f t="shared" si="159"/>
        <v>8.73</v>
      </c>
      <c r="I203" s="406">
        <f t="shared" si="136"/>
        <v>0.4756460932179768</v>
      </c>
      <c r="J203" s="407">
        <f t="shared" si="160"/>
        <v>3.3709857775901968</v>
      </c>
      <c r="K203" s="407">
        <f t="shared" si="171"/>
        <v>10.415492888795098</v>
      </c>
      <c r="L203" s="407">
        <f t="shared" si="137"/>
        <v>7.0445071112049025</v>
      </c>
      <c r="M203" s="63">
        <f t="shared" si="161"/>
        <v>0</v>
      </c>
      <c r="N203" s="406">
        <f t="shared" si="138"/>
        <v>8.7840686525508378</v>
      </c>
      <c r="O203" s="406">
        <f t="shared" si="139"/>
        <v>6.8271533317129984E-2</v>
      </c>
      <c r="P203">
        <f t="shared" si="162"/>
        <v>0.2</v>
      </c>
      <c r="Q203" s="406">
        <f t="shared" si="172"/>
        <v>0.26827153331713</v>
      </c>
      <c r="R203" s="9">
        <f t="shared" si="140"/>
        <v>0.97311977306305009</v>
      </c>
      <c r="S203" s="9">
        <f t="shared" si="141"/>
        <v>2.6514938596335899E-4</v>
      </c>
      <c r="T203" s="9">
        <f t="shared" si="142"/>
        <v>2.6514938596335899E-4</v>
      </c>
      <c r="U203" s="406">
        <f t="shared" si="143"/>
        <v>6.0581174433682881</v>
      </c>
      <c r="V203" s="408">
        <f t="shared" si="144"/>
        <v>3.6700786957643124E-2</v>
      </c>
      <c r="W203" s="406">
        <f t="shared" si="145"/>
        <v>3.6700786957643124E-2</v>
      </c>
      <c r="X203" s="406">
        <f t="shared" si="146"/>
        <v>6.0581174433682881</v>
      </c>
      <c r="Y203" s="406">
        <f t="shared" si="147"/>
        <v>1.9084409217974423</v>
      </c>
      <c r="Z203" s="406">
        <f t="shared" si="163"/>
        <v>0.22604043150770822</v>
      </c>
      <c r="AA203" s="406">
        <f t="shared" si="164"/>
        <v>0.1228566</v>
      </c>
      <c r="AB203" s="406">
        <f t="shared" si="165"/>
        <v>0</v>
      </c>
      <c r="AC203" s="406">
        <f t="shared" si="148"/>
        <v>3.8910026737928489</v>
      </c>
      <c r="AD203" s="406">
        <f t="shared" si="149"/>
        <v>6.3607448569395686</v>
      </c>
      <c r="AE203" s="406">
        <f t="shared" si="150"/>
        <v>0.40459075135083178</v>
      </c>
      <c r="AF203" s="406">
        <f t="shared" si="166"/>
        <v>0.15651143999999997</v>
      </c>
      <c r="AG203" s="406">
        <f t="shared" si="151"/>
        <v>0.59993895153758736</v>
      </c>
      <c r="AH203" s="406">
        <f t="shared" si="152"/>
        <v>0</v>
      </c>
      <c r="AI203">
        <f t="shared" si="167"/>
        <v>0</v>
      </c>
      <c r="AJ203" s="407">
        <f t="shared" si="168"/>
        <v>0.49046426400000004</v>
      </c>
      <c r="AK203">
        <f t="shared" si="173"/>
        <v>0.06</v>
      </c>
      <c r="AL203" s="407">
        <f t="shared" si="169"/>
        <v>4.0337999999999999E-2</v>
      </c>
      <c r="AM203" s="407">
        <f t="shared" si="174"/>
        <v>0.13814789189189189</v>
      </c>
      <c r="AN203" s="407">
        <f t="shared" si="153"/>
        <v>0.100338</v>
      </c>
      <c r="AO203" s="407">
        <f t="shared" si="154"/>
        <v>5.3869813589911724</v>
      </c>
      <c r="AP203">
        <f t="shared" si="170"/>
        <v>122.22</v>
      </c>
      <c r="AQ203" s="10">
        <f t="shared" si="155"/>
        <v>0.95778458747616468</v>
      </c>
      <c r="AR203" s="63">
        <f t="shared" si="156"/>
        <v>214.0051470586067</v>
      </c>
      <c r="AS203" s="63">
        <f t="shared" si="157"/>
        <v>23.997558061503494</v>
      </c>
      <c r="AT203" s="10"/>
      <c r="AU203">
        <f t="shared" si="158"/>
        <v>95.778458747616469</v>
      </c>
    </row>
    <row r="204" spans="7:47" x14ac:dyDescent="0.2">
      <c r="G204">
        <v>195</v>
      </c>
      <c r="H204">
        <f t="shared" si="159"/>
        <v>8.7750000000000004</v>
      </c>
      <c r="I204" s="406">
        <f t="shared" si="136"/>
        <v>0.47569295461410083</v>
      </c>
      <c r="J204" s="407">
        <f t="shared" si="160"/>
        <v>3.3713178923749174</v>
      </c>
      <c r="K204" s="407">
        <f t="shared" si="171"/>
        <v>10.46065894618746</v>
      </c>
      <c r="L204" s="407">
        <f t="shared" si="137"/>
        <v>7.0893410538125412</v>
      </c>
      <c r="M204" s="63">
        <f t="shared" si="161"/>
        <v>0</v>
      </c>
      <c r="N204" s="406">
        <f t="shared" si="138"/>
        <v>8.8288036389018902</v>
      </c>
      <c r="O204" s="406">
        <f t="shared" si="139"/>
        <v>6.897252920987014E-2</v>
      </c>
      <c r="P204">
        <f t="shared" si="162"/>
        <v>0.2</v>
      </c>
      <c r="Q204" s="406">
        <f t="shared" si="172"/>
        <v>0.26897252920987014</v>
      </c>
      <c r="R204" s="9">
        <f t="shared" si="140"/>
        <v>0.97321564634323021</v>
      </c>
      <c r="S204" s="9">
        <f t="shared" si="141"/>
        <v>2.65201634400436E-4</v>
      </c>
      <c r="T204" s="9">
        <f t="shared" si="142"/>
        <v>2.65201634400436E-4</v>
      </c>
      <c r="U204" s="406">
        <f t="shared" si="143"/>
        <v>6.0892698063254507</v>
      </c>
      <c r="V204" s="408">
        <f t="shared" si="144"/>
        <v>3.707920677422679E-2</v>
      </c>
      <c r="W204" s="406">
        <f t="shared" si="145"/>
        <v>3.707920677422679E-2</v>
      </c>
      <c r="X204" s="406">
        <f t="shared" si="146"/>
        <v>6.0892698063254507</v>
      </c>
      <c r="Y204" s="406">
        <f t="shared" si="147"/>
        <v>1.9281187522597929</v>
      </c>
      <c r="Z204" s="406">
        <f t="shared" si="163"/>
        <v>0.22729779205288295</v>
      </c>
      <c r="AA204" s="406">
        <f t="shared" si="164"/>
        <v>0.1228566</v>
      </c>
      <c r="AB204" s="406">
        <f t="shared" si="165"/>
        <v>0</v>
      </c>
      <c r="AC204" s="406">
        <f t="shared" si="148"/>
        <v>3.9566138385945009</v>
      </c>
      <c r="AD204" s="406">
        <f t="shared" si="149"/>
        <v>6.3928527998117133</v>
      </c>
      <c r="AE204" s="406">
        <f t="shared" si="150"/>
        <v>0.40868566920060462</v>
      </c>
      <c r="AF204" s="406">
        <f t="shared" si="166"/>
        <v>0.15731819999999996</v>
      </c>
      <c r="AG204" s="406">
        <f t="shared" si="151"/>
        <v>0.60560414697280329</v>
      </c>
      <c r="AH204" s="406">
        <f t="shared" si="152"/>
        <v>0</v>
      </c>
      <c r="AI204">
        <f t="shared" si="167"/>
        <v>0</v>
      </c>
      <c r="AJ204" s="407">
        <f t="shared" si="168"/>
        <v>0.49042542</v>
      </c>
      <c r="AK204">
        <f t="shared" si="173"/>
        <v>0.06</v>
      </c>
      <c r="AL204" s="407">
        <f t="shared" si="169"/>
        <v>4.0337999999999999E-2</v>
      </c>
      <c r="AM204" s="407">
        <f t="shared" si="174"/>
        <v>0.13814789189189189</v>
      </c>
      <c r="AN204" s="407">
        <f t="shared" si="153"/>
        <v>0.100338</v>
      </c>
      <c r="AO204" s="407">
        <f t="shared" si="154"/>
        <v>5.459298343185802</v>
      </c>
      <c r="AP204">
        <f t="shared" si="170"/>
        <v>122.85000000000001</v>
      </c>
      <c r="AQ204" s="10">
        <f t="shared" si="155"/>
        <v>0.95745204428923025</v>
      </c>
      <c r="AR204" s="63">
        <f t="shared" si="156"/>
        <v>217.61376112269755</v>
      </c>
      <c r="AS204" s="63">
        <f t="shared" si="157"/>
        <v>24.224165878912132</v>
      </c>
      <c r="AT204" s="10"/>
      <c r="AU204">
        <f t="shared" si="158"/>
        <v>95.745204428923032</v>
      </c>
    </row>
    <row r="205" spans="7:47" x14ac:dyDescent="0.2">
      <c r="G205">
        <v>196</v>
      </c>
      <c r="H205">
        <f t="shared" si="159"/>
        <v>8.82</v>
      </c>
      <c r="I205" s="406">
        <f t="shared" si="136"/>
        <v>0.47573982198858167</v>
      </c>
      <c r="J205" s="407">
        <f t="shared" si="160"/>
        <v>3.3716500495292818</v>
      </c>
      <c r="K205" s="407">
        <f t="shared" si="171"/>
        <v>10.505825024764642</v>
      </c>
      <c r="L205" s="407">
        <f t="shared" si="137"/>
        <v>7.1341749752353589</v>
      </c>
      <c r="M205" s="63">
        <f t="shared" si="161"/>
        <v>0</v>
      </c>
      <c r="N205" s="406">
        <f t="shared" si="138"/>
        <v>8.8735413076201368</v>
      </c>
      <c r="O205" s="406">
        <f t="shared" si="139"/>
        <v>6.9677207183105466E-2</v>
      </c>
      <c r="P205">
        <f t="shared" si="162"/>
        <v>0.2</v>
      </c>
      <c r="Q205" s="406">
        <f t="shared" si="172"/>
        <v>0.26967720718310551</v>
      </c>
      <c r="R205" s="9">
        <f t="shared" si="140"/>
        <v>0.97331153185447306</v>
      </c>
      <c r="S205" s="9">
        <f t="shared" si="141"/>
        <v>2.6525389465145228E-4</v>
      </c>
      <c r="T205" s="9">
        <f t="shared" si="142"/>
        <v>2.6525389465145228E-4</v>
      </c>
      <c r="U205" s="406">
        <f t="shared" si="143"/>
        <v>6.1204270825774572</v>
      </c>
      <c r="V205" s="408">
        <f t="shared" si="144"/>
        <v>3.7459627673147602E-2</v>
      </c>
      <c r="W205" s="406">
        <f t="shared" si="145"/>
        <v>3.7459627673147602E-2</v>
      </c>
      <c r="X205" s="406">
        <f t="shared" si="146"/>
        <v>6.1204270825774572</v>
      </c>
      <c r="Y205" s="406">
        <f t="shared" si="147"/>
        <v>1.9479006390036753</v>
      </c>
      <c r="Z205" s="406">
        <f t="shared" si="163"/>
        <v>0.22855515236885016</v>
      </c>
      <c r="AA205" s="406">
        <f t="shared" si="164"/>
        <v>0.1228566</v>
      </c>
      <c r="AB205" s="406">
        <f t="shared" si="165"/>
        <v>0</v>
      </c>
      <c r="AC205" s="406">
        <f t="shared" si="148"/>
        <v>4.0235622963699544</v>
      </c>
      <c r="AD205" s="406">
        <f t="shared" si="149"/>
        <v>6.4249597403324854</v>
      </c>
      <c r="AE205" s="406">
        <f t="shared" si="150"/>
        <v>0.41280107664893279</v>
      </c>
      <c r="AF205" s="406">
        <f t="shared" si="166"/>
        <v>0.15812495999999998</v>
      </c>
      <c r="AG205" s="406">
        <f t="shared" si="151"/>
        <v>0.61130137518207417</v>
      </c>
      <c r="AH205" s="406">
        <f t="shared" si="152"/>
        <v>0</v>
      </c>
      <c r="AI205">
        <f t="shared" si="167"/>
        <v>0</v>
      </c>
      <c r="AJ205" s="407">
        <f t="shared" si="168"/>
        <v>0.49038657600000002</v>
      </c>
      <c r="AK205">
        <f t="shared" si="173"/>
        <v>0.06</v>
      </c>
      <c r="AL205" s="407">
        <f t="shared" si="169"/>
        <v>4.0337999999999999E-2</v>
      </c>
      <c r="AM205" s="407">
        <f t="shared" si="174"/>
        <v>0.13814789189189189</v>
      </c>
      <c r="AN205" s="407">
        <f t="shared" si="153"/>
        <v>0.100338</v>
      </c>
      <c r="AO205" s="407">
        <f t="shared" si="154"/>
        <v>5.532990336302932</v>
      </c>
      <c r="AP205">
        <f t="shared" si="170"/>
        <v>123.48</v>
      </c>
      <c r="AQ205" s="10">
        <f t="shared" si="155"/>
        <v>0.95711292078510934</v>
      </c>
      <c r="AR205" s="63">
        <f t="shared" si="156"/>
        <v>221.2959263003475</v>
      </c>
      <c r="AS205" s="63">
        <f t="shared" si="157"/>
        <v>24.452055007282965</v>
      </c>
      <c r="AT205" s="10"/>
      <c r="AU205">
        <f t="shared" si="158"/>
        <v>95.711292078510937</v>
      </c>
    </row>
    <row r="206" spans="7:47" x14ac:dyDescent="0.2">
      <c r="G206">
        <v>197</v>
      </c>
      <c r="H206">
        <f t="shared" si="159"/>
        <v>8.8650000000000002</v>
      </c>
      <c r="I206" s="406">
        <f t="shared" si="136"/>
        <v>0.47578669534256313</v>
      </c>
      <c r="J206" s="407">
        <f t="shared" si="160"/>
        <v>3.3719822490613969</v>
      </c>
      <c r="K206" s="407">
        <f t="shared" si="171"/>
        <v>10.550991124530698</v>
      </c>
      <c r="L206" s="407">
        <f t="shared" si="137"/>
        <v>7.179008875469302</v>
      </c>
      <c r="M206" s="63">
        <f t="shared" si="161"/>
        <v>0</v>
      </c>
      <c r="N206" s="406">
        <f t="shared" si="138"/>
        <v>8.9182816183387459</v>
      </c>
      <c r="O206" s="406">
        <f t="shared" si="139"/>
        <v>7.0385568462341147E-2</v>
      </c>
      <c r="P206">
        <f t="shared" si="162"/>
        <v>0.2</v>
      </c>
      <c r="Q206" s="406">
        <f t="shared" si="172"/>
        <v>0.27038556846234119</v>
      </c>
      <c r="R206" s="9">
        <f t="shared" si="140"/>
        <v>0.97340742959911863</v>
      </c>
      <c r="S206" s="9">
        <f t="shared" si="141"/>
        <v>2.6530616671965369E-4</v>
      </c>
      <c r="T206" s="9">
        <f t="shared" si="142"/>
        <v>2.6530616671965369E-4</v>
      </c>
      <c r="U206" s="406">
        <f t="shared" si="143"/>
        <v>6.1515892449147209</v>
      </c>
      <c r="V206" s="408">
        <f t="shared" si="144"/>
        <v>3.7842050238150467E-2</v>
      </c>
      <c r="W206" s="406">
        <f t="shared" si="145"/>
        <v>3.7842050238150467E-2</v>
      </c>
      <c r="X206" s="406">
        <f t="shared" si="146"/>
        <v>6.1515892449147209</v>
      </c>
      <c r="Y206" s="406">
        <f t="shared" si="147"/>
        <v>1.9677866123838239</v>
      </c>
      <c r="Z206" s="406">
        <f t="shared" si="163"/>
        <v>0.22981251245556589</v>
      </c>
      <c r="AA206" s="406">
        <f t="shared" si="164"/>
        <v>0.1228566</v>
      </c>
      <c r="AB206" s="406">
        <f t="shared" si="165"/>
        <v>0</v>
      </c>
      <c r="AC206" s="406">
        <f t="shared" si="148"/>
        <v>4.0918870451370291</v>
      </c>
      <c r="AD206" s="406">
        <f t="shared" si="149"/>
        <v>6.45706564825295</v>
      </c>
      <c r="AE206" s="406">
        <f t="shared" si="150"/>
        <v>0.41693696785848289</v>
      </c>
      <c r="AF206" s="406">
        <f t="shared" si="166"/>
        <v>0.15893171999999997</v>
      </c>
      <c r="AG206" s="406">
        <f t="shared" si="151"/>
        <v>0.61703075713106703</v>
      </c>
      <c r="AH206" s="406">
        <f t="shared" si="152"/>
        <v>0</v>
      </c>
      <c r="AI206">
        <f t="shared" si="167"/>
        <v>0</v>
      </c>
      <c r="AJ206" s="407">
        <f t="shared" si="168"/>
        <v>0.49034773200000004</v>
      </c>
      <c r="AK206">
        <f t="shared" si="173"/>
        <v>0.06</v>
      </c>
      <c r="AL206" s="407">
        <f t="shared" si="169"/>
        <v>4.0337999999999999E-2</v>
      </c>
      <c r="AM206" s="407">
        <f t="shared" si="174"/>
        <v>0.13814789189189189</v>
      </c>
      <c r="AN206" s="407">
        <f t="shared" si="153"/>
        <v>0.100338</v>
      </c>
      <c r="AO206" s="407">
        <f t="shared" si="154"/>
        <v>5.6080964591353073</v>
      </c>
      <c r="AP206">
        <f t="shared" si="170"/>
        <v>124.11</v>
      </c>
      <c r="AQ206" s="10">
        <f t="shared" si="155"/>
        <v>0.95676704629332887</v>
      </c>
      <c r="AR206" s="63">
        <f t="shared" si="156"/>
        <v>225.05378748253659</v>
      </c>
      <c r="AS206" s="63">
        <f t="shared" si="157"/>
        <v>24.68123028524268</v>
      </c>
      <c r="AT206" s="10"/>
      <c r="AU206">
        <f t="shared" si="158"/>
        <v>95.676704629332889</v>
      </c>
    </row>
    <row r="207" spans="7:47" x14ac:dyDescent="0.2">
      <c r="G207">
        <v>198</v>
      </c>
      <c r="H207">
        <f t="shared" si="159"/>
        <v>8.91</v>
      </c>
      <c r="I207" s="406">
        <f t="shared" si="136"/>
        <v>0.47583357467718995</v>
      </c>
      <c r="J207" s="407">
        <f t="shared" si="160"/>
        <v>3.3723144909793761</v>
      </c>
      <c r="K207" s="407">
        <f t="shared" si="171"/>
        <v>10.596157245489689</v>
      </c>
      <c r="L207" s="407">
        <f t="shared" si="137"/>
        <v>7.2238427545103123</v>
      </c>
      <c r="M207" s="63">
        <f t="shared" si="161"/>
        <v>0</v>
      </c>
      <c r="N207" s="406">
        <f t="shared" si="138"/>
        <v>8.9630245314945149</v>
      </c>
      <c r="O207" s="406">
        <f t="shared" si="139"/>
        <v>7.1097614279694826E-2</v>
      </c>
      <c r="P207">
        <f t="shared" si="162"/>
        <v>0.2</v>
      </c>
      <c r="Q207" s="406">
        <f t="shared" si="172"/>
        <v>0.27109761427969481</v>
      </c>
      <c r="R207" s="9">
        <f t="shared" si="140"/>
        <v>0.9735033395795093</v>
      </c>
      <c r="S207" s="9">
        <f t="shared" si="141"/>
        <v>2.6535845060828809E-4</v>
      </c>
      <c r="T207" s="9">
        <f t="shared" si="142"/>
        <v>2.6535845060828809E-4</v>
      </c>
      <c r="U207" s="406">
        <f t="shared" si="143"/>
        <v>6.1827562666766438</v>
      </c>
      <c r="V207" s="408">
        <f t="shared" si="144"/>
        <v>3.8226475053129316E-2</v>
      </c>
      <c r="W207" s="406">
        <f t="shared" si="145"/>
        <v>3.8226475053129316E-2</v>
      </c>
      <c r="X207" s="406">
        <f t="shared" si="146"/>
        <v>6.1827562666766438</v>
      </c>
      <c r="Y207" s="406">
        <f t="shared" si="147"/>
        <v>1.9877767027627242</v>
      </c>
      <c r="Z207" s="406">
        <f t="shared" si="163"/>
        <v>0.23106987231298629</v>
      </c>
      <c r="AA207" s="406">
        <f t="shared" si="164"/>
        <v>0.1228566</v>
      </c>
      <c r="AB207" s="406">
        <f t="shared" si="165"/>
        <v>0</v>
      </c>
      <c r="AC207" s="406">
        <f t="shared" si="148"/>
        <v>4.1616286318729143</v>
      </c>
      <c r="AD207" s="406">
        <f t="shared" si="149"/>
        <v>6.4891704939108479</v>
      </c>
      <c r="AE207" s="406">
        <f t="shared" si="150"/>
        <v>0.42109333699043155</v>
      </c>
      <c r="AF207" s="406">
        <f t="shared" si="166"/>
        <v>0.15973847999999996</v>
      </c>
      <c r="AG207" s="406">
        <f t="shared" si="151"/>
        <v>0.62279241478124148</v>
      </c>
      <c r="AH207" s="406">
        <f t="shared" si="152"/>
        <v>0</v>
      </c>
      <c r="AI207">
        <f t="shared" si="167"/>
        <v>0</v>
      </c>
      <c r="AJ207" s="407">
        <f t="shared" si="168"/>
        <v>0.490308888</v>
      </c>
      <c r="AK207">
        <f t="shared" si="173"/>
        <v>0.06</v>
      </c>
      <c r="AL207" s="407">
        <f t="shared" si="169"/>
        <v>4.0337999999999999E-2</v>
      </c>
      <c r="AM207" s="407">
        <f t="shared" si="174"/>
        <v>0.13814789189189189</v>
      </c>
      <c r="AN207" s="407">
        <f t="shared" si="153"/>
        <v>0.100338</v>
      </c>
      <c r="AO207" s="407">
        <f t="shared" si="154"/>
        <v>5.6846573824375888</v>
      </c>
      <c r="AP207">
        <f t="shared" si="170"/>
        <v>124.74000000000001</v>
      </c>
      <c r="AQ207" s="10">
        <f t="shared" si="155"/>
        <v>0.95641424331467662</v>
      </c>
      <c r="AR207" s="63">
        <f t="shared" si="156"/>
        <v>228.88957475301029</v>
      </c>
      <c r="AS207" s="63">
        <f t="shared" si="157"/>
        <v>24.911696591249658</v>
      </c>
      <c r="AT207" s="10"/>
      <c r="AU207">
        <f t="shared" si="158"/>
        <v>95.641424331467661</v>
      </c>
    </row>
    <row r="208" spans="7:47" x14ac:dyDescent="0.2">
      <c r="G208">
        <v>199</v>
      </c>
      <c r="H208">
        <f t="shared" si="159"/>
        <v>8.9550000000000001</v>
      </c>
      <c r="I208" s="406">
        <f t="shared" si="136"/>
        <v>0.47588045999360645</v>
      </c>
      <c r="J208" s="407">
        <f t="shared" si="160"/>
        <v>3.3726467752913285</v>
      </c>
      <c r="K208" s="407">
        <f t="shared" si="171"/>
        <v>10.641323387645665</v>
      </c>
      <c r="L208" s="407">
        <f t="shared" si="137"/>
        <v>7.2686766123543354</v>
      </c>
      <c r="M208" s="63">
        <f t="shared" si="161"/>
        <v>0</v>
      </c>
      <c r="N208" s="406">
        <f t="shared" si="138"/>
        <v>9.007770008308027</v>
      </c>
      <c r="O208" s="406">
        <f t="shared" si="139"/>
        <v>7.1813345873902229E-2</v>
      </c>
      <c r="P208">
        <f t="shared" si="162"/>
        <v>0.2</v>
      </c>
      <c r="Q208" s="406">
        <f t="shared" si="172"/>
        <v>0.27181334587390227</v>
      </c>
      <c r="R208" s="9">
        <f t="shared" si="140"/>
        <v>0.97359926179798595</v>
      </c>
      <c r="S208" s="9">
        <f t="shared" si="141"/>
        <v>2.6541074632060335E-4</v>
      </c>
      <c r="T208" s="9">
        <f t="shared" si="142"/>
        <v>2.6541074632060335E-4</v>
      </c>
      <c r="U208" s="406">
        <f t="shared" si="143"/>
        <v>6.2139281217380518</v>
      </c>
      <c r="V208" s="408">
        <f t="shared" si="144"/>
        <v>3.8612902702126993E-2</v>
      </c>
      <c r="W208" s="406">
        <f t="shared" si="145"/>
        <v>3.8612902702126993E-2</v>
      </c>
      <c r="X208" s="406">
        <f t="shared" si="146"/>
        <v>6.2139281217380518</v>
      </c>
      <c r="Y208" s="406">
        <f t="shared" si="147"/>
        <v>2.0078709405106037</v>
      </c>
      <c r="Z208" s="406">
        <f t="shared" si="163"/>
        <v>0.23232723194106752</v>
      </c>
      <c r="AA208" s="406">
        <f t="shared" si="164"/>
        <v>0.1228566</v>
      </c>
      <c r="AB208" s="406">
        <f t="shared" si="165"/>
        <v>0</v>
      </c>
      <c r="AC208" s="406">
        <f t="shared" si="148"/>
        <v>4.2328292300090693</v>
      </c>
      <c r="AD208" s="406">
        <f t="shared" si="149"/>
        <v>6.5212742482161117</v>
      </c>
      <c r="AE208" s="406">
        <f t="shared" si="150"/>
        <v>0.42527017820446611</v>
      </c>
      <c r="AF208" s="406">
        <f t="shared" si="166"/>
        <v>0.16054523999999998</v>
      </c>
      <c r="AG208" s="406">
        <f t="shared" si="151"/>
        <v>0.62858647109734356</v>
      </c>
      <c r="AH208" s="406">
        <f t="shared" si="152"/>
        <v>0</v>
      </c>
      <c r="AI208">
        <f t="shared" si="167"/>
        <v>0</v>
      </c>
      <c r="AJ208" s="407">
        <f t="shared" si="168"/>
        <v>0.49027004400000002</v>
      </c>
      <c r="AK208">
        <f t="shared" si="173"/>
        <v>0.06</v>
      </c>
      <c r="AL208" s="407">
        <f t="shared" si="169"/>
        <v>4.0337999999999999E-2</v>
      </c>
      <c r="AM208" s="407">
        <f t="shared" si="174"/>
        <v>0.13814789189189189</v>
      </c>
      <c r="AN208" s="407">
        <f t="shared" si="153"/>
        <v>0.100338</v>
      </c>
      <c r="AO208" s="407">
        <f t="shared" si="154"/>
        <v>5.7627154044287625</v>
      </c>
      <c r="AP208">
        <f t="shared" si="170"/>
        <v>125.37</v>
      </c>
      <c r="AQ208" s="10">
        <f t="shared" si="155"/>
        <v>0.95605432720083705</v>
      </c>
      <c r="AR208" s="63">
        <f t="shared" si="156"/>
        <v>232.80560765049881</v>
      </c>
      <c r="AS208" s="63">
        <f t="shared" si="157"/>
        <v>25.143458843893743</v>
      </c>
      <c r="AT208" s="10"/>
      <c r="AU208">
        <f t="shared" si="158"/>
        <v>95.605432720083712</v>
      </c>
    </row>
    <row r="209" spans="7:47" x14ac:dyDescent="0.2">
      <c r="G209">
        <v>200</v>
      </c>
      <c r="H209">
        <f t="shared" si="159"/>
        <v>9</v>
      </c>
      <c r="I209" s="406">
        <f t="shared" si="136"/>
        <v>0.47592735129295793</v>
      </c>
      <c r="J209" s="407">
        <f t="shared" si="160"/>
        <v>3.3729791020053717</v>
      </c>
      <c r="K209" s="407">
        <f t="shared" si="171"/>
        <v>10.686489551002685</v>
      </c>
      <c r="L209" s="407">
        <f t="shared" si="137"/>
        <v>7.313510448997314</v>
      </c>
      <c r="M209" s="63">
        <f t="shared" si="161"/>
        <v>0</v>
      </c>
      <c r="N209" s="406">
        <f t="shared" si="138"/>
        <v>9.0525180107643948</v>
      </c>
      <c r="O209" s="406">
        <f t="shared" si="139"/>
        <v>7.2532764490322435E-2</v>
      </c>
      <c r="P209">
        <f t="shared" si="162"/>
        <v>0.2</v>
      </c>
      <c r="Q209" s="406">
        <f t="shared" si="172"/>
        <v>0.27253276449032243</v>
      </c>
      <c r="R209" s="9">
        <f t="shared" si="140"/>
        <v>0.97369519625689183</v>
      </c>
      <c r="S209" s="9">
        <f t="shared" si="141"/>
        <v>2.6546305385984921E-4</v>
      </c>
      <c r="T209" s="9">
        <f t="shared" si="142"/>
        <v>2.6546305385984921E-4</v>
      </c>
      <c r="U209" s="406">
        <f t="shared" si="143"/>
        <v>6.2451047844960552</v>
      </c>
      <c r="V209" s="408">
        <f t="shared" si="144"/>
        <v>3.9001333769335518E-2</v>
      </c>
      <c r="W209" s="406">
        <f t="shared" si="145"/>
        <v>3.9001333769335518E-2</v>
      </c>
      <c r="X209" s="406">
        <f t="shared" si="146"/>
        <v>6.2451047844960552</v>
      </c>
      <c r="Y209" s="406">
        <f t="shared" si="147"/>
        <v>2.0280693560054468</v>
      </c>
      <c r="Z209" s="406">
        <f t="shared" si="163"/>
        <v>0.23358459133976558</v>
      </c>
      <c r="AA209" s="406">
        <f t="shared" si="164"/>
        <v>0.1228566</v>
      </c>
      <c r="AB209" s="406">
        <f t="shared" si="165"/>
        <v>0</v>
      </c>
      <c r="AC209" s="406">
        <f t="shared" si="148"/>
        <v>4.3055327216279231</v>
      </c>
      <c r="AD209" s="406">
        <f t="shared" si="149"/>
        <v>6.553376882636786</v>
      </c>
      <c r="AE209" s="406">
        <f t="shared" si="150"/>
        <v>0.4294674856587824</v>
      </c>
      <c r="AF209" s="406">
        <f t="shared" si="166"/>
        <v>0.16135199999999997</v>
      </c>
      <c r="AG209" s="406">
        <f t="shared" si="151"/>
        <v>0.63441305005497939</v>
      </c>
      <c r="AH209" s="406">
        <f t="shared" si="152"/>
        <v>0</v>
      </c>
      <c r="AI209">
        <f t="shared" si="167"/>
        <v>0</v>
      </c>
      <c r="AJ209" s="407">
        <f t="shared" si="168"/>
        <v>0.49023119999999998</v>
      </c>
      <c r="AK209">
        <f t="shared" si="173"/>
        <v>0.06</v>
      </c>
      <c r="AL209" s="407">
        <f t="shared" si="169"/>
        <v>4.0337999999999999E-2</v>
      </c>
      <c r="AM209" s="407">
        <f t="shared" si="174"/>
        <v>0.13814789189189189</v>
      </c>
      <c r="AN209" s="407">
        <f t="shared" si="153"/>
        <v>0.100338</v>
      </c>
      <c r="AO209" s="407">
        <f t="shared" si="154"/>
        <v>5.8423145329964203</v>
      </c>
      <c r="AP209">
        <f t="shared" si="170"/>
        <v>126</v>
      </c>
      <c r="AQ209" s="10">
        <f t="shared" si="155"/>
        <v>0.95568710581507377</v>
      </c>
      <c r="AR209" s="63">
        <f t="shared" si="156"/>
        <v>236.80429968953578</v>
      </c>
      <c r="AS209" s="63">
        <f t="shared" si="157"/>
        <v>25.376522002199174</v>
      </c>
      <c r="AT209" s="10"/>
      <c r="AU209">
        <f t="shared" si="158"/>
        <v>95.568710581507375</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2.75" x14ac:dyDescent="0.2"/>
  <cols>
    <col min="1" max="1" width="18.5703125" customWidth="1"/>
    <col min="2" max="2" width="9.28515625" customWidth="1"/>
    <col min="4" max="4" width="11.140625" customWidth="1"/>
  </cols>
  <sheetData>
    <row r="1" spans="1:5" x14ac:dyDescent="0.2">
      <c r="C1" t="s">
        <v>349</v>
      </c>
      <c r="D1" t="s">
        <v>348</v>
      </c>
    </row>
    <row r="2" spans="1:5" x14ac:dyDescent="0.2">
      <c r="A2" t="s">
        <v>346</v>
      </c>
      <c r="B2" s="62">
        <v>85</v>
      </c>
      <c r="C2" t="s">
        <v>347</v>
      </c>
      <c r="D2">
        <f>B2*1000000</f>
        <v>85000000</v>
      </c>
      <c r="E2" t="s">
        <v>10</v>
      </c>
    </row>
    <row r="3" spans="1:5" x14ac:dyDescent="0.2">
      <c r="A3" t="s">
        <v>350</v>
      </c>
      <c r="B3" s="62">
        <v>3000</v>
      </c>
      <c r="C3" t="s">
        <v>53</v>
      </c>
      <c r="D3">
        <f>B3*0.000000000001</f>
        <v>3E-9</v>
      </c>
      <c r="E3" t="s">
        <v>34</v>
      </c>
    </row>
    <row r="4" spans="1:5" x14ac:dyDescent="0.2">
      <c r="A4" t="s">
        <v>352</v>
      </c>
      <c r="B4" s="63">
        <f>1000000000*1/((D2*2*3.14159)^2*D3)</f>
        <v>1.1686430773614742</v>
      </c>
      <c r="C4" t="s">
        <v>353</v>
      </c>
      <c r="D4">
        <f>B4/1000000000</f>
        <v>1.1686430773614743E-9</v>
      </c>
      <c r="E4" t="s">
        <v>24</v>
      </c>
    </row>
    <row r="5" spans="1:5" x14ac:dyDescent="0.2">
      <c r="A5" t="s">
        <v>351</v>
      </c>
      <c r="B5">
        <f>4*B3</f>
        <v>12000</v>
      </c>
      <c r="C5" t="s">
        <v>53</v>
      </c>
      <c r="D5">
        <f>B5*0.000000000001</f>
        <v>1.2E-8</v>
      </c>
      <c r="E5" t="s">
        <v>34</v>
      </c>
    </row>
    <row r="6" spans="1:5" x14ac:dyDescent="0.2">
      <c r="A6" t="s">
        <v>354</v>
      </c>
      <c r="B6" s="4">
        <f>SQRT(D4/D3)</f>
        <v>0.62413755891936573</v>
      </c>
      <c r="C6" s="4" t="s">
        <v>274</v>
      </c>
      <c r="D6" s="4">
        <f>B6</f>
        <v>0.62413755891936573</v>
      </c>
      <c r="E6" t="s">
        <v>274</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2.75" x14ac:dyDescent="0.2"/>
  <sheetData>
    <row r="3" spans="1:5" x14ac:dyDescent="0.2">
      <c r="A3" t="s">
        <v>298</v>
      </c>
      <c r="B3">
        <f>Iripple1</f>
        <v>3.3729791020053717</v>
      </c>
    </row>
    <row r="4" spans="1:5" x14ac:dyDescent="0.2">
      <c r="A4" t="s">
        <v>7</v>
      </c>
      <c r="B4">
        <f>Fsw</f>
        <v>332000</v>
      </c>
    </row>
    <row r="6" spans="1:5" x14ac:dyDescent="0.2">
      <c r="A6" t="s">
        <v>279</v>
      </c>
      <c r="B6" s="52">
        <v>0.5</v>
      </c>
      <c r="C6" t="s">
        <v>134</v>
      </c>
      <c r="D6">
        <f>B6/1000</f>
        <v>5.0000000000000001E-4</v>
      </c>
      <c r="E6" t="s">
        <v>25</v>
      </c>
    </row>
    <row r="7" spans="1:5" x14ac:dyDescent="0.2">
      <c r="A7" t="s">
        <v>296</v>
      </c>
      <c r="B7" s="52">
        <v>20</v>
      </c>
      <c r="C7" t="s">
        <v>30</v>
      </c>
      <c r="D7">
        <f>B7/1000000</f>
        <v>2.0000000000000002E-5</v>
      </c>
      <c r="E7" t="s">
        <v>34</v>
      </c>
    </row>
    <row r="9" spans="1:5" x14ac:dyDescent="0.2">
      <c r="A9" t="s">
        <v>280</v>
      </c>
      <c r="B9" s="52">
        <v>20</v>
      </c>
      <c r="C9" t="s">
        <v>134</v>
      </c>
      <c r="D9">
        <f>B9/1000</f>
        <v>0.02</v>
      </c>
      <c r="E9" t="s">
        <v>25</v>
      </c>
    </row>
    <row r="10" spans="1:5" x14ac:dyDescent="0.2">
      <c r="A10" t="s">
        <v>297</v>
      </c>
      <c r="B10" s="52">
        <v>68</v>
      </c>
      <c r="C10" t="s">
        <v>30</v>
      </c>
      <c r="D10">
        <f>B10/1000000</f>
        <v>6.7999999999999999E-5</v>
      </c>
      <c r="E10" t="s">
        <v>34</v>
      </c>
    </row>
    <row r="12" spans="1:5" x14ac:dyDescent="0.2">
      <c r="A12" t="s">
        <v>300</v>
      </c>
      <c r="B12">
        <f>(D7/(D7+D10))*SQRT((D9*D10*B4)^2+1)/SQRT((((D6+D9)*D7*D10/(D10+D7))*B4)^2+1)</f>
        <v>0.24799786296803414</v>
      </c>
      <c r="C12" t="s">
        <v>299</v>
      </c>
    </row>
    <row r="13" spans="1:5" x14ac:dyDescent="0.2">
      <c r="A13" t="s">
        <v>301</v>
      </c>
      <c r="B13">
        <f>1-B12</f>
        <v>0.75200213703196583</v>
      </c>
      <c r="C13" t="s">
        <v>299</v>
      </c>
    </row>
    <row r="15" spans="1:5" x14ac:dyDescent="0.2">
      <c r="A15" t="s">
        <v>300</v>
      </c>
      <c r="B15">
        <f>B12*(Iripple1/(2*SQRT(3)))</f>
        <v>0.24147432785394976</v>
      </c>
      <c r="C15" t="s">
        <v>2</v>
      </c>
    </row>
    <row r="16" spans="1:5" x14ac:dyDescent="0.2">
      <c r="A16" t="s">
        <v>301</v>
      </c>
      <c r="B16">
        <f>B13*(Iripple1/(2*SQRT(3)))</f>
        <v>0.73222086840294198</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10</vt:i4>
      </vt:variant>
      <vt:variant>
        <vt:lpstr>Adlandırılmış Aralıklar</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VIN_MAX_RATING</vt:lpstr>
      <vt:lpstr>VIN_MIN_RATING</vt:lpstr>
      <vt:lpstr>VINuvlo_off</vt:lpstr>
      <vt:lpstr>VINuvlo_on</vt:lpstr>
      <vt:lpstr>Vin</vt:lpstr>
      <vt:lpstr>Vinmax</vt:lpstr>
      <vt:lpstr>Vinmin</vt:lpstr>
      <vt:lpstr>Vinripple1</vt:lpstr>
      <vt:lpstr>Vinripple2</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lpstr>'Design Regulator'!Yazdırma_Alanı</vt:lpstr>
      <vt:lpstr>'Schematic &amp; BOM'!Yazdırma_Alanı</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GOKBERK GUGIN</cp:lastModifiedBy>
  <cp:lastPrinted>2017-06-16T22:24:31Z</cp:lastPrinted>
  <dcterms:created xsi:type="dcterms:W3CDTF">1996-10-14T23:33:28Z</dcterms:created>
  <dcterms:modified xsi:type="dcterms:W3CDTF">2025-06-12T18:33:29Z</dcterms:modified>
</cp:coreProperties>
</file>